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Ex1.xml" ContentType="application/vnd.ms-office.chartex+xml"/>
  <Override PartName="/xl/charts/style11.xml" ContentType="application/vnd.ms-office.chartstyle+xml"/>
  <Override PartName="/xl/charts/colors11.xml" ContentType="application/vnd.ms-office.chartcolorstyle+xml"/>
  <Override PartName="/xl/charts/chartEx2.xml" ContentType="application/vnd.ms-office.chartex+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chartEx3.xml" ContentType="application/vnd.ms-office.chartex+xml"/>
  <Override PartName="/xl/charts/style13.xml" ContentType="application/vnd.ms-office.chartstyle+xml"/>
  <Override PartName="/xl/charts/colors13.xml" ContentType="application/vnd.ms-office.chartcolorstyle+xml"/>
  <Override PartName="/xl/charts/chartEx4.xml" ContentType="application/vnd.ms-office.chartex+xml"/>
  <Override PartName="/xl/charts/style14.xml" ContentType="application/vnd.ms-office.chartstyle+xml"/>
  <Override PartName="/xl/charts/colors14.xml" ContentType="application/vnd.ms-office.chartcolorstyle+xml"/>
  <Override PartName="/xl/charts/chartEx5.xml" ContentType="application/vnd.ms-office.chartex+xml"/>
  <Override PartName="/xl/charts/style15.xml" ContentType="application/vnd.ms-office.chartstyle+xml"/>
  <Override PartName="/xl/charts/colors15.xml" ContentType="application/vnd.ms-office.chartcolorstyle+xml"/>
  <Override PartName="/xl/charts/chart12.xml" ContentType="application/vnd.openxmlformats-officedocument.drawingml.chart+xml"/>
  <Override PartName="/xl/charts/style16.xml" ContentType="application/vnd.ms-office.chartstyle+xml"/>
  <Override PartName="/xl/charts/colors16.xml" ContentType="application/vnd.ms-office.chartcolorstyle+xml"/>
  <Override PartName="/xl/charts/chart13.xml" ContentType="application/vnd.openxmlformats-officedocument.drawingml.chart+xml"/>
  <Override PartName="/xl/charts/style17.xml" ContentType="application/vnd.ms-office.chartstyle+xml"/>
  <Override PartName="/xl/charts/colors17.xml" ContentType="application/vnd.ms-office.chartcolorstyle+xml"/>
  <Override PartName="/xl/charts/chart14.xml" ContentType="application/vnd.openxmlformats-officedocument.drawingml.chart+xml"/>
  <Override PartName="/xl/charts/style18.xml" ContentType="application/vnd.ms-office.chartstyle+xml"/>
  <Override PartName="/xl/charts/colors18.xml" ContentType="application/vnd.ms-office.chartcolorstyle+xml"/>
  <Override PartName="/xl/charts/chart15.xml" ContentType="application/vnd.openxmlformats-officedocument.drawingml.chart+xml"/>
  <Override PartName="/xl/charts/style19.xml" ContentType="application/vnd.ms-office.chartstyle+xml"/>
  <Override PartName="/xl/charts/colors19.xml" ContentType="application/vnd.ms-office.chartcolorstyle+xml"/>
  <Override PartName="/xl/charts/chart16.xml" ContentType="application/vnd.openxmlformats-officedocument.drawingml.chart+xml"/>
  <Override PartName="/xl/charts/style20.xml" ContentType="application/vnd.ms-office.chartstyle+xml"/>
  <Override PartName="/xl/charts/colors20.xml" ContentType="application/vnd.ms-office.chartcolorstyle+xml"/>
  <Override PartName="/xl/charts/chart17.xml" ContentType="application/vnd.openxmlformats-officedocument.drawingml.chart+xml"/>
  <Override PartName="/xl/charts/style21.xml" ContentType="application/vnd.ms-office.chartstyle+xml"/>
  <Override PartName="/xl/charts/colors21.xml" ContentType="application/vnd.ms-office.chartcolorstyle+xml"/>
  <Override PartName="/xl/charts/chart18.xml" ContentType="application/vnd.openxmlformats-officedocument.drawingml.chart+xml"/>
  <Override PartName="/xl/charts/style22.xml" ContentType="application/vnd.ms-office.chartstyle+xml"/>
  <Override PartName="/xl/charts/colors22.xml" ContentType="application/vnd.ms-office.chartcolorstyle+xml"/>
  <Override PartName="/xl/charts/chart19.xml" ContentType="application/vnd.openxmlformats-officedocument.drawingml.chart+xml"/>
  <Override PartName="/xl/charts/style23.xml" ContentType="application/vnd.ms-office.chartstyle+xml"/>
  <Override PartName="/xl/charts/colors23.xml" ContentType="application/vnd.ms-office.chartcolorstyle+xml"/>
  <Override PartName="/xl/charts/chartEx6.xml" ContentType="application/vnd.ms-office.chartex+xml"/>
  <Override PartName="/xl/charts/style24.xml" ContentType="application/vnd.ms-office.chartstyle+xml"/>
  <Override PartName="/xl/charts/colors24.xml" ContentType="application/vnd.ms-office.chartcolorstyle+xml"/>
  <Override PartName="/xl/charts/chartEx7.xml" ContentType="application/vnd.ms-office.chartex+xml"/>
  <Override PartName="/xl/charts/style25.xml" ContentType="application/vnd.ms-office.chartstyle+xml"/>
  <Override PartName="/xl/charts/colors25.xml" ContentType="application/vnd.ms-office.chartcolorstyle+xml"/>
  <Override PartName="/xl/charts/chartEx8.xml" ContentType="application/vnd.ms-office.chartex+xml"/>
  <Override PartName="/xl/charts/style26.xml" ContentType="application/vnd.ms-office.chartstyle+xml"/>
  <Override PartName="/xl/charts/colors26.xml" ContentType="application/vnd.ms-office.chartcolorstyle+xml"/>
  <Override PartName="/xl/charts/chart20.xml" ContentType="application/vnd.openxmlformats-officedocument.drawingml.chart+xml"/>
  <Override PartName="/xl/charts/style27.xml" ContentType="application/vnd.ms-office.chartstyle+xml"/>
  <Override PartName="/xl/charts/colors27.xml" ContentType="application/vnd.ms-office.chartcolorstyle+xml"/>
  <Override PartName="/xl/charts/chart21.xml" ContentType="application/vnd.openxmlformats-officedocument.drawingml.chart+xml"/>
  <Override PartName="/xl/charts/style28.xml" ContentType="application/vnd.ms-office.chartstyle+xml"/>
  <Override PartName="/xl/charts/colors28.xml" ContentType="application/vnd.ms-office.chartcolorstyle+xml"/>
  <Override PartName="/xl/charts/chartEx9.xml" ContentType="application/vnd.ms-office.chartex+xml"/>
  <Override PartName="/xl/charts/style29.xml" ContentType="application/vnd.ms-office.chartstyle+xml"/>
  <Override PartName="/xl/charts/colors29.xml" ContentType="application/vnd.ms-office.chartcolorstyle+xml"/>
  <Override PartName="/xl/charts/chart22.xml" ContentType="application/vnd.openxmlformats-officedocument.drawingml.chart+xml"/>
  <Override PartName="/xl/charts/style30.xml" ContentType="application/vnd.ms-office.chartstyle+xml"/>
  <Override PartName="/xl/charts/colors30.xml" ContentType="application/vnd.ms-office.chartcolorstyle+xml"/>
  <Override PartName="/xl/charts/chart23.xml" ContentType="application/vnd.openxmlformats-officedocument.drawingml.chart+xml"/>
  <Override PartName="/xl/charts/style31.xml" ContentType="application/vnd.ms-office.chartstyle+xml"/>
  <Override PartName="/xl/charts/colors31.xml" ContentType="application/vnd.ms-office.chartcolorstyle+xml"/>
  <Override PartName="/xl/charts/chart24.xml" ContentType="application/vnd.openxmlformats-officedocument.drawingml.chart+xml"/>
  <Override PartName="/xl/charts/style32.xml" ContentType="application/vnd.ms-office.chartstyle+xml"/>
  <Override PartName="/xl/charts/colors32.xml" ContentType="application/vnd.ms-office.chartcolorstyle+xml"/>
  <Override PartName="/xl/charts/chart25.xml" ContentType="application/vnd.openxmlformats-officedocument.drawingml.chart+xml"/>
  <Override PartName="/xl/charts/style33.xml" ContentType="application/vnd.ms-office.chartstyle+xml"/>
  <Override PartName="/xl/charts/colors33.xml" ContentType="application/vnd.ms-office.chartcolorstyle+xml"/>
  <Override PartName="/xl/charts/chart26.xml" ContentType="application/vnd.openxmlformats-officedocument.drawingml.chart+xml"/>
  <Override PartName="/xl/charts/style34.xml" ContentType="application/vnd.ms-office.chartstyle+xml"/>
  <Override PartName="/xl/charts/colors34.xml" ContentType="application/vnd.ms-office.chartcolorstyle+xml"/>
  <Override PartName="/xl/charts/chart27.xml" ContentType="application/vnd.openxmlformats-officedocument.drawingml.chart+xml"/>
  <Override PartName="/xl/charts/style35.xml" ContentType="application/vnd.ms-office.chartstyle+xml"/>
  <Override PartName="/xl/charts/colors35.xml" ContentType="application/vnd.ms-office.chartcolorstyle+xml"/>
  <Override PartName="/xl/charts/chart28.xml" ContentType="application/vnd.openxmlformats-officedocument.drawingml.chart+xml"/>
  <Override PartName="/xl/charts/style36.xml" ContentType="application/vnd.ms-office.chartstyle+xml"/>
  <Override PartName="/xl/charts/colors36.xml" ContentType="application/vnd.ms-office.chartcolorstyle+xml"/>
  <Override PartName="/xl/charts/chart29.xml" ContentType="application/vnd.openxmlformats-officedocument.drawingml.chart+xml"/>
  <Override PartName="/xl/charts/style37.xml" ContentType="application/vnd.ms-office.chartstyle+xml"/>
  <Override PartName="/xl/charts/colors37.xml" ContentType="application/vnd.ms-office.chartcolorstyle+xml"/>
  <Override PartName="/xl/charts/chart30.xml" ContentType="application/vnd.openxmlformats-officedocument.drawingml.chart+xml"/>
  <Override PartName="/xl/charts/style38.xml" ContentType="application/vnd.ms-office.chartstyle+xml"/>
  <Override PartName="/xl/charts/colors38.xml" ContentType="application/vnd.ms-office.chartcolorstyle+xml"/>
  <Override PartName="/xl/charts/chart31.xml" ContentType="application/vnd.openxmlformats-officedocument.drawingml.chart+xml"/>
  <Override PartName="/xl/charts/style39.xml" ContentType="application/vnd.ms-office.chartstyle+xml"/>
  <Override PartName="/xl/charts/colors39.xml" ContentType="application/vnd.ms-office.chartcolorstyle+xml"/>
  <Override PartName="/xl/persons/person.xml" ContentType="application/vnd.ms-excel.person+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202300"/>
  <mc:AlternateContent xmlns:mc="http://schemas.openxmlformats.org/markup-compatibility/2006">
    <mc:Choice Requires="x15">
      <x15ac:absPath xmlns:x15ac="http://schemas.microsoft.com/office/spreadsheetml/2010/11/ac" url="C:\Users\FlorentinRack\Downloads\"/>
    </mc:Choice>
  </mc:AlternateContent>
  <xr:revisionPtr revIDLastSave="0" documentId="13_ncr:1_{AD84118E-2E99-4848-8ACC-B0583749C517}" xr6:coauthVersionLast="47" xr6:coauthVersionMax="47" xr10:uidLastSave="{00000000-0000-0000-0000-000000000000}"/>
  <bookViews>
    <workbookView xWindow="-108" yWindow="-108" windowWidth="23256" windowHeight="12456" xr2:uid="{F62F97BF-6AEE-4BFD-A772-763EA5BC6973}"/>
  </bookViews>
  <sheets>
    <sheet name="START" sheetId="10" r:id="rId1"/>
    <sheet name="1. Functions" sheetId="8" r:id="rId2"/>
    <sheet name="2. Basic functions" sheetId="9" r:id="rId3"/>
    <sheet name="3. Basic calculation features" sheetId="12" r:id="rId4"/>
    <sheet name="4. Formatting" sheetId="13" r:id="rId5"/>
    <sheet name="5. Object features" sheetId="14" r:id="rId6"/>
    <sheet name="6. Charts" sheetId="3" r:id="rId7"/>
    <sheet name="END" sheetId="11" r:id="rId8"/>
    <sheet name="NormalHidden (can be unhidden)" sheetId="5" state="hidden" r:id="rId9"/>
    <sheet name="VeryHidden (shouldn't show up)" sheetId="6" state="veryHidden" r:id="rId10"/>
  </sheets>
  <definedNames>
    <definedName name="_xlnm._FilterDatabase" localSheetId="2" hidden="1">'2. Basic functions'!$B$5:$D$10</definedName>
    <definedName name="_xlchart.v1.0" hidden="1">'6. Charts'!$A$52:$B$57</definedName>
    <definedName name="_xlchart.v1.1" hidden="1">'6. Charts'!$C$52:$C$57</definedName>
    <definedName name="_xlchart.v1.17" hidden="1">'6. Charts'!$B$5</definedName>
    <definedName name="_xlchart.v1.18" hidden="1">'6. Charts'!$B$6:$B$48</definedName>
    <definedName name="_xlchart.v1.19" hidden="1">'6. Charts'!$C$5</definedName>
    <definedName name="_xlchart.v1.20" hidden="1">'6. Charts'!$C$6:$C$48</definedName>
    <definedName name="_xlchart.v1.21" hidden="1">'6. Charts'!$D$5</definedName>
    <definedName name="_xlchart.v1.22" hidden="1">'6. Charts'!$D$6:$D$48</definedName>
    <definedName name="_xlchart.v1.23" hidden="1">'6. Charts'!$E$5</definedName>
    <definedName name="_xlchart.v1.24" hidden="1">'6. Charts'!$E$6:$E$48</definedName>
    <definedName name="_xlchart.v1.27" hidden="1">'6. Charts'!$A$52:$B$57</definedName>
    <definedName name="_xlchart.v1.28" hidden="1">'6. Charts'!$C$51</definedName>
    <definedName name="_xlchart.v1.29" hidden="1">'6. Charts'!$C$52:$C$57</definedName>
    <definedName name="_xlchart.v1.30" hidden="1">'6. Charts'!$D$5</definedName>
    <definedName name="_xlchart.v1.31" hidden="1">'6. Charts'!$D$6:$D$49</definedName>
    <definedName name="_xlchart.v1.6" hidden="1">'6. Charts'!$B$6:$B$18</definedName>
    <definedName name="_xlchart.v1.7" hidden="1">'6. Charts'!$C$6:$C$18</definedName>
    <definedName name="_xlchart.v1.8" hidden="1">'6. Charts'!$D$6:$D$18</definedName>
    <definedName name="_xlchart.v2.25" hidden="1">'6. Charts'!$D$5</definedName>
    <definedName name="_xlchart.v2.26" hidden="1">'6. Charts'!$D$6:$D$49</definedName>
    <definedName name="_xlchart.v5.10" hidden="1">'6. Charts'!$A$230:$A$233</definedName>
    <definedName name="_xlchart.v5.11" hidden="1">'6. Charts'!$B$229</definedName>
    <definedName name="_xlchart.v5.12" hidden="1">'6. Charts'!$B$230:$B$233</definedName>
    <definedName name="_xlchart.v5.13" hidden="1">'6. Charts'!$A$223</definedName>
    <definedName name="_xlchart.v5.14" hidden="1">'6. Charts'!$A$224:$A$227</definedName>
    <definedName name="_xlchart.v5.15" hidden="1">'6. Charts'!$B$223</definedName>
    <definedName name="_xlchart.v5.16" hidden="1">'6. Charts'!$B$224:$B$227</definedName>
    <definedName name="_xlchart.v5.2" hidden="1">'6. Charts'!$A$218</definedName>
    <definedName name="_xlchart.v5.3" hidden="1">'6. Charts'!$A$219:$A$221</definedName>
    <definedName name="_xlchart.v5.4" hidden="1">'6. Charts'!$B$218</definedName>
    <definedName name="_xlchart.v5.5" hidden="1">'6. Charts'!$B$219:$B$221</definedName>
    <definedName name="_xlchart.v5.9" hidden="1">'6. Charts'!$A$229</definedName>
    <definedName name="fivetimesfive">'2. Basic functions'!$B$166</definedName>
    <definedName name="_xlnm.Print_Area" localSheetId="2">'2. Basic functions'!$B$97:$E$106</definedName>
    <definedName name="xrange">OFFSET('6. Charts'!$A$404,'6. Charts'!$S$406,0,'6. Charts'!$S$408)</definedName>
    <definedName name="yrange">OFFSET('6. Charts'!$B$404,'6. Charts'!$S$406,0,'6. Charts'!$S$408)</definedName>
  </definedNames>
  <calcPr calcId="191029" iterateDelta="9.9999999999999995E-7"/>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8" l="1"/>
  <c r="D13" i="8"/>
  <c r="D14" i="8"/>
  <c r="D15" i="8"/>
  <c r="D16" i="8"/>
  <c r="D17" i="8"/>
  <c r="D18" i="8"/>
  <c r="D19" i="8"/>
  <c r="D20" i="8"/>
  <c r="D21" i="8"/>
  <c r="D22" i="8"/>
  <c r="D23" i="8"/>
  <c r="D24" i="8"/>
  <c r="D25" i="8"/>
  <c r="D26" i="8"/>
  <c r="D27" i="8"/>
  <c r="D28" i="8"/>
  <c r="D29" i="8"/>
  <c r="D30" i="8"/>
  <c r="D31" i="8"/>
  <c r="D32" i="8"/>
  <c r="D33" i="8"/>
  <c r="D34" i="8"/>
  <c r="D35" i="8"/>
  <c r="D36" i="8"/>
  <c r="D37" i="8"/>
  <c r="D38" i="8"/>
  <c r="D39" i="8"/>
  <c r="D40" i="8"/>
  <c r="D41" i="8"/>
  <c r="D42" i="8"/>
  <c r="D43" i="8"/>
  <c r="D44" i="8"/>
  <c r="D45" i="8"/>
  <c r="D46" i="8"/>
  <c r="D47" i="8"/>
  <c r="D48" i="8"/>
  <c r="D49" i="8"/>
  <c r="D50" i="8"/>
  <c r="D51" i="8"/>
  <c r="D52" i="8"/>
  <c r="D53" i="8"/>
  <c r="D54" i="8"/>
  <c r="D55" i="8"/>
  <c r="D56" i="8"/>
  <c r="D57" i="8"/>
  <c r="D58" i="8"/>
  <c r="D59" i="8"/>
  <c r="D60" i="8"/>
  <c r="D61" i="8"/>
  <c r="D62" i="8"/>
  <c r="D63" i="8"/>
  <c r="D64" i="8"/>
  <c r="D66" i="8"/>
  <c r="D67" i="8"/>
  <c r="D68" i="8"/>
  <c r="D69" i="8"/>
  <c r="D70" i="8"/>
  <c r="D71" i="8"/>
  <c r="D72" i="8"/>
  <c r="D73" i="8"/>
  <c r="D74" i="8"/>
  <c r="D75" i="8"/>
  <c r="D76" i="8"/>
  <c r="D77" i="8"/>
  <c r="D78" i="8"/>
  <c r="D79" i="8"/>
  <c r="D80" i="8"/>
  <c r="D81" i="8"/>
  <c r="D82" i="8"/>
  <c r="D83" i="8"/>
  <c r="D84" i="8"/>
  <c r="D85" i="8"/>
  <c r="D86" i="8"/>
  <c r="D87" i="8"/>
  <c r="D88" i="8"/>
  <c r="D89" i="8"/>
  <c r="D90" i="8"/>
  <c r="D91" i="8"/>
  <c r="D92" i="8"/>
  <c r="D93" i="8"/>
  <c r="D94" i="8"/>
  <c r="D95" i="8"/>
  <c r="D96" i="8"/>
  <c r="D97" i="8"/>
  <c r="D98" i="8"/>
  <c r="D99" i="8"/>
  <c r="D100" i="8"/>
  <c r="D101" i="8"/>
  <c r="D102" i="8"/>
  <c r="D103" i="8"/>
  <c r="D104" i="8"/>
  <c r="D105" i="8"/>
  <c r="D106" i="8"/>
  <c r="D107" i="8"/>
  <c r="D108" i="8"/>
  <c r="D109" i="8"/>
  <c r="D110" i="8"/>
  <c r="D111" i="8"/>
  <c r="D112" i="8"/>
  <c r="D113" i="8"/>
  <c r="E113" i="8" s="1"/>
  <c r="D114" i="8"/>
  <c r="E114" i="8" s="1"/>
  <c r="D115" i="8"/>
  <c r="E115" i="8" s="1"/>
  <c r="D116" i="8"/>
  <c r="E116" i="8" s="1"/>
  <c r="D117" i="8"/>
  <c r="E117" i="8" s="1"/>
  <c r="D118" i="8"/>
  <c r="E118" i="8" s="1"/>
  <c r="D119" i="8"/>
  <c r="E119" i="8" s="1"/>
  <c r="D120" i="8"/>
  <c r="D121" i="8"/>
  <c r="D122" i="8"/>
  <c r="D123" i="8"/>
  <c r="D124" i="8"/>
  <c r="D125" i="8"/>
  <c r="D126" i="8"/>
  <c r="D127" i="8"/>
  <c r="D128" i="8"/>
  <c r="D129" i="8"/>
  <c r="D130" i="8"/>
  <c r="D131" i="8"/>
  <c r="D132" i="8"/>
  <c r="D133" i="8"/>
  <c r="D134" i="8"/>
  <c r="D135" i="8"/>
  <c r="D136" i="8"/>
  <c r="D137" i="8"/>
  <c r="D138" i="8"/>
  <c r="D139" i="8"/>
  <c r="D140" i="8"/>
  <c r="D141" i="8"/>
  <c r="D142" i="8"/>
  <c r="D143" i="8"/>
  <c r="D144" i="8"/>
  <c r="D145" i="8"/>
  <c r="D146" i="8"/>
  <c r="D147" i="8"/>
  <c r="D148" i="8"/>
  <c r="D149" i="8"/>
  <c r="D150" i="8"/>
  <c r="D151" i="8"/>
  <c r="D152" i="8"/>
  <c r="D153" i="8"/>
  <c r="D154" i="8"/>
  <c r="D155" i="8"/>
  <c r="D156" i="8"/>
  <c r="D157" i="8"/>
  <c r="D158" i="8"/>
  <c r="D159" i="8"/>
  <c r="D160" i="8"/>
  <c r="D161" i="8"/>
  <c r="D162" i="8"/>
  <c r="D163" i="8"/>
  <c r="D164" i="8"/>
  <c r="D165" i="8"/>
  <c r="D166" i="8"/>
  <c r="D167" i="8"/>
  <c r="D168" i="8"/>
  <c r="D169" i="8"/>
  <c r="D170" i="8"/>
  <c r="D171" i="8"/>
  <c r="D172" i="8"/>
  <c r="D173" i="8"/>
  <c r="D174" i="8"/>
  <c r="D175" i="8"/>
  <c r="D176" i="8"/>
  <c r="D177" i="8"/>
  <c r="D178" i="8"/>
  <c r="D179" i="8"/>
  <c r="D180" i="8"/>
  <c r="D181" i="8"/>
  <c r="D182" i="8"/>
  <c r="D183" i="8"/>
  <c r="D184" i="8"/>
  <c r="D185" i="8"/>
  <c r="D186" i="8"/>
  <c r="D187" i="8"/>
  <c r="D188" i="8"/>
  <c r="D189" i="8"/>
  <c r="D190" i="8"/>
  <c r="D191" i="8"/>
  <c r="D192" i="8"/>
  <c r="D193" i="8"/>
  <c r="D194" i="8"/>
  <c r="D195" i="8"/>
  <c r="D196" i="8"/>
  <c r="D197" i="8"/>
  <c r="D198" i="8"/>
  <c r="D199" i="8"/>
  <c r="D200" i="8"/>
  <c r="D202" i="8"/>
  <c r="D203" i="8"/>
  <c r="D204" i="8"/>
  <c r="D205" i="8"/>
  <c r="D206" i="8"/>
  <c r="D207" i="8"/>
  <c r="D208" i="8"/>
  <c r="D209" i="8"/>
  <c r="D210" i="8"/>
  <c r="D211" i="8"/>
  <c r="D212" i="8"/>
  <c r="D213" i="8"/>
  <c r="D214" i="8"/>
  <c r="D215" i="8"/>
  <c r="D216" i="8"/>
  <c r="D217" i="8"/>
  <c r="D218" i="8"/>
  <c r="D219" i="8"/>
  <c r="D220" i="8"/>
  <c r="D221" i="8"/>
  <c r="D222" i="8"/>
  <c r="D223" i="8"/>
  <c r="D224" i="8"/>
  <c r="D225" i="8"/>
  <c r="D226" i="8"/>
  <c r="D227" i="8"/>
  <c r="D228" i="8"/>
  <c r="D229" i="8"/>
  <c r="D230" i="8"/>
  <c r="D231" i="8"/>
  <c r="D232" i="8"/>
  <c r="D233" i="8"/>
  <c r="D234" i="8"/>
  <c r="D235" i="8"/>
  <c r="D236" i="8"/>
  <c r="D237" i="8"/>
  <c r="D238" i="8"/>
  <c r="D239" i="8"/>
  <c r="D240" i="8"/>
  <c r="D241" i="8"/>
  <c r="D242" i="8"/>
  <c r="D243" i="8"/>
  <c r="D244" i="8"/>
  <c r="D245" i="8"/>
  <c r="D246" i="8"/>
  <c r="D247" i="8"/>
  <c r="D248" i="8"/>
  <c r="D249" i="8"/>
  <c r="D250" i="8"/>
  <c r="D251" i="8"/>
  <c r="D252" i="8"/>
  <c r="D253" i="8"/>
  <c r="D254" i="8"/>
  <c r="D255" i="8"/>
  <c r="D256" i="8"/>
  <c r="D257" i="8"/>
  <c r="D258" i="8"/>
  <c r="D259" i="8"/>
  <c r="D260" i="8"/>
  <c r="D261" i="8"/>
  <c r="D262" i="8"/>
  <c r="D264" i="8"/>
  <c r="D265" i="8"/>
  <c r="D266" i="8"/>
  <c r="D267" i="8"/>
  <c r="D268" i="8"/>
  <c r="D269" i="8"/>
  <c r="D270" i="8"/>
  <c r="D271" i="8"/>
  <c r="D272" i="8"/>
  <c r="D273" i="8"/>
  <c r="D274" i="8"/>
  <c r="D275" i="8"/>
  <c r="D276" i="8"/>
  <c r="D277" i="8"/>
  <c r="D278" i="8"/>
  <c r="D279" i="8"/>
  <c r="D280" i="8"/>
  <c r="D281" i="8"/>
  <c r="D282" i="8"/>
  <c r="D283" i="8"/>
  <c r="D284" i="8"/>
  <c r="D285" i="8"/>
  <c r="D286" i="8"/>
  <c r="D287" i="8"/>
  <c r="D288" i="8"/>
  <c r="D289" i="8"/>
  <c r="D290" i="8"/>
  <c r="D291" i="8"/>
  <c r="D292" i="8"/>
  <c r="D293" i="8"/>
  <c r="D294" i="8"/>
  <c r="D295" i="8"/>
  <c r="D296" i="8"/>
  <c r="D297" i="8"/>
  <c r="D298" i="8"/>
  <c r="D299" i="8"/>
  <c r="D300" i="8"/>
  <c r="D301" i="8"/>
  <c r="D302" i="8"/>
  <c r="D303" i="8"/>
  <c r="D304" i="8"/>
  <c r="D305" i="8"/>
  <c r="D306" i="8"/>
  <c r="D307" i="8"/>
  <c r="D308" i="8"/>
  <c r="D309" i="8"/>
  <c r="D310" i="8"/>
  <c r="D311" i="8"/>
  <c r="D312" i="8"/>
  <c r="D313" i="8"/>
  <c r="D314" i="8"/>
  <c r="D315" i="8"/>
  <c r="D316" i="8"/>
  <c r="D317" i="8"/>
  <c r="D318" i="8"/>
  <c r="D319" i="8"/>
  <c r="D320" i="8"/>
  <c r="D321" i="8"/>
  <c r="D322" i="8"/>
  <c r="D323" i="8"/>
  <c r="D324" i="8"/>
  <c r="D325" i="8"/>
  <c r="D326" i="8"/>
  <c r="D327" i="8"/>
  <c r="D328" i="8"/>
  <c r="D329" i="8"/>
  <c r="D330" i="8"/>
  <c r="D331" i="8"/>
  <c r="D332" i="8"/>
  <c r="D333" i="8"/>
  <c r="D334" i="8"/>
  <c r="D335" i="8"/>
  <c r="D336" i="8"/>
  <c r="D337" i="8"/>
  <c r="D338" i="8"/>
  <c r="D339" i="8"/>
  <c r="D340" i="8"/>
  <c r="D341" i="8"/>
  <c r="D342" i="8"/>
  <c r="D343" i="8"/>
  <c r="D344" i="8"/>
  <c r="D345" i="8"/>
  <c r="D346" i="8"/>
  <c r="D347" i="8"/>
  <c r="D348" i="8"/>
  <c r="D349" i="8"/>
  <c r="D350" i="8"/>
  <c r="D351" i="8"/>
  <c r="D352" i="8"/>
  <c r="D353" i="8"/>
  <c r="D354" i="8"/>
  <c r="D355" i="8"/>
  <c r="D356" i="8"/>
  <c r="D357" i="8"/>
  <c r="D358" i="8"/>
  <c r="D359" i="8"/>
  <c r="D360" i="8"/>
  <c r="D361" i="8"/>
  <c r="D362" i="8"/>
  <c r="D363" i="8"/>
  <c r="D364" i="8"/>
  <c r="D365" i="8"/>
  <c r="D366" i="8"/>
  <c r="D367" i="8"/>
  <c r="D368" i="8"/>
  <c r="D369" i="8"/>
  <c r="D370" i="8"/>
  <c r="D371" i="8"/>
  <c r="D372" i="8"/>
  <c r="D373" i="8"/>
  <c r="D374" i="8"/>
  <c r="D375" i="8"/>
  <c r="D376" i="8"/>
  <c r="D377" i="8"/>
  <c r="D378" i="8"/>
  <c r="D379" i="8"/>
  <c r="D380" i="8"/>
  <c r="D381" i="8"/>
  <c r="D382" i="8"/>
  <c r="D383" i="8"/>
  <c r="D384" i="8"/>
  <c r="D385" i="8"/>
  <c r="D386" i="8"/>
  <c r="D387" i="8"/>
  <c r="D388" i="8"/>
  <c r="D389" i="8"/>
  <c r="D390" i="8"/>
  <c r="D391" i="8"/>
  <c r="D392" i="8"/>
  <c r="D393" i="8"/>
  <c r="D394" i="8"/>
  <c r="D395" i="8"/>
  <c r="D396" i="8"/>
  <c r="D397" i="8"/>
  <c r="D398" i="8"/>
  <c r="D399" i="8"/>
  <c r="D400" i="8"/>
  <c r="D401" i="8"/>
  <c r="D402" i="8"/>
  <c r="D403" i="8"/>
  <c r="D404" i="8"/>
  <c r="D405" i="8"/>
  <c r="D406" i="8"/>
  <c r="D407" i="8"/>
  <c r="D408" i="8"/>
  <c r="E408" i="8" s="1"/>
  <c r="D409" i="8"/>
  <c r="D410" i="8"/>
  <c r="D411" i="8"/>
  <c r="D412" i="8"/>
  <c r="D413" i="8"/>
  <c r="D414" i="8"/>
  <c r="D415" i="8"/>
  <c r="D416" i="8"/>
  <c r="D417" i="8"/>
  <c r="D418" i="8"/>
  <c r="D419" i="8"/>
  <c r="D420" i="8"/>
  <c r="D421" i="8"/>
  <c r="D422" i="8"/>
  <c r="D423" i="8"/>
  <c r="D424" i="8"/>
  <c r="D425" i="8"/>
  <c r="D426" i="8"/>
  <c r="D427" i="8"/>
  <c r="D428" i="8"/>
  <c r="D429" i="8"/>
  <c r="D430" i="8"/>
  <c r="D431" i="8"/>
  <c r="D432" i="8"/>
  <c r="D433" i="8"/>
  <c r="D434" i="8"/>
  <c r="D435" i="8"/>
  <c r="D436" i="8"/>
  <c r="D437" i="8"/>
  <c r="D438" i="8"/>
  <c r="D439" i="8"/>
  <c r="D440" i="8"/>
  <c r="D441" i="8"/>
  <c r="D442" i="8"/>
  <c r="D443" i="8"/>
  <c r="D444" i="8"/>
  <c r="D445" i="8"/>
  <c r="D446" i="8"/>
  <c r="D447" i="8"/>
  <c r="D448" i="8"/>
  <c r="D449" i="8"/>
  <c r="D450" i="8"/>
  <c r="D451" i="8"/>
  <c r="D452" i="8"/>
  <c r="D453" i="8"/>
  <c r="D454" i="8"/>
  <c r="D455" i="8"/>
  <c r="D456" i="8"/>
  <c r="D457" i="8"/>
  <c r="D458" i="8"/>
  <c r="D459" i="8"/>
  <c r="D460" i="8"/>
  <c r="D461" i="8"/>
  <c r="D462" i="8"/>
  <c r="D463" i="8"/>
  <c r="D464" i="8"/>
  <c r="D465" i="8"/>
  <c r="D466" i="8"/>
  <c r="D467" i="8"/>
  <c r="D468" i="8"/>
  <c r="D469" i="8"/>
  <c r="D470" i="8"/>
  <c r="D471" i="8"/>
  <c r="D472" i="8"/>
  <c r="D473" i="8"/>
  <c r="E473" i="8" s="1"/>
  <c r="D474" i="8"/>
  <c r="D475" i="8"/>
  <c r="D476" i="8"/>
  <c r="D477" i="8"/>
  <c r="D478" i="8"/>
  <c r="D479" i="8"/>
  <c r="D480" i="8"/>
  <c r="D481" i="8"/>
  <c r="D482" i="8"/>
  <c r="D483" i="8"/>
  <c r="D484" i="8"/>
  <c r="D485" i="8"/>
  <c r="D486" i="8"/>
  <c r="D487" i="8"/>
  <c r="D488" i="8"/>
  <c r="D489" i="8"/>
  <c r="D490" i="8"/>
  <c r="D491" i="8"/>
  <c r="D492" i="8"/>
  <c r="D493" i="8"/>
  <c r="D494" i="8"/>
  <c r="D495" i="8"/>
  <c r="D496" i="8"/>
  <c r="D497" i="8"/>
  <c r="D498" i="8"/>
  <c r="D499" i="8"/>
  <c r="D500" i="8"/>
  <c r="D501" i="8"/>
  <c r="D502" i="8"/>
  <c r="D503" i="8"/>
  <c r="D504" i="8"/>
  <c r="D505" i="8"/>
  <c r="D506" i="8"/>
  <c r="D507" i="8"/>
  <c r="D508" i="8"/>
  <c r="D509" i="8"/>
  <c r="D510" i="8"/>
  <c r="D511" i="8"/>
  <c r="D512" i="8"/>
  <c r="D513" i="8"/>
  <c r="D514" i="8"/>
  <c r="D515" i="8"/>
  <c r="D516" i="8"/>
  <c r="D517" i="8"/>
  <c r="D518" i="8"/>
  <c r="D519" i="8"/>
  <c r="D520" i="8"/>
  <c r="D521" i="8"/>
  <c r="D522" i="8"/>
  <c r="D523" i="8"/>
  <c r="D524" i="8"/>
  <c r="D525" i="8"/>
  <c r="D526" i="8"/>
  <c r="D527" i="8"/>
  <c r="D528" i="8"/>
  <c r="D529" i="8"/>
  <c r="D530" i="8"/>
  <c r="D531" i="8"/>
  <c r="D532" i="8"/>
  <c r="D533" i="8"/>
  <c r="D534" i="8"/>
  <c r="D535" i="8"/>
  <c r="D536" i="8"/>
  <c r="D537" i="8"/>
  <c r="D11" i="8"/>
  <c r="C48" i="13"/>
  <c r="C432" i="8"/>
  <c r="C431" i="8"/>
  <c r="C286" i="8" a="1"/>
  <c r="C286" i="8" s="1"/>
  <c r="C201" i="8"/>
  <c r="C38" i="8"/>
  <c r="C19" i="8"/>
  <c r="D37" i="12"/>
  <c r="D19" i="12"/>
  <c r="F5" i="12"/>
  <c r="C9" i="12" s="1"/>
  <c r="B198" i="9"/>
  <c r="B166" i="9"/>
  <c r="B167" i="9" s="1"/>
  <c r="C160" i="9"/>
  <c r="C161" i="9"/>
  <c r="F4" i="8"/>
  <c r="C537" i="8"/>
  <c r="C536" i="8"/>
  <c r="C535" i="8"/>
  <c r="C534" i="8"/>
  <c r="C533" i="8"/>
  <c r="C532" i="8"/>
  <c r="C531" i="8"/>
  <c r="C530" i="8"/>
  <c r="C529" i="8"/>
  <c r="C528" i="8"/>
  <c r="C527" i="8" a="1"/>
  <c r="C527" i="8" s="1"/>
  <c r="C526" i="8"/>
  <c r="C525" i="8"/>
  <c r="C524" i="8"/>
  <c r="C523" i="8"/>
  <c r="C522" i="8"/>
  <c r="C521" i="8"/>
  <c r="C520" i="8"/>
  <c r="C519" i="8"/>
  <c r="C518" i="8"/>
  <c r="C517" i="8"/>
  <c r="C516" i="8" a="1"/>
  <c r="C516" i="8" s="1"/>
  <c r="C515" i="8"/>
  <c r="C514" i="8"/>
  <c r="C513" i="8"/>
  <c r="C512" i="8"/>
  <c r="C511" i="8"/>
  <c r="C510" i="8"/>
  <c r="C509" i="8"/>
  <c r="C508" i="8"/>
  <c r="C507" i="8"/>
  <c r="C506" i="8"/>
  <c r="C505" i="8"/>
  <c r="C504" i="8" a="1"/>
  <c r="C504" i="8" s="1"/>
  <c r="C503" i="8"/>
  <c r="C502" i="8"/>
  <c r="C501" i="8"/>
  <c r="C500" i="8"/>
  <c r="C499" i="8"/>
  <c r="C498" i="8"/>
  <c r="C497" i="8" a="1"/>
  <c r="C497" i="8" s="1"/>
  <c r="C496" i="8"/>
  <c r="C495" i="8"/>
  <c r="C494" i="8" a="1"/>
  <c r="C494" i="8" s="1"/>
  <c r="C493" i="8" a="1"/>
  <c r="C493" i="8" s="1"/>
  <c r="C492" i="8"/>
  <c r="C491" i="8" a="1"/>
  <c r="C491" i="8" s="1"/>
  <c r="C490" i="8"/>
  <c r="C489" i="8" a="1"/>
  <c r="C489" i="8" s="1"/>
  <c r="C488" i="8"/>
  <c r="C487" i="8"/>
  <c r="C486" i="8"/>
  <c r="C485" i="8"/>
  <c r="C484" i="8"/>
  <c r="C483" i="8"/>
  <c r="C482" i="8"/>
  <c r="C481" i="8"/>
  <c r="C480" i="8"/>
  <c r="C479" i="8"/>
  <c r="C478" i="8"/>
  <c r="C477" i="8"/>
  <c r="C476" i="8"/>
  <c r="C475" i="8"/>
  <c r="C474" i="8" a="1"/>
  <c r="C474" i="8" s="1"/>
  <c r="C472" i="8"/>
  <c r="C471" i="8"/>
  <c r="C470" i="8"/>
  <c r="C469" i="8"/>
  <c r="C468" i="8"/>
  <c r="C467" i="8"/>
  <c r="C466" i="8"/>
  <c r="C465" i="8"/>
  <c r="C464" i="8" a="1"/>
  <c r="C464" i="8" s="1"/>
  <c r="C463" i="8"/>
  <c r="C462" i="8"/>
  <c r="C461" i="8"/>
  <c r="C460" i="8"/>
  <c r="C459" i="8"/>
  <c r="C456" i="8"/>
  <c r="C455" i="8"/>
  <c r="C454" i="8"/>
  <c r="C453" i="8" a="1"/>
  <c r="C453" i="8" s="1"/>
  <c r="C452" i="8"/>
  <c r="C451" i="8"/>
  <c r="C450" i="8"/>
  <c r="C449" i="8"/>
  <c r="C448" i="8"/>
  <c r="C447" i="8"/>
  <c r="C446" i="8"/>
  <c r="C445" i="8"/>
  <c r="C444" i="8"/>
  <c r="C443" i="8"/>
  <c r="C442" i="8" a="1"/>
  <c r="C442" i="8" s="1"/>
  <c r="C441" i="8" a="1"/>
  <c r="C441" i="8" s="1"/>
  <c r="C440" i="8"/>
  <c r="C439" i="8"/>
  <c r="C438" i="8"/>
  <c r="C437" i="8"/>
  <c r="C436" i="8"/>
  <c r="C435" i="8"/>
  <c r="C434" i="8"/>
  <c r="C433" i="8"/>
  <c r="C430" i="8"/>
  <c r="C429" i="8" a="1"/>
  <c r="C429" i="8" s="1"/>
  <c r="C428" i="8"/>
  <c r="C427" i="8"/>
  <c r="C426" i="8"/>
  <c r="C425" i="8"/>
  <c r="C424" i="8"/>
  <c r="C423" i="8" a="1"/>
  <c r="C423" i="8" s="1"/>
  <c r="C422" i="8"/>
  <c r="C421" i="8"/>
  <c r="C420" i="8"/>
  <c r="C419" i="8"/>
  <c r="C418" i="8"/>
  <c r="C417" i="8"/>
  <c r="C416" i="8"/>
  <c r="C415" i="8"/>
  <c r="C414" i="8"/>
  <c r="C413" i="8"/>
  <c r="C412" i="8"/>
  <c r="C411" i="8"/>
  <c r="C410" i="8"/>
  <c r="C409" i="8"/>
  <c r="C407" i="8"/>
  <c r="C406" i="8"/>
  <c r="C405" i="8" a="1"/>
  <c r="C405" i="8" s="1"/>
  <c r="C404" i="8" a="1"/>
  <c r="C404" i="8" s="1"/>
  <c r="C403" i="8"/>
  <c r="C402" i="8"/>
  <c r="C398" i="8"/>
  <c r="C397" i="8" a="1"/>
  <c r="C397" i="8" s="1"/>
  <c r="C396" i="8"/>
  <c r="C395" i="8"/>
  <c r="C394" i="8"/>
  <c r="C393" i="8"/>
  <c r="C392" i="8"/>
  <c r="C391" i="8"/>
  <c r="C390" i="8" a="1"/>
  <c r="C390" i="8" s="1"/>
  <c r="C389" i="8"/>
  <c r="C388" i="8"/>
  <c r="C387" i="8"/>
  <c r="C386" i="8"/>
  <c r="C385" i="8"/>
  <c r="C384" i="8"/>
  <c r="C383" i="8"/>
  <c r="C382" i="8"/>
  <c r="C381" i="8"/>
  <c r="C380" i="8"/>
  <c r="C379" i="8"/>
  <c r="C378" i="8"/>
  <c r="C377" i="8"/>
  <c r="C376" i="8"/>
  <c r="C375" i="8"/>
  <c r="C374" i="8"/>
  <c r="C373" i="8"/>
  <c r="C372" i="8"/>
  <c r="C371" i="8"/>
  <c r="C370" i="8"/>
  <c r="C369" i="8"/>
  <c r="C368" i="8"/>
  <c r="C367" i="8"/>
  <c r="C366" i="8"/>
  <c r="C365" i="8"/>
  <c r="C364" i="8"/>
  <c r="C363" i="8"/>
  <c r="C362" i="8"/>
  <c r="C361" i="8"/>
  <c r="C360" i="8"/>
  <c r="C359" i="8"/>
  <c r="C358" i="8"/>
  <c r="C357" i="8"/>
  <c r="C356" i="8"/>
  <c r="C355" i="8"/>
  <c r="C354" i="8"/>
  <c r="C353" i="8"/>
  <c r="C352" i="8"/>
  <c r="C351" i="8"/>
  <c r="C350" i="8"/>
  <c r="C349" i="8"/>
  <c r="C348" i="8"/>
  <c r="C347" i="8"/>
  <c r="C346" i="8"/>
  <c r="C345" i="8"/>
  <c r="C344" i="8"/>
  <c r="C343" i="8"/>
  <c r="C342" i="8"/>
  <c r="C341" i="8"/>
  <c r="C340" i="8"/>
  <c r="C339" i="8"/>
  <c r="C338" i="8"/>
  <c r="C337" i="8"/>
  <c r="C336" i="8"/>
  <c r="C335" i="8"/>
  <c r="C334" i="8"/>
  <c r="C333" i="8"/>
  <c r="C332" i="8" a="1"/>
  <c r="C332" i="8" s="1"/>
  <c r="C331" i="8"/>
  <c r="C330" i="8"/>
  <c r="C329" i="8"/>
  <c r="C328" i="8"/>
  <c r="C327" i="8" a="1"/>
  <c r="C327" i="8" s="1"/>
  <c r="C326" i="8"/>
  <c r="C325" i="8"/>
  <c r="C324" i="8" a="1"/>
  <c r="C324" i="8" s="1"/>
  <c r="C323" i="8"/>
  <c r="C322" i="8" a="1"/>
  <c r="C322" i="8" s="1"/>
  <c r="C321" i="8"/>
  <c r="C319" i="8"/>
  <c r="C318" i="8"/>
  <c r="C317" i="8"/>
  <c r="C316" i="8"/>
  <c r="C315" i="8"/>
  <c r="C314" i="8"/>
  <c r="C313" i="8"/>
  <c r="C311" i="8"/>
  <c r="C310" i="8"/>
  <c r="C309" i="8"/>
  <c r="C308" i="8" a="1"/>
  <c r="C308" i="8" s="1"/>
  <c r="C307" i="8" a="1"/>
  <c r="C307" i="8" s="1"/>
  <c r="C306" i="8"/>
  <c r="C305" i="8"/>
  <c r="C304" i="8"/>
  <c r="C303" i="8"/>
  <c r="C302" i="8"/>
  <c r="C301" i="8"/>
  <c r="C300" i="8"/>
  <c r="C299" i="8"/>
  <c r="C298" i="8"/>
  <c r="C297" i="8"/>
  <c r="C296" i="8"/>
  <c r="C295" i="8"/>
  <c r="C294" i="8"/>
  <c r="C293" i="8"/>
  <c r="C292" i="8"/>
  <c r="C291" i="8"/>
  <c r="C290" i="8"/>
  <c r="C289" i="8"/>
  <c r="C288" i="8" a="1"/>
  <c r="C288" i="8" s="1"/>
  <c r="C287" i="8"/>
  <c r="C285" i="8"/>
  <c r="C284" i="8"/>
  <c r="C283" i="8"/>
  <c r="C282" i="8"/>
  <c r="C281" i="8"/>
  <c r="C280" i="8"/>
  <c r="C279" i="8"/>
  <c r="C278" i="8"/>
  <c r="C277" i="8"/>
  <c r="C276" i="8"/>
  <c r="C275" i="8"/>
  <c r="C274" i="8"/>
  <c r="C273" i="8"/>
  <c r="C272" i="8"/>
  <c r="C271" i="8"/>
  <c r="C270" i="8"/>
  <c r="C269" i="8"/>
  <c r="C268" i="8"/>
  <c r="C267" i="8"/>
  <c r="C266" i="8"/>
  <c r="C265" i="8"/>
  <c r="C264" i="8"/>
  <c r="C263" i="8" a="1"/>
  <c r="C263" i="8" s="1"/>
  <c r="C262" i="8" a="1"/>
  <c r="C262" i="8" s="1"/>
  <c r="C261" i="8"/>
  <c r="C260" i="8"/>
  <c r="C259" i="8"/>
  <c r="C258" i="8"/>
  <c r="C257" i="8"/>
  <c r="C256" i="8"/>
  <c r="C255" i="8"/>
  <c r="C254" i="8"/>
  <c r="C253" i="8"/>
  <c r="C252" i="8"/>
  <c r="C251" i="8"/>
  <c r="C250" i="8" a="1"/>
  <c r="C250" i="8" s="1"/>
  <c r="C249" i="8" a="1"/>
  <c r="C249" i="8" s="1"/>
  <c r="C248" i="8"/>
  <c r="C247" i="8"/>
  <c r="C246" i="8"/>
  <c r="C245" i="8"/>
  <c r="C244" i="8"/>
  <c r="C243" i="8"/>
  <c r="C242" i="8"/>
  <c r="C241" i="8"/>
  <c r="C240" i="8"/>
  <c r="C239" i="8"/>
  <c r="C238" i="8"/>
  <c r="C237" i="8"/>
  <c r="C236" i="8"/>
  <c r="C235" i="8"/>
  <c r="C234" i="8"/>
  <c r="C233" i="8" a="1"/>
  <c r="C233" i="8" s="1"/>
  <c r="C232" i="8"/>
  <c r="C231" i="8"/>
  <c r="C230" i="8"/>
  <c r="C229" i="8"/>
  <c r="C228" i="8"/>
  <c r="C227" i="8"/>
  <c r="C226" i="8" a="1"/>
  <c r="C226" i="8" s="1"/>
  <c r="C225" i="8"/>
  <c r="C224" i="8"/>
  <c r="C223" i="8"/>
  <c r="C222" i="8"/>
  <c r="C221" i="8"/>
  <c r="C220" i="8"/>
  <c r="C219" i="8" a="1"/>
  <c r="C219" i="8" s="1"/>
  <c r="C218" i="8"/>
  <c r="C217" i="8"/>
  <c r="C216" i="8"/>
  <c r="C215" i="8"/>
  <c r="C214" i="8"/>
  <c r="C213" i="8"/>
  <c r="C212" i="8"/>
  <c r="C211" i="8"/>
  <c r="C210" i="8"/>
  <c r="C209" i="8"/>
  <c r="C208" i="8"/>
  <c r="C207" i="8"/>
  <c r="C206" i="8"/>
  <c r="C205" i="8"/>
  <c r="C204" i="8"/>
  <c r="C203" i="8"/>
  <c r="C202" i="8" a="1"/>
  <c r="C202" i="8" s="1"/>
  <c r="C200" i="8"/>
  <c r="C199" i="8"/>
  <c r="C198" i="8"/>
  <c r="C197" i="8"/>
  <c r="C196" i="8"/>
  <c r="C195" i="8"/>
  <c r="C194" i="8"/>
  <c r="C193" i="8"/>
  <c r="C192" i="8"/>
  <c r="C191" i="8"/>
  <c r="C190" i="8"/>
  <c r="C189" i="8"/>
  <c r="C188" i="8"/>
  <c r="C187" i="8"/>
  <c r="C186" i="8"/>
  <c r="C185" i="8" a="1"/>
  <c r="C185" i="8" s="1"/>
  <c r="C184" i="8" a="1"/>
  <c r="C184" i="8" s="1"/>
  <c r="C183" i="8" a="1"/>
  <c r="C183" i="8" s="1"/>
  <c r="C182" i="8"/>
  <c r="C181" i="8"/>
  <c r="C180" i="8"/>
  <c r="C179" i="8"/>
  <c r="C178" i="8"/>
  <c r="C177" i="8"/>
  <c r="C176" i="8"/>
  <c r="C175" i="8"/>
  <c r="C174" i="8"/>
  <c r="C173" i="8"/>
  <c r="C172" i="8"/>
  <c r="C171" i="8" a="1"/>
  <c r="C171" i="8" s="1"/>
  <c r="C170" i="8"/>
  <c r="C169" i="8"/>
  <c r="C168" i="8"/>
  <c r="C167" i="8" a="1"/>
  <c r="C167" i="8" s="1"/>
  <c r="C166" i="8"/>
  <c r="C165" i="8"/>
  <c r="C164" i="8"/>
  <c r="C163" i="8"/>
  <c r="C162" i="8"/>
  <c r="C161" i="8"/>
  <c r="C160" i="8"/>
  <c r="C159" i="8"/>
  <c r="C158" i="8"/>
  <c r="C157" i="8"/>
  <c r="C156" i="8"/>
  <c r="C155" i="8"/>
  <c r="C154" i="8"/>
  <c r="C153" i="8"/>
  <c r="C152" i="8"/>
  <c r="C151" i="8"/>
  <c r="C150" i="8" a="1"/>
  <c r="C150" i="8" s="1"/>
  <c r="C149" i="8"/>
  <c r="C148" i="8"/>
  <c r="C147" i="8"/>
  <c r="C146" i="8"/>
  <c r="C145" i="8"/>
  <c r="C144" i="8"/>
  <c r="C143" i="8"/>
  <c r="C142" i="8"/>
  <c r="C141" i="8"/>
  <c r="C140" i="8"/>
  <c r="C139" i="8"/>
  <c r="C138" i="8"/>
  <c r="C137" i="8"/>
  <c r="C136" i="8"/>
  <c r="C135" i="8"/>
  <c r="C134" i="8"/>
  <c r="C133" i="8"/>
  <c r="C132" i="8"/>
  <c r="C131" i="8"/>
  <c r="C130" i="8"/>
  <c r="C129" i="8"/>
  <c r="C128" i="8"/>
  <c r="C127" i="8"/>
  <c r="C126" i="8"/>
  <c r="C125" i="8"/>
  <c r="C124" i="8"/>
  <c r="C123" i="8"/>
  <c r="C122" i="8"/>
  <c r="C121" i="8"/>
  <c r="C120" i="8"/>
  <c r="C112" i="8"/>
  <c r="C111" i="8"/>
  <c r="C110" i="8"/>
  <c r="C109" i="8"/>
  <c r="C108" i="8"/>
  <c r="C107" i="8"/>
  <c r="C106" i="8"/>
  <c r="C105" i="8"/>
  <c r="C104" i="8"/>
  <c r="C103" i="8"/>
  <c r="C102" i="8"/>
  <c r="C101" i="8"/>
  <c r="C100" i="8"/>
  <c r="C99" i="8"/>
  <c r="C98" i="8"/>
  <c r="C97" i="8"/>
  <c r="C96" i="8"/>
  <c r="C95" i="8"/>
  <c r="C94" i="8"/>
  <c r="C93" i="8"/>
  <c r="C92" i="8"/>
  <c r="C91" i="8"/>
  <c r="C90" i="8" a="1"/>
  <c r="C90" i="8" s="1"/>
  <c r="C89" i="8"/>
  <c r="C88" i="8"/>
  <c r="C87" i="8"/>
  <c r="C86" i="8"/>
  <c r="C85" i="8"/>
  <c r="C84" i="8"/>
  <c r="C83" i="8"/>
  <c r="C82" i="8"/>
  <c r="C81" i="8"/>
  <c r="C80" i="8"/>
  <c r="C79" i="8"/>
  <c r="C78" i="8"/>
  <c r="C77" i="8" a="1"/>
  <c r="C77" i="8" s="1"/>
  <c r="C76" i="8" a="1"/>
  <c r="C76" i="8" s="1"/>
  <c r="C75" i="8"/>
  <c r="C74" i="8"/>
  <c r="C73" i="8"/>
  <c r="C72" i="8"/>
  <c r="C71" i="8"/>
  <c r="C70" i="8"/>
  <c r="C69" i="8"/>
  <c r="C68" i="8"/>
  <c r="C67" i="8"/>
  <c r="C66" i="8"/>
  <c r="C65" i="8" a="1"/>
  <c r="C65" i="8" s="1"/>
  <c r="D65" i="8" s="1"/>
  <c r="E65" i="8" s="1"/>
  <c r="C64" i="8"/>
  <c r="C63" i="8"/>
  <c r="C62" i="8"/>
  <c r="E61" i="8"/>
  <c r="C60" i="8"/>
  <c r="C59" i="8"/>
  <c r="C58" i="8"/>
  <c r="C57" i="8"/>
  <c r="C56" i="8"/>
  <c r="C55" i="8"/>
  <c r="C54" i="8"/>
  <c r="C53" i="8"/>
  <c r="C52" i="8"/>
  <c r="C51" i="8"/>
  <c r="C50" i="8"/>
  <c r="C49" i="8"/>
  <c r="C48" i="8"/>
  <c r="C47" i="8"/>
  <c r="C46" i="8"/>
  <c r="C45" i="8"/>
  <c r="C44" i="8"/>
  <c r="C43" i="8"/>
  <c r="C42" i="8"/>
  <c r="C41" i="8"/>
  <c r="C40" i="8"/>
  <c r="C39" i="8"/>
  <c r="C37" i="8"/>
  <c r="C35" i="8"/>
  <c r="C34" i="8"/>
  <c r="C33" i="8"/>
  <c r="C32" i="8"/>
  <c r="C31" i="8"/>
  <c r="C30" i="8"/>
  <c r="C29" i="8"/>
  <c r="C28" i="8"/>
  <c r="C27" i="8"/>
  <c r="C26" i="8"/>
  <c r="C25" i="8"/>
  <c r="C24" i="8"/>
  <c r="C23" i="8"/>
  <c r="C22" i="8"/>
  <c r="C21" i="8"/>
  <c r="C20" i="8"/>
  <c r="C18" i="8"/>
  <c r="C17" i="8"/>
  <c r="C16" i="8"/>
  <c r="C15" i="8"/>
  <c r="C14" i="8"/>
  <c r="C13" i="8"/>
  <c r="C12" i="8"/>
  <c r="C11" i="8"/>
  <c r="L477" i="3"/>
  <c r="J477" i="3" s="1"/>
  <c r="L478" i="3"/>
  <c r="J478" i="3" s="1"/>
  <c r="L479" i="3"/>
  <c r="J479" i="3" s="1"/>
  <c r="L480" i="3"/>
  <c r="J480" i="3" s="1"/>
  <c r="L481" i="3"/>
  <c r="J481" i="3" s="1"/>
  <c r="L482" i="3"/>
  <c r="J482" i="3" s="1"/>
  <c r="L483" i="3"/>
  <c r="J483" i="3" s="1"/>
  <c r="L484" i="3"/>
  <c r="J484" i="3" s="1"/>
  <c r="L485" i="3"/>
  <c r="J485" i="3" s="1"/>
  <c r="L486" i="3"/>
  <c r="J486" i="3" s="1"/>
  <c r="L487" i="3"/>
  <c r="J487" i="3" s="1"/>
  <c r="L488" i="3"/>
  <c r="J488" i="3" s="1"/>
  <c r="L489" i="3"/>
  <c r="J489" i="3" s="1"/>
  <c r="L490" i="3"/>
  <c r="J490" i="3" s="1"/>
  <c r="L491" i="3"/>
  <c r="J491" i="3" s="1"/>
  <c r="L492" i="3"/>
  <c r="J492" i="3" s="1"/>
  <c r="L493" i="3"/>
  <c r="J493" i="3" s="1"/>
  <c r="L494" i="3"/>
  <c r="J494" i="3" s="1"/>
  <c r="L476" i="3"/>
  <c r="J476" i="3" s="1"/>
  <c r="C406" i="3"/>
  <c r="C407" i="3"/>
  <c r="C408" i="3"/>
  <c r="C409" i="3"/>
  <c r="C410" i="3"/>
  <c r="C411" i="3"/>
  <c r="C412" i="3"/>
  <c r="C413" i="3"/>
  <c r="C414" i="3"/>
  <c r="C415" i="3"/>
  <c r="C416" i="3"/>
  <c r="C417" i="3"/>
  <c r="C418" i="3"/>
  <c r="C419" i="3"/>
  <c r="C405" i="3"/>
  <c r="A405" i="3"/>
  <c r="A406" i="3" s="1"/>
  <c r="A407" i="3" s="1"/>
  <c r="A408" i="3" s="1"/>
  <c r="A409" i="3" s="1"/>
  <c r="A410" i="3" s="1"/>
  <c r="A411" i="3" s="1"/>
  <c r="A412" i="3" s="1"/>
  <c r="A413" i="3" s="1"/>
  <c r="A414" i="3" s="1"/>
  <c r="A415" i="3" s="1"/>
  <c r="A416" i="3" s="1"/>
  <c r="A417" i="3" s="1"/>
  <c r="A418" i="3" s="1"/>
  <c r="A419" i="3" s="1"/>
  <c r="H496" i="3"/>
  <c r="G496" i="3"/>
  <c r="H495" i="3"/>
  <c r="G495" i="3"/>
  <c r="H494" i="3"/>
  <c r="G494" i="3"/>
  <c r="H493" i="3"/>
  <c r="G493" i="3"/>
  <c r="H492" i="3"/>
  <c r="G492" i="3"/>
  <c r="G477" i="3"/>
  <c r="G478" i="3" s="1"/>
  <c r="G479" i="3" s="1"/>
  <c r="G480" i="3" s="1"/>
  <c r="G481" i="3" s="1"/>
  <c r="G482" i="3" s="1"/>
  <c r="G483" i="3" s="1"/>
  <c r="G484" i="3" s="1"/>
  <c r="G485" i="3" s="1"/>
  <c r="G486" i="3" s="1"/>
  <c r="G487" i="3" s="1"/>
  <c r="G488" i="3" s="1"/>
  <c r="G489" i="3" s="1"/>
  <c r="G490" i="3" s="1"/>
  <c r="G491" i="3" s="1"/>
  <c r="D477" i="3"/>
  <c r="D478" i="3" s="1"/>
  <c r="D479" i="3" s="1"/>
  <c r="D480" i="3" s="1"/>
  <c r="D481" i="3" s="1"/>
  <c r="D482" i="3" s="1"/>
  <c r="D483" i="3" s="1"/>
  <c r="D484" i="3" s="1"/>
  <c r="D485" i="3" s="1"/>
  <c r="D486" i="3" s="1"/>
  <c r="D487" i="3" s="1"/>
  <c r="D488" i="3" s="1"/>
  <c r="D489" i="3" s="1"/>
  <c r="D490" i="3" s="1"/>
  <c r="D491" i="3" s="1"/>
  <c r="D492" i="3" s="1"/>
  <c r="D493" i="3" s="1"/>
  <c r="D494" i="3" s="1"/>
  <c r="D495" i="3" s="1"/>
  <c r="D496" i="3" s="1"/>
  <c r="B65" i="3"/>
  <c r="E432" i="8" l="1"/>
  <c r="E431" i="8"/>
  <c r="E286" i="8"/>
  <c r="E38" i="8"/>
  <c r="E19" i="8"/>
  <c r="E537" i="8"/>
  <c r="E536" i="8"/>
  <c r="E535" i="8"/>
  <c r="E534" i="8"/>
  <c r="E533" i="8"/>
  <c r="E532" i="8"/>
  <c r="E531" i="8"/>
  <c r="E530" i="8"/>
  <c r="E529" i="8"/>
  <c r="E528" i="8"/>
  <c r="E527" i="8"/>
  <c r="E526" i="8"/>
  <c r="E525" i="8"/>
  <c r="E524" i="8"/>
  <c r="E523" i="8"/>
  <c r="E522" i="8"/>
  <c r="E521" i="8"/>
  <c r="E520" i="8"/>
  <c r="E519" i="8"/>
  <c r="E518" i="8"/>
  <c r="E517" i="8"/>
  <c r="E516" i="8"/>
  <c r="E515" i="8"/>
  <c r="E514" i="8"/>
  <c r="E513" i="8"/>
  <c r="E512" i="8"/>
  <c r="E511" i="8"/>
  <c r="E510" i="8"/>
  <c r="E509" i="8"/>
  <c r="E508" i="8"/>
  <c r="E507" i="8"/>
  <c r="E506" i="8"/>
  <c r="E505" i="8"/>
  <c r="E504" i="8"/>
  <c r="E503" i="8"/>
  <c r="E502" i="8"/>
  <c r="E501" i="8"/>
  <c r="E500" i="8"/>
  <c r="E499" i="8"/>
  <c r="E498" i="8"/>
  <c r="E497" i="8"/>
  <c r="E496" i="8"/>
  <c r="E495" i="8"/>
  <c r="E494" i="8"/>
  <c r="E493" i="8"/>
  <c r="E492" i="8"/>
  <c r="E491" i="8"/>
  <c r="E490" i="8"/>
  <c r="E489" i="8"/>
  <c r="E488" i="8"/>
  <c r="E487" i="8"/>
  <c r="E486" i="8"/>
  <c r="E485" i="8"/>
  <c r="E484" i="8"/>
  <c r="E483" i="8"/>
  <c r="E482" i="8"/>
  <c r="E481" i="8"/>
  <c r="E480" i="8"/>
  <c r="E479" i="8"/>
  <c r="E478" i="8"/>
  <c r="E477" i="8"/>
  <c r="E476" i="8"/>
  <c r="E475" i="8"/>
  <c r="E474" i="8"/>
  <c r="E472" i="8"/>
  <c r="E471" i="8"/>
  <c r="E470" i="8"/>
  <c r="E469" i="8"/>
  <c r="E468" i="8"/>
  <c r="E467" i="8"/>
  <c r="E466" i="8"/>
  <c r="E465" i="8"/>
  <c r="E464" i="8"/>
  <c r="E463" i="8"/>
  <c r="E462" i="8"/>
  <c r="E461" i="8"/>
  <c r="E460" i="8"/>
  <c r="E459" i="8"/>
  <c r="E456" i="8"/>
  <c r="E455" i="8"/>
  <c r="E454" i="8"/>
  <c r="E453" i="8"/>
  <c r="E452" i="8"/>
  <c r="E451" i="8"/>
  <c r="E450" i="8"/>
  <c r="E449" i="8"/>
  <c r="E448" i="8"/>
  <c r="E447" i="8"/>
  <c r="E446" i="8"/>
  <c r="E445" i="8"/>
  <c r="E444" i="8"/>
  <c r="E443" i="8"/>
  <c r="E442" i="8"/>
  <c r="E441" i="8"/>
  <c r="E440" i="8"/>
  <c r="E439" i="8"/>
  <c r="E438" i="8"/>
  <c r="E437" i="8"/>
  <c r="E436" i="8"/>
  <c r="E435" i="8"/>
  <c r="E434" i="8"/>
  <c r="E433" i="8"/>
  <c r="E430" i="8"/>
  <c r="E429" i="8"/>
  <c r="E428" i="8"/>
  <c r="E427" i="8"/>
  <c r="E426" i="8"/>
  <c r="E425" i="8"/>
  <c r="E424" i="8"/>
  <c r="E423" i="8"/>
  <c r="E422" i="8"/>
  <c r="E421" i="8"/>
  <c r="E420" i="8"/>
  <c r="E419" i="8"/>
  <c r="E418" i="8"/>
  <c r="E417" i="8"/>
  <c r="E416" i="8"/>
  <c r="E415" i="8"/>
  <c r="E414" i="8"/>
  <c r="E413" i="8"/>
  <c r="E412" i="8"/>
  <c r="E411" i="8"/>
  <c r="E410" i="8"/>
  <c r="E409" i="8"/>
  <c r="E407" i="8"/>
  <c r="E406" i="8"/>
  <c r="E405" i="8"/>
  <c r="E404" i="8"/>
  <c r="E403" i="8"/>
  <c r="E402" i="8"/>
  <c r="E398" i="8"/>
  <c r="E397" i="8"/>
  <c r="E396" i="8"/>
  <c r="E395" i="8"/>
  <c r="E394" i="8"/>
  <c r="E393" i="8"/>
  <c r="E392" i="8"/>
  <c r="E391" i="8"/>
  <c r="E390" i="8"/>
  <c r="E389" i="8"/>
  <c r="E388" i="8"/>
  <c r="E387" i="8"/>
  <c r="E386" i="8"/>
  <c r="E385" i="8"/>
  <c r="E384" i="8"/>
  <c r="E245" i="8"/>
  <c r="E242" i="8"/>
  <c r="E240" i="8"/>
  <c r="E239" i="8"/>
  <c r="E235" i="8"/>
  <c r="E233" i="8"/>
  <c r="E231" i="8"/>
  <c r="E229" i="8"/>
  <c r="E227" i="8"/>
  <c r="E225" i="8"/>
  <c r="E223" i="8"/>
  <c r="E221" i="8"/>
  <c r="E218" i="8"/>
  <c r="E215" i="8"/>
  <c r="E212" i="8"/>
  <c r="E210" i="8"/>
  <c r="E206" i="8"/>
  <c r="E205" i="8"/>
  <c r="E200" i="8"/>
  <c r="E198" i="8"/>
  <c r="E196" i="8"/>
  <c r="E193" i="8"/>
  <c r="E190" i="8"/>
  <c r="E188" i="8"/>
  <c r="E184" i="8"/>
  <c r="E182" i="8"/>
  <c r="E180" i="8"/>
  <c r="E178" i="8"/>
  <c r="E174" i="8"/>
  <c r="E172" i="8"/>
  <c r="E169" i="8"/>
  <c r="E167" i="8"/>
  <c r="E138" i="8"/>
  <c r="E133" i="8"/>
  <c r="E129" i="8"/>
  <c r="E126" i="8"/>
  <c r="E125" i="8"/>
  <c r="E123" i="8"/>
  <c r="E120" i="8"/>
  <c r="E112" i="8"/>
  <c r="E111" i="8"/>
  <c r="E109" i="8"/>
  <c r="E108" i="8"/>
  <c r="E106" i="8"/>
  <c r="E104" i="8"/>
  <c r="E102" i="8"/>
  <c r="E100" i="8"/>
  <c r="E98" i="8"/>
  <c r="E96" i="8"/>
  <c r="E93" i="8"/>
  <c r="E89" i="8"/>
  <c r="E87" i="8"/>
  <c r="E86" i="8"/>
  <c r="E84" i="8"/>
  <c r="E82" i="8"/>
  <c r="E80" i="8"/>
  <c r="E79" i="8"/>
  <c r="E76" i="8"/>
  <c r="E74" i="8"/>
  <c r="E72" i="8"/>
  <c r="E69" i="8"/>
  <c r="E383" i="8"/>
  <c r="E382" i="8"/>
  <c r="E381" i="8"/>
  <c r="E380" i="8"/>
  <c r="E379" i="8"/>
  <c r="E378" i="8"/>
  <c r="E377" i="8"/>
  <c r="E376" i="8"/>
  <c r="E375" i="8"/>
  <c r="E374" i="8"/>
  <c r="E373" i="8"/>
  <c r="E372" i="8"/>
  <c r="E371" i="8"/>
  <c r="E370" i="8"/>
  <c r="E369" i="8"/>
  <c r="E368" i="8"/>
  <c r="E367" i="8"/>
  <c r="E366" i="8"/>
  <c r="E365" i="8"/>
  <c r="E364" i="8"/>
  <c r="E363" i="8"/>
  <c r="E362" i="8"/>
  <c r="E361" i="8"/>
  <c r="E360" i="8"/>
  <c r="E359" i="8"/>
  <c r="E358" i="8"/>
  <c r="E357" i="8"/>
  <c r="E356" i="8"/>
  <c r="E355" i="8"/>
  <c r="E354" i="8"/>
  <c r="E353" i="8"/>
  <c r="E352" i="8"/>
  <c r="E351" i="8"/>
  <c r="E350" i="8"/>
  <c r="E349" i="8"/>
  <c r="E348" i="8"/>
  <c r="E347" i="8"/>
  <c r="E346" i="8"/>
  <c r="E345" i="8"/>
  <c r="E344" i="8"/>
  <c r="E343" i="8"/>
  <c r="E342" i="8"/>
  <c r="E341" i="8"/>
  <c r="E340" i="8"/>
  <c r="E339" i="8"/>
  <c r="E338" i="8"/>
  <c r="E337" i="8"/>
  <c r="E336" i="8"/>
  <c r="E335" i="8"/>
  <c r="E334" i="8"/>
  <c r="E333" i="8"/>
  <c r="E332" i="8"/>
  <c r="E331" i="8"/>
  <c r="E330" i="8"/>
  <c r="E329" i="8"/>
  <c r="E328" i="8"/>
  <c r="E327" i="8"/>
  <c r="E326" i="8"/>
  <c r="E325" i="8"/>
  <c r="E324" i="8"/>
  <c r="E323" i="8"/>
  <c r="E322" i="8"/>
  <c r="E321" i="8"/>
  <c r="E319" i="8"/>
  <c r="E318" i="8"/>
  <c r="E317" i="8"/>
  <c r="E316" i="8"/>
  <c r="E315" i="8"/>
  <c r="E314" i="8"/>
  <c r="E313" i="8"/>
  <c r="E311" i="8"/>
  <c r="E310" i="8"/>
  <c r="E309" i="8"/>
  <c r="E308" i="8"/>
  <c r="E307" i="8"/>
  <c r="E306" i="8"/>
  <c r="E305" i="8"/>
  <c r="E304" i="8"/>
  <c r="E303" i="8"/>
  <c r="E302" i="8"/>
  <c r="E301" i="8"/>
  <c r="E300" i="8"/>
  <c r="E299" i="8"/>
  <c r="E298" i="8"/>
  <c r="E297" i="8"/>
  <c r="E296" i="8"/>
  <c r="E295" i="8"/>
  <c r="E294" i="8"/>
  <c r="E293" i="8"/>
  <c r="E292" i="8"/>
  <c r="E291" i="8"/>
  <c r="E290" i="8"/>
  <c r="E289" i="8"/>
  <c r="E288" i="8"/>
  <c r="E287" i="8"/>
  <c r="E285" i="8"/>
  <c r="E284" i="8"/>
  <c r="E283" i="8"/>
  <c r="E282" i="8"/>
  <c r="E281" i="8"/>
  <c r="E280" i="8"/>
  <c r="E279" i="8"/>
  <c r="E278" i="8"/>
  <c r="E277" i="8"/>
  <c r="E261" i="8"/>
  <c r="E259" i="8"/>
  <c r="E257" i="8"/>
  <c r="E255" i="8"/>
  <c r="E254" i="8"/>
  <c r="E252" i="8"/>
  <c r="E250" i="8"/>
  <c r="E248" i="8"/>
  <c r="E247" i="8"/>
  <c r="E246" i="8"/>
  <c r="E244" i="8"/>
  <c r="E243" i="8"/>
  <c r="E241" i="8"/>
  <c r="E238" i="8"/>
  <c r="E236" i="8"/>
  <c r="E234" i="8"/>
  <c r="E230" i="8"/>
  <c r="E228" i="8"/>
  <c r="E226" i="8"/>
  <c r="E222" i="8"/>
  <c r="E219" i="8"/>
  <c r="E217" i="8"/>
  <c r="E214" i="8"/>
  <c r="E211" i="8"/>
  <c r="E209" i="8"/>
  <c r="E208" i="8"/>
  <c r="E204" i="8"/>
  <c r="E202" i="8"/>
  <c r="E199" i="8"/>
  <c r="E195" i="8"/>
  <c r="E192" i="8"/>
  <c r="E189" i="8"/>
  <c r="E186" i="8"/>
  <c r="E185" i="8"/>
  <c r="E181" i="8"/>
  <c r="E177" i="8"/>
  <c r="E175" i="8"/>
  <c r="E171" i="8"/>
  <c r="E170" i="8"/>
  <c r="E168" i="8"/>
  <c r="E166" i="8"/>
  <c r="E164" i="8"/>
  <c r="E163" i="8"/>
  <c r="E160" i="8"/>
  <c r="E159" i="8"/>
  <c r="E157" i="8"/>
  <c r="E156" i="8"/>
  <c r="E154" i="8"/>
  <c r="E152" i="8"/>
  <c r="E150" i="8"/>
  <c r="E148" i="8"/>
  <c r="E147" i="8"/>
  <c r="E145" i="8"/>
  <c r="E143" i="8"/>
  <c r="E142" i="8"/>
  <c r="E140" i="8"/>
  <c r="E137" i="8"/>
  <c r="E136" i="8"/>
  <c r="E134" i="8"/>
  <c r="E132" i="8"/>
  <c r="E130" i="8"/>
  <c r="E127" i="8"/>
  <c r="E124" i="8"/>
  <c r="E122" i="8"/>
  <c r="E92" i="8"/>
  <c r="E90" i="8"/>
  <c r="E77" i="8"/>
  <c r="E75" i="8"/>
  <c r="E71" i="8"/>
  <c r="E68" i="8"/>
  <c r="E66" i="8"/>
  <c r="E64" i="8"/>
  <c r="E62" i="8"/>
  <c r="E60" i="8"/>
  <c r="E59" i="8"/>
  <c r="E58" i="8"/>
  <c r="E57" i="8"/>
  <c r="E56" i="8"/>
  <c r="E55" i="8"/>
  <c r="E54" i="8"/>
  <c r="E53" i="8"/>
  <c r="E52" i="8"/>
  <c r="E51" i="8"/>
  <c r="E50" i="8"/>
  <c r="E49" i="8"/>
  <c r="E48" i="8"/>
  <c r="E47" i="8"/>
  <c r="E46" i="8"/>
  <c r="E45" i="8"/>
  <c r="E44" i="8"/>
  <c r="E43" i="8"/>
  <c r="E42" i="8"/>
  <c r="E41" i="8"/>
  <c r="E40" i="8"/>
  <c r="E39" i="8"/>
  <c r="E37" i="8"/>
  <c r="E35" i="8"/>
  <c r="E34" i="8"/>
  <c r="E33" i="8"/>
  <c r="E32" i="8"/>
  <c r="E31" i="8"/>
  <c r="E30" i="8"/>
  <c r="E29" i="8"/>
  <c r="E28" i="8"/>
  <c r="E27" i="8"/>
  <c r="E26" i="8"/>
  <c r="E25" i="8"/>
  <c r="E24" i="8"/>
  <c r="E23" i="8"/>
  <c r="E22" i="8"/>
  <c r="E21" i="8"/>
  <c r="E20" i="8"/>
  <c r="E18" i="8"/>
  <c r="E17" i="8"/>
  <c r="E16" i="8"/>
  <c r="E15" i="8"/>
  <c r="E14" i="8"/>
  <c r="E13" i="8"/>
  <c r="E276" i="8"/>
  <c r="E275" i="8"/>
  <c r="E274" i="8"/>
  <c r="E273" i="8"/>
  <c r="E272" i="8"/>
  <c r="E271" i="8"/>
  <c r="E270" i="8"/>
  <c r="E269" i="8"/>
  <c r="E268" i="8"/>
  <c r="E267" i="8"/>
  <c r="E266" i="8"/>
  <c r="E265" i="8"/>
  <c r="E264" i="8"/>
  <c r="E262" i="8"/>
  <c r="E260" i="8"/>
  <c r="E258" i="8"/>
  <c r="E256" i="8"/>
  <c r="E253" i="8"/>
  <c r="E251" i="8"/>
  <c r="E249" i="8"/>
  <c r="E237" i="8"/>
  <c r="E232" i="8"/>
  <c r="E224" i="8"/>
  <c r="E220" i="8"/>
  <c r="E216" i="8"/>
  <c r="E213" i="8"/>
  <c r="E207" i="8"/>
  <c r="E203" i="8"/>
  <c r="E197" i="8"/>
  <c r="E194" i="8"/>
  <c r="E191" i="8"/>
  <c r="E187" i="8"/>
  <c r="E183" i="8"/>
  <c r="E179" i="8"/>
  <c r="E176" i="8"/>
  <c r="E173" i="8"/>
  <c r="E165" i="8"/>
  <c r="E162" i="8"/>
  <c r="E161" i="8"/>
  <c r="E158" i="8"/>
  <c r="E155" i="8"/>
  <c r="E153" i="8"/>
  <c r="E151" i="8"/>
  <c r="E149" i="8"/>
  <c r="E146" i="8"/>
  <c r="E144" i="8"/>
  <c r="E141" i="8"/>
  <c r="E139" i="8"/>
  <c r="E135" i="8"/>
  <c r="E131" i="8"/>
  <c r="E128" i="8"/>
  <c r="E121" i="8"/>
  <c r="E110" i="8"/>
  <c r="E107" i="8"/>
  <c r="E105" i="8"/>
  <c r="E103" i="8"/>
  <c r="E101" i="8"/>
  <c r="E99" i="8"/>
  <c r="E97" i="8"/>
  <c r="E95" i="8"/>
  <c r="E94" i="8"/>
  <c r="E91" i="8"/>
  <c r="E88" i="8"/>
  <c r="E85" i="8"/>
  <c r="E83" i="8"/>
  <c r="E81" i="8"/>
  <c r="E78" i="8"/>
  <c r="E73" i="8"/>
  <c r="E70" i="8"/>
  <c r="E67" i="8"/>
  <c r="E63" i="8"/>
  <c r="E12" i="8"/>
  <c r="D201" i="8"/>
  <c r="E201" i="8" s="1"/>
  <c r="D263" i="8"/>
  <c r="E263" i="8" s="1"/>
  <c r="C457" i="8"/>
  <c r="E457" i="8" s="1"/>
  <c r="C458" i="8"/>
  <c r="E458" i="8" s="1"/>
  <c r="C320" i="8"/>
  <c r="E320" i="8" s="1"/>
  <c r="C401" i="8"/>
  <c r="E401" i="8" s="1"/>
  <c r="C312" i="8"/>
  <c r="E312" i="8" s="1"/>
  <c r="C399" i="8"/>
  <c r="E399" i="8" s="1"/>
  <c r="C400" i="8"/>
  <c r="E400" i="8" s="1"/>
  <c r="E11" i="8"/>
  <c r="C36" i="8"/>
  <c r="E36" i="8" s="1"/>
  <c r="S407" i="3"/>
  <c r="S406" i="3"/>
  <c r="H4" i="8" l="1" a="1"/>
  <c r="H4" i="8" s="1"/>
  <c r="F7" i="8"/>
  <c r="F5" i="8"/>
  <c r="F6" i="8"/>
  <c r="S408" i="3"/>
  <c r="C30"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tc={E8D86244-F944-49F0-8416-C13652F2FA8F}</author>
    <author>user</author>
  </authors>
  <commentList>
    <comment ref="B147" authorId="0" shapeId="0" xr:uid="{E8D86244-F944-49F0-8416-C13652F2FA8F}">
      <text>
        <t>[Threaded comment]
Your version of Excel allows you to read this threaded comment; however, any edits to it will get removed if the file is opened in a newer version of Excel. Learn more: https://go.microsoft.com/fwlink/?linkid=870924
Comment:
    This is a new comment
Reply:
    You can comment on the comment</t>
      </text>
    </comment>
    <comment ref="B148" authorId="1" shapeId="0" xr:uid="{15DDF017-E9B0-41A5-87B5-11339D1F22E5}">
      <text>
        <r>
          <rPr>
            <b/>
            <sz val="9"/>
            <color indexed="81"/>
            <rFont val="Tahoma"/>
            <family val="2"/>
          </rPr>
          <t>user:</t>
        </r>
        <r>
          <rPr>
            <sz val="9"/>
            <color indexed="81"/>
            <rFont val="Tahoma"/>
            <family val="2"/>
          </rPr>
          <t xml:space="preserve">
this is an old style comment, now called note.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4"/>
        </ext>
      </extLst>
    </bk>
    <bk>
      <extLst>
        <ext uri="{3e2802c4-a4d2-4d8b-9148-e3be6c30e623}">
          <xlrd:rvb i="5"/>
        </ext>
      </extLst>
    </bk>
  </futureMetadata>
  <cellMetadata count="1">
    <bk>
      <rc t="1" v="0"/>
    </bk>
  </cellMetadata>
  <valueMetadata count="4">
    <bk>
      <rc t="2" v="0"/>
    </bk>
    <bk>
      <rc t="2" v="1"/>
    </bk>
    <bk>
      <rc t="2" v="2"/>
    </bk>
    <bk>
      <rc t="2" v="3"/>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 'Hello' + ' ' + 'World' ", 0)</code>
    </pythonScript>
  </pythonScripts>
</python>
</file>

<file path=xl/sharedStrings.xml><?xml version="1.0" encoding="utf-8"?>
<sst xmlns="http://schemas.openxmlformats.org/spreadsheetml/2006/main" count="1373" uniqueCount="811">
  <si>
    <t>Number formats</t>
  </si>
  <si>
    <t>#,##0_);[red](#,##0);-_)</t>
  </si>
  <si>
    <t xml:space="preserve">[=1]"Yes";"No" </t>
  </si>
  <si>
    <t>red if false</t>
  </si>
  <si>
    <t>red if text contains X</t>
  </si>
  <si>
    <t>frog</t>
  </si>
  <si>
    <t>fox</t>
  </si>
  <si>
    <t>red if duplicate</t>
  </si>
  <si>
    <t>red if &lt;0</t>
  </si>
  <si>
    <t>colour scale</t>
  </si>
  <si>
    <t>data bars</t>
  </si>
  <si>
    <r>
      <t>p</t>
    </r>
    <r>
      <rPr>
        <u/>
        <sz val="11"/>
        <color theme="1"/>
        <rFont val="Aptos Narrow"/>
        <family val="2"/>
      </rPr>
      <t>art</t>
    </r>
    <r>
      <rPr>
        <sz val="11"/>
        <color theme="1"/>
        <rFont val="Aptos Narrow"/>
        <family val="2"/>
        <scheme val="minor"/>
      </rPr>
      <t>ial</t>
    </r>
  </si>
  <si>
    <r>
      <t>par</t>
    </r>
    <r>
      <rPr>
        <b/>
        <sz val="11"/>
        <color theme="1"/>
        <rFont val="Aptos Narrow"/>
        <family val="2"/>
      </rPr>
      <t>tia</t>
    </r>
    <r>
      <rPr>
        <sz val="11"/>
        <color theme="1"/>
        <rFont val="Aptos Narrow"/>
        <family val="2"/>
        <scheme val="minor"/>
      </rPr>
      <t>l</t>
    </r>
  </si>
  <si>
    <r>
      <t>pa</t>
    </r>
    <r>
      <rPr>
        <i/>
        <sz val="11"/>
        <color theme="1"/>
        <rFont val="Aptos Narrow"/>
        <family val="2"/>
      </rPr>
      <t>rtia</t>
    </r>
    <r>
      <rPr>
        <sz val="11"/>
        <color theme="1"/>
        <rFont val="Aptos Narrow"/>
        <family val="2"/>
        <scheme val="minor"/>
      </rPr>
      <t>l</t>
    </r>
  </si>
  <si>
    <r>
      <t>super</t>
    </r>
    <r>
      <rPr>
        <vertAlign val="superscript"/>
        <sz val="11"/>
        <color theme="1"/>
        <rFont val="Aptos Narrow"/>
        <family val="2"/>
      </rPr>
      <t>script</t>
    </r>
  </si>
  <si>
    <r>
      <t>sub</t>
    </r>
    <r>
      <rPr>
        <vertAlign val="subscript"/>
        <sz val="11"/>
        <color theme="1"/>
        <rFont val="Aptos Narrow"/>
        <family val="2"/>
      </rPr>
      <t>script</t>
    </r>
  </si>
  <si>
    <r>
      <t>str</t>
    </r>
    <r>
      <rPr>
        <strike/>
        <sz val="11"/>
        <color theme="1"/>
        <rFont val="Aptos Narrow"/>
        <family val="2"/>
      </rPr>
      <t>ike</t>
    </r>
  </si>
  <si>
    <t>center across selection</t>
  </si>
  <si>
    <t>accounting underline</t>
  </si>
  <si>
    <t>wrap a long text</t>
  </si>
  <si>
    <t>vertical</t>
  </si>
  <si>
    <t>and rotated</t>
  </si>
  <si>
    <t>indent</t>
  </si>
  <si>
    <t>Date</t>
  </si>
  <si>
    <t>Val1</t>
  </si>
  <si>
    <t>Val2</t>
  </si>
  <si>
    <t>Input 1</t>
  </si>
  <si>
    <t>Input 2</t>
  </si>
  <si>
    <t>Output</t>
  </si>
  <si>
    <t>Print area</t>
  </si>
  <si>
    <t>Data 1</t>
  </si>
  <si>
    <t>Data 2</t>
  </si>
  <si>
    <t>Data 3</t>
  </si>
  <si>
    <t>Data 4</t>
  </si>
  <si>
    <t>Observation</t>
  </si>
  <si>
    <t>Jan</t>
  </si>
  <si>
    <t>Feb</t>
  </si>
  <si>
    <t>Week 1</t>
  </si>
  <si>
    <t>Week 2</t>
  </si>
  <si>
    <t>Week 3</t>
  </si>
  <si>
    <t>Week 4</t>
  </si>
  <si>
    <t>Mar</t>
  </si>
  <si>
    <t>Sales</t>
  </si>
  <si>
    <t>Month</t>
  </si>
  <si>
    <t>Week</t>
  </si>
  <si>
    <t>Red</t>
  </si>
  <si>
    <t>Blue</t>
  </si>
  <si>
    <t>Yellow</t>
  </si>
  <si>
    <t>Green</t>
  </si>
  <si>
    <t>Purple</t>
  </si>
  <si>
    <t>Orange</t>
  </si>
  <si>
    <t>Data</t>
  </si>
  <si>
    <t>Change (%)</t>
  </si>
  <si>
    <t>Label</t>
  </si>
  <si>
    <t>Only show dates:</t>
  </si>
  <si>
    <t>after:</t>
  </si>
  <si>
    <t>before:</t>
  </si>
  <si>
    <t>yrange</t>
  </si>
  <si>
    <t>xrange</t>
  </si>
  <si>
    <t>length</t>
  </si>
  <si>
    <t>=OFFSET($A$178,$D$197,0,$D$199)</t>
  </si>
  <si>
    <t>=OFFSET($B$178,$D$197,0,$D$199)</t>
  </si>
  <si>
    <t>cut-off no</t>
  </si>
  <si>
    <t>Define the following in name manager:</t>
  </si>
  <si>
    <t>Then in chart -&gt; Select Data:</t>
  </si>
  <si>
    <t>legend entries (series) = Chart!yrange, horizontal axis labels = Chart!xrange</t>
  </si>
  <si>
    <t>Germany</t>
  </si>
  <si>
    <t>France</t>
  </si>
  <si>
    <t>Italy</t>
  </si>
  <si>
    <t>Sparklines</t>
  </si>
  <si>
    <t>Line</t>
  </si>
  <si>
    <t>Column</t>
  </si>
  <si>
    <t>Win/loss</t>
  </si>
  <si>
    <t>Berkshire</t>
  </si>
  <si>
    <t>Oxfordshire</t>
  </si>
  <si>
    <t>Buckinghamshire</t>
  </si>
  <si>
    <t>Cornwall</t>
  </si>
  <si>
    <t>Russia</t>
  </si>
  <si>
    <t>USA</t>
  </si>
  <si>
    <t>China</t>
  </si>
  <si>
    <t>Brazil</t>
  </si>
  <si>
    <t>gradient colours</t>
  </si>
  <si>
    <t>transparency</t>
  </si>
  <si>
    <t>width</t>
  </si>
  <si>
    <t>compound style</t>
  </si>
  <si>
    <t>dash type</t>
  </si>
  <si>
    <t>arrow type and size</t>
  </si>
  <si>
    <t>sketched lines</t>
  </si>
  <si>
    <t>Fill formatting</t>
  </si>
  <si>
    <t>gradient fill</t>
  </si>
  <si>
    <t>texture fill</t>
  </si>
  <si>
    <t>pattern fill</t>
  </si>
  <si>
    <t>Shadow</t>
  </si>
  <si>
    <t>Reflection</t>
  </si>
  <si>
    <t>Glow</t>
  </si>
  <si>
    <t>Soft edges</t>
  </si>
  <si>
    <t>3D Format</t>
  </si>
  <si>
    <t>3D Rotation</t>
  </si>
  <si>
    <t>Image effects</t>
  </si>
  <si>
    <t>Brightness, contrast etc.</t>
  </si>
  <si>
    <t>Transparency</t>
  </si>
  <si>
    <t>Colour</t>
  </si>
  <si>
    <t>Set transparent colour</t>
  </si>
  <si>
    <t>Picture styles</t>
  </si>
  <si>
    <t>= Input 1 * Input 2</t>
  </si>
  <si>
    <t>Whole number between 0-100</t>
  </si>
  <si>
    <t>Number above zero</t>
  </si>
  <si>
    <t>Date from 1970-1999 only</t>
  </si>
  <si>
    <t>List:</t>
  </si>
  <si>
    <t>Alpha</t>
  </si>
  <si>
    <t>Beta</t>
  </si>
  <si>
    <t>Gamma</t>
  </si>
  <si>
    <t>Pick from list</t>
  </si>
  <si>
    <t>Pick from embedded list</t>
  </si>
  <si>
    <t>Omega</t>
  </si>
  <si>
    <t>switch to print preview to check</t>
  </si>
  <si>
    <t>hidden rows:</t>
  </si>
  <si>
    <t>grouped rows:</t>
  </si>
  <si>
    <t>b</t>
  </si>
  <si>
    <t>Select all and then Picture Format -&gt; Align. Can you distribute them horizontally or align all to the top?</t>
  </si>
  <si>
    <t>Iterative calculation</t>
  </si>
  <si>
    <t>Input</t>
  </si>
  <si>
    <t>Timestamp</t>
  </si>
  <si>
    <t>1. Enable iterative calculation in Excel Options -&gt; Formulas</t>
  </si>
  <si>
    <t>2. Enter anything in the input field, timestamp cells should then be populated</t>
  </si>
  <si>
    <t>example.com</t>
  </si>
  <si>
    <t>100</t>
  </si>
  <si>
    <t>is number?</t>
  </si>
  <si>
    <t>Sum of Observation</t>
  </si>
  <si>
    <t>Column Labels</t>
  </si>
  <si>
    <t>Grand Total</t>
  </si>
  <si>
    <t>Row Labels</t>
  </si>
  <si>
    <t>Function</t>
  </si>
  <si>
    <t>Dummy formula</t>
  </si>
  <si>
    <t>Function exists?</t>
  </si>
  <si>
    <t>Missing in current program?</t>
  </si>
  <si>
    <t>Comment</t>
  </si>
  <si>
    <t>Source:</t>
  </si>
  <si>
    <t>ABS</t>
  </si>
  <si>
    <t>https://bettersolutions.com/excel/functions/complete-list.htm</t>
  </si>
  <si>
    <t>ACCRINT</t>
  </si>
  <si>
    <t>https://bettersolutions.com/excel/functions/updates.htm</t>
  </si>
  <si>
    <t>ACCRINTM</t>
  </si>
  <si>
    <t>ACOS</t>
  </si>
  <si>
    <t>ACOSH</t>
  </si>
  <si>
    <t>ACOT</t>
  </si>
  <si>
    <t>ACOTH</t>
  </si>
  <si>
    <t>ADDRESS</t>
  </si>
  <si>
    <t>AMORDEGRC</t>
  </si>
  <si>
    <t>AMORLINC</t>
  </si>
  <si>
    <t>AND</t>
  </si>
  <si>
    <t>ARABIC</t>
  </si>
  <si>
    <t>AREAS</t>
  </si>
  <si>
    <t>ARRAYTOTEXT</t>
  </si>
  <si>
    <t>ASC</t>
  </si>
  <si>
    <t>ASIN</t>
  </si>
  <si>
    <t>ASINH</t>
  </si>
  <si>
    <t>ATAN</t>
  </si>
  <si>
    <t>ATAN2</t>
  </si>
  <si>
    <t>ATANH</t>
  </si>
  <si>
    <t>AVEDEV</t>
  </si>
  <si>
    <t>AVERAGE</t>
  </si>
  <si>
    <t>AVERAGEA</t>
  </si>
  <si>
    <t>AVERAGEIF</t>
  </si>
  <si>
    <t>AVERAGEIFS</t>
  </si>
  <si>
    <t>BAHTTEXT</t>
  </si>
  <si>
    <t>BESSELI</t>
  </si>
  <si>
    <t>BESSELJ</t>
  </si>
  <si>
    <t>BESSELK</t>
  </si>
  <si>
    <t>BESSELY</t>
  </si>
  <si>
    <t>BETA.DIST</t>
  </si>
  <si>
    <t>BETA.INV</t>
  </si>
  <si>
    <t>BETADIST</t>
  </si>
  <si>
    <t>BETAINV</t>
  </si>
  <si>
    <t>BIN2DEC</t>
  </si>
  <si>
    <t>BIN2HEX</t>
  </si>
  <si>
    <t>BIN2OCT</t>
  </si>
  <si>
    <t>BINOM.DIST</t>
  </si>
  <si>
    <t>BINOM.DIST.RANGE</t>
  </si>
  <si>
    <t>BINOM.INV</t>
  </si>
  <si>
    <t>BINOMDIST</t>
  </si>
  <si>
    <t>BITAND</t>
  </si>
  <si>
    <t>BITLSHIFT</t>
  </si>
  <si>
    <t>BITOR</t>
  </si>
  <si>
    <t>BITRSHIFT</t>
  </si>
  <si>
    <t>BITXOR</t>
  </si>
  <si>
    <t>BYCOL</t>
  </si>
  <si>
    <t>BYROW</t>
  </si>
  <si>
    <t>CALL</t>
  </si>
  <si>
    <t>=CALL(1)</t>
  </si>
  <si>
    <t>CALL is only available on an Excel 4.0 macro sheet and requires a registered DLL/code resource; it cannot be entered as a normal worksheet formula.</t>
  </si>
  <si>
    <t>CEILING</t>
  </si>
  <si>
    <t>CEILING.MATH</t>
  </si>
  <si>
    <t>CEILING.PRECISE</t>
  </si>
  <si>
    <t>CELL</t>
  </si>
  <si>
    <t>CHAR</t>
  </si>
  <si>
    <t>CHIDIST</t>
  </si>
  <si>
    <t>CHIINV</t>
  </si>
  <si>
    <t>CHISQ.DIST</t>
  </si>
  <si>
    <t>CHISQ.DIST.RT</t>
  </si>
  <si>
    <t>CHISQ.INV</t>
  </si>
  <si>
    <t>CHISQ.INV.RT</t>
  </si>
  <si>
    <t>CHISQ.TEST</t>
  </si>
  <si>
    <t>CHITEST</t>
  </si>
  <si>
    <t>CHOOSE</t>
  </si>
  <si>
    <t>CHOOSECOLS</t>
  </si>
  <si>
    <t>CHOOSEROWS</t>
  </si>
  <si>
    <t>CLEAN</t>
  </si>
  <si>
    <t>CODE</t>
  </si>
  <si>
    <t>COLUMN</t>
  </si>
  <si>
    <t>COLUMNS</t>
  </si>
  <si>
    <t>COMBIN</t>
  </si>
  <si>
    <t>COMPLEX</t>
  </si>
  <si>
    <t>CONCAT</t>
  </si>
  <si>
    <t>CONCATENATE</t>
  </si>
  <si>
    <t>CONFIDENCE</t>
  </si>
  <si>
    <t>CONFIDENCE.NORM</t>
  </si>
  <si>
    <t>CONFIDENCE.T</t>
  </si>
  <si>
    <t>CONVERT</t>
  </si>
  <si>
    <t>COPILOT</t>
  </si>
  <si>
    <t>Starting September 14, 2026, the COPILOT function is no longer available in Microsoft Excel</t>
  </si>
  <si>
    <t>CORREL</t>
  </si>
  <si>
    <t>COS</t>
  </si>
  <si>
    <t>COSH</t>
  </si>
  <si>
    <t>COT</t>
  </si>
  <si>
    <t>COTH</t>
  </si>
  <si>
    <t>COUNT</t>
  </si>
  <si>
    <t>COUNTA</t>
  </si>
  <si>
    <t>COUNTBLANK</t>
  </si>
  <si>
    <t>COUNTIF</t>
  </si>
  <si>
    <t>COUNTIFS</t>
  </si>
  <si>
    <t>COUPDAYBS</t>
  </si>
  <si>
    <t>COUPDAYS</t>
  </si>
  <si>
    <t>COUPDAYSNC</t>
  </si>
  <si>
    <t>COUPNCD</t>
  </si>
  <si>
    <t>COUPNUM</t>
  </si>
  <si>
    <t>COUPPCD</t>
  </si>
  <si>
    <t>COVAR</t>
  </si>
  <si>
    <t>COVARIANCE.P</t>
  </si>
  <si>
    <t>COVARIANCE.S</t>
  </si>
  <si>
    <t>CRITBINOM</t>
  </si>
  <si>
    <t>CSC</t>
  </si>
  <si>
    <t>CSCH</t>
  </si>
  <si>
    <t>CUBEKPIMEMBER</t>
  </si>
  <si>
    <t>=CUBEKPIMEMBER(1)</t>
  </si>
  <si>
    <t>Requires a valid workbook Data Model or OLAP cube connection. An invalid or missing connection itself returns #NAME?, so that result cannot distinguish an unknown function from a missing connection.</t>
  </si>
  <si>
    <t>CUBEMEMBER</t>
  </si>
  <si>
    <t>=CUBEMEMBER(1)</t>
  </si>
  <si>
    <t>CUBEMEMBERPROPERTY</t>
  </si>
  <si>
    <t>=CUBEMEMBERPROPERTY(1)</t>
  </si>
  <si>
    <t>CUBERANKEDMEMBER</t>
  </si>
  <si>
    <t>=CUBERANKEDMEMBER(1)</t>
  </si>
  <si>
    <t>CUBESET</t>
  </si>
  <si>
    <t>=CUBESET(1)</t>
  </si>
  <si>
    <t>CUBESETCOUNT</t>
  </si>
  <si>
    <t>=CUBESETCOUNT(1)</t>
  </si>
  <si>
    <t>CUBEVALUE</t>
  </si>
  <si>
    <t>=CUBEVALUE(1)</t>
  </si>
  <si>
    <t>CUMIPMT</t>
  </si>
  <si>
    <t>CUMPRINC</t>
  </si>
  <si>
    <t>DATE</t>
  </si>
  <si>
    <t>DATEDIF</t>
  </si>
  <si>
    <t>DATEVALUE</t>
  </si>
  <si>
    <t>DAVERAGE</t>
  </si>
  <si>
    <t>DAY</t>
  </si>
  <si>
    <t>DAYS</t>
  </si>
  <si>
    <t>DAYS360</t>
  </si>
  <si>
    <t>DB</t>
  </si>
  <si>
    <t>DBCS</t>
  </si>
  <si>
    <t>DCOUNT</t>
  </si>
  <si>
    <t>DCOUNTA</t>
  </si>
  <si>
    <t>DDB</t>
  </si>
  <si>
    <t>DEC2BIN</t>
  </si>
  <si>
    <t>DEC2HEX</t>
  </si>
  <si>
    <t>DEC2OCT</t>
  </si>
  <si>
    <t>DECIMAL</t>
  </si>
  <si>
    <t>DEGREES</t>
  </si>
  <si>
    <t>DELTA</t>
  </si>
  <si>
    <t>DETECTLANGUAGE</t>
  </si>
  <si>
    <t>DEVSQ</t>
  </si>
  <si>
    <t>DGET</t>
  </si>
  <si>
    <t>DISC</t>
  </si>
  <si>
    <t>DMAX</t>
  </si>
  <si>
    <t>DMIN</t>
  </si>
  <si>
    <t>DOLLAR</t>
  </si>
  <si>
    <t>DOLLARDE</t>
  </si>
  <si>
    <t>DOLLARFR</t>
  </si>
  <si>
    <t>DPRODUCT</t>
  </si>
  <si>
    <t>DROP</t>
  </si>
  <si>
    <t>DSTDEV</t>
  </si>
  <si>
    <t>DSTDEVP</t>
  </si>
  <si>
    <t>DSUM</t>
  </si>
  <si>
    <t>DURATION</t>
  </si>
  <si>
    <t>DVAR</t>
  </si>
  <si>
    <t>DVARP</t>
  </si>
  <si>
    <t>ECMA.CEILING</t>
  </si>
  <si>
    <t>EDATE</t>
  </si>
  <si>
    <t>EFFECT</t>
  </si>
  <si>
    <t>ENCODEURL</t>
  </si>
  <si>
    <t>EOMONTH</t>
  </si>
  <si>
    <t>ERF</t>
  </si>
  <si>
    <t>ERF.PRECISE</t>
  </si>
  <si>
    <t>ERFC</t>
  </si>
  <si>
    <t>ERFC.PRECISE</t>
  </si>
  <si>
    <t>ERROR.TYPE</t>
  </si>
  <si>
    <t>EUROCONVERT</t>
  </si>
  <si>
    <t>In order to use the EUROCONVERT function, you first need to activate the Euro Currency Tools add-in.</t>
  </si>
  <si>
    <t>EVEN</t>
  </si>
  <si>
    <t>EXACT</t>
  </si>
  <si>
    <t>EXP</t>
  </si>
  <si>
    <t>EXPAND</t>
  </si>
  <si>
    <t>EXPON.DIST</t>
  </si>
  <si>
    <t>EXPONDIST</t>
  </si>
  <si>
    <t>F.DIST</t>
  </si>
  <si>
    <t>F.DIST.RT</t>
  </si>
  <si>
    <t>F.INV</t>
  </si>
  <si>
    <t>F.INV.RT</t>
  </si>
  <si>
    <t>F.TEST</t>
  </si>
  <si>
    <t>FACT</t>
  </si>
  <si>
    <t>FACTDOUBLE</t>
  </si>
  <si>
    <t>FALSE</t>
  </si>
  <si>
    <t>FDIST</t>
  </si>
  <si>
    <t>FIELDVALUE</t>
  </si>
  <si>
    <t>FILTER</t>
  </si>
  <si>
    <t>FILTERXML</t>
  </si>
  <si>
    <t>FIND</t>
  </si>
  <si>
    <t>FINDB</t>
  </si>
  <si>
    <t>FINV</t>
  </si>
  <si>
    <t>FISHER</t>
  </si>
  <si>
    <t>FISHERINV</t>
  </si>
  <si>
    <t>FIXED</t>
  </si>
  <si>
    <t>FLOOR</t>
  </si>
  <si>
    <t>FLOOR.MATH</t>
  </si>
  <si>
    <t>FLOOR.PRECISE</t>
  </si>
  <si>
    <t>FORECAST</t>
  </si>
  <si>
    <t>FORECAST.ETS</t>
  </si>
  <si>
    <t>FORECAST.ETS.CONFINT</t>
  </si>
  <si>
    <t>FORECAST.ETS.SEASONALITY</t>
  </si>
  <si>
    <t>FORECAST.ETS.STAT</t>
  </si>
  <si>
    <t>FORECAST.LINEAR</t>
  </si>
  <si>
    <t>FREQUENCY</t>
  </si>
  <si>
    <t>FTEST</t>
  </si>
  <si>
    <t>FV</t>
  </si>
  <si>
    <t>FVSCHEDULE</t>
  </si>
  <si>
    <t>GAMMA</t>
  </si>
  <si>
    <t>GAMMA.DIST</t>
  </si>
  <si>
    <t>GAMMA.INV</t>
  </si>
  <si>
    <t>GAMMADIST</t>
  </si>
  <si>
    <t>GAMMAINV</t>
  </si>
  <si>
    <t>GAMMALN</t>
  </si>
  <si>
    <t>GAMMALN.PRECISE</t>
  </si>
  <si>
    <t>GAUSS</t>
  </si>
  <si>
    <t>GCD</t>
  </si>
  <si>
    <t>GEOMEAN</t>
  </si>
  <si>
    <t>GESTEP</t>
  </si>
  <si>
    <t>GETPIVOTDATA</t>
  </si>
  <si>
    <t>GETPIVOTDATA requires its second argument to reference a cell inside an existing PivotTable; no PivotTable is present in this workbook, so #REF! is expected.</t>
  </si>
  <si>
    <t>GROUPBY</t>
  </si>
  <si>
    <t>GROWTH</t>
  </si>
  <si>
    <t>HARMEAN</t>
  </si>
  <si>
    <t>HEX2BIN</t>
  </si>
  <si>
    <t>HEX2DEC</t>
  </si>
  <si>
    <t>HEX2OCT</t>
  </si>
  <si>
    <t>HLOOKUP</t>
  </si>
  <si>
    <t>HOUR</t>
  </si>
  <si>
    <t>HSTACK</t>
  </si>
  <si>
    <t>HYPERLINK</t>
  </si>
  <si>
    <t>HYPGEOM.DIST</t>
  </si>
  <si>
    <t>HYPGEOMDIST</t>
  </si>
  <si>
    <t>IF</t>
  </si>
  <si>
    <t>IFERROR</t>
  </si>
  <si>
    <t>IFNA</t>
  </si>
  <si>
    <t>IFS</t>
  </si>
  <si>
    <t>IMABS</t>
  </si>
  <si>
    <t>IMAGE</t>
  </si>
  <si>
    <t>IMAGINARY</t>
  </si>
  <si>
    <t>IMARGUMENT</t>
  </si>
  <si>
    <t>IMCONJUGATE</t>
  </si>
  <si>
    <t>IMCOS</t>
  </si>
  <si>
    <t>IMCOSH</t>
  </si>
  <si>
    <t>IMCOT</t>
  </si>
  <si>
    <t>IMCSC</t>
  </si>
  <si>
    <t>IMCSCH</t>
  </si>
  <si>
    <t>IMDIV</t>
  </si>
  <si>
    <t>IMEXP</t>
  </si>
  <si>
    <t>IMLN</t>
  </si>
  <si>
    <t>IMLOG10</t>
  </si>
  <si>
    <t>IMLOG2</t>
  </si>
  <si>
    <t>IMPORTCSV</t>
  </si>
  <si>
    <t>As of October 2026, this feature is currently generally available to Microsoft 365 subscribers enrolled to the Insiders Beta channel, running Version 2502 (Build 18604.20002) or later in Excel for Windows.</t>
  </si>
  <si>
    <t>IMPORTTEXT</t>
  </si>
  <si>
    <t>IMPOWER</t>
  </si>
  <si>
    <t>IMPRODUCT</t>
  </si>
  <si>
    <t>IMREAL</t>
  </si>
  <si>
    <t>IMSEC</t>
  </si>
  <si>
    <t>IMSECH</t>
  </si>
  <si>
    <t>IMSIN</t>
  </si>
  <si>
    <t>IMSINH</t>
  </si>
  <si>
    <t>IMSQRT</t>
  </si>
  <si>
    <t>IMSUB</t>
  </si>
  <si>
    <t>IMSUM</t>
  </si>
  <si>
    <t>IMTAN</t>
  </si>
  <si>
    <t>INDEX</t>
  </si>
  <si>
    <t>INDIRECT</t>
  </si>
  <si>
    <t>INFO</t>
  </si>
  <si>
    <t>INT</t>
  </si>
  <si>
    <t>INTERCEPT</t>
  </si>
  <si>
    <t>INTRATE</t>
  </si>
  <si>
    <t>IPMT</t>
  </si>
  <si>
    <t>IRR</t>
  </si>
  <si>
    <t>ISBLANK</t>
  </si>
  <si>
    <t>ISERR</t>
  </si>
  <si>
    <t>ISERROR</t>
  </si>
  <si>
    <t>ISEVEN</t>
  </si>
  <si>
    <t>ISFORMULA</t>
  </si>
  <si>
    <t>ISLOGICAL</t>
  </si>
  <si>
    <t>ISNA</t>
  </si>
  <si>
    <t>ISNONTEXT</t>
  </si>
  <si>
    <t>ISNUMBER</t>
  </si>
  <si>
    <t>ISO.CEILING</t>
  </si>
  <si>
    <t>ISODD</t>
  </si>
  <si>
    <t>ISOMITTED</t>
  </si>
  <si>
    <t>ISOWEEKNUM</t>
  </si>
  <si>
    <t>ISPMT</t>
  </si>
  <si>
    <t>ISREF</t>
  </si>
  <si>
    <t>ISTEXT</t>
  </si>
  <si>
    <t>KURT</t>
  </si>
  <si>
    <t>LAMBDA</t>
  </si>
  <si>
    <t>LARGE</t>
  </si>
  <si>
    <t>LCM</t>
  </si>
  <si>
    <t>LEFT</t>
  </si>
  <si>
    <t>LEFTB</t>
  </si>
  <si>
    <t>LEN</t>
  </si>
  <si>
    <t>LENB</t>
  </si>
  <si>
    <t>LET</t>
  </si>
  <si>
    <t>LINEST</t>
  </si>
  <si>
    <t>LN</t>
  </si>
  <si>
    <t>LOG</t>
  </si>
  <si>
    <t>LOG10</t>
  </si>
  <si>
    <t>LOGEST</t>
  </si>
  <si>
    <t>LOGINV</t>
  </si>
  <si>
    <t>LOGNORM.DIST</t>
  </si>
  <si>
    <t>LOGNORM.INV</t>
  </si>
  <si>
    <t>LOGNORMDIST</t>
  </si>
  <si>
    <t>LOOKUP</t>
  </si>
  <si>
    <t>LOWER</t>
  </si>
  <si>
    <t>MAKEARRAY</t>
  </si>
  <si>
    <t>MAP</t>
  </si>
  <si>
    <t>MATCH</t>
  </si>
  <si>
    <t>MAX</t>
  </si>
  <si>
    <t>MAXA</t>
  </si>
  <si>
    <t>MAXIFS</t>
  </si>
  <si>
    <t>MDETERM</t>
  </si>
  <si>
    <t>MDURATION</t>
  </si>
  <si>
    <t>MEDIAN</t>
  </si>
  <si>
    <t>MID</t>
  </si>
  <si>
    <t>MIDB</t>
  </si>
  <si>
    <t>MIN</t>
  </si>
  <si>
    <t>MINA</t>
  </si>
  <si>
    <t>MINIFS</t>
  </si>
  <si>
    <t>MINUTE</t>
  </si>
  <si>
    <t>MINVERSE</t>
  </si>
  <si>
    <t>MIRR</t>
  </si>
  <si>
    <t>MMULT</t>
  </si>
  <si>
    <t>MOD</t>
  </si>
  <si>
    <t>MODE</t>
  </si>
  <si>
    <t>MODE.MULT</t>
  </si>
  <si>
    <t>MODE.SNGL</t>
  </si>
  <si>
    <t>MONTH</t>
  </si>
  <si>
    <t>MROUND</t>
  </si>
  <si>
    <t>MULTINOMIAL</t>
  </si>
  <si>
    <t>MUNIT</t>
  </si>
  <si>
    <t>N</t>
  </si>
  <si>
    <t>NA</t>
  </si>
  <si>
    <t>NEGBINOM.DIST</t>
  </si>
  <si>
    <t>NEGBINOMDIST</t>
  </si>
  <si>
    <t>NETWORKDAYS</t>
  </si>
  <si>
    <t>NETWORKDAYS.INTL</t>
  </si>
  <si>
    <t>NOMINAL</t>
  </si>
  <si>
    <t>NORM.DIST</t>
  </si>
  <si>
    <t>NORM.INV</t>
  </si>
  <si>
    <t>NORM.S.DIST</t>
  </si>
  <si>
    <t>NORM.S.INV</t>
  </si>
  <si>
    <t>NORMDIST</t>
  </si>
  <si>
    <t>NORMINV</t>
  </si>
  <si>
    <t>NORMSDIST</t>
  </si>
  <si>
    <t>NORMSINV</t>
  </si>
  <si>
    <t>NOT</t>
  </si>
  <si>
    <t>NOW</t>
  </si>
  <si>
    <t>NPER</t>
  </si>
  <si>
    <t>NPV</t>
  </si>
  <si>
    <t>NUMBERVALUE</t>
  </si>
  <si>
    <t>OCT2BIN</t>
  </si>
  <si>
    <t>OCT2DEC</t>
  </si>
  <si>
    <t>OCT2HEX</t>
  </si>
  <si>
    <t>ODD</t>
  </si>
  <si>
    <t>ODDFPRICE</t>
  </si>
  <si>
    <t>ODDFYIELD</t>
  </si>
  <si>
    <t>ODDLPRICE</t>
  </si>
  <si>
    <t>ODDLYIELD</t>
  </si>
  <si>
    <t>OFFSET</t>
  </si>
  <si>
    <t>OR</t>
  </si>
  <si>
    <t>PDURATION</t>
  </si>
  <si>
    <t>PEARSON</t>
  </si>
  <si>
    <t>PERCENTILE</t>
  </si>
  <si>
    <t>PERCENTILE.EXC</t>
  </si>
  <si>
    <t>PERCENTILE.INC</t>
  </si>
  <si>
    <t>PERCENTOF</t>
  </si>
  <si>
    <t>PERCENTRANK</t>
  </si>
  <si>
    <t>PERCENTRANK.EXC</t>
  </si>
  <si>
    <t>PERCENTRANK.INC</t>
  </si>
  <si>
    <t>PERMUT</t>
  </si>
  <si>
    <t>PERMUTATIONA</t>
  </si>
  <si>
    <t>PHI</t>
  </si>
  <si>
    <t>PHONETIC</t>
  </si>
  <si>
    <t>PI</t>
  </si>
  <si>
    <t>PIVOTBY</t>
  </si>
  <si>
    <t>PMT</t>
  </si>
  <si>
    <t>POISSON</t>
  </si>
  <si>
    <t>POISSON.DIST</t>
  </si>
  <si>
    <t>POWER</t>
  </si>
  <si>
    <t>PPMT</t>
  </si>
  <si>
    <t>PRICE</t>
  </si>
  <si>
    <t>PRICEDISC</t>
  </si>
  <si>
    <t>PRICEMAT</t>
  </si>
  <si>
    <t>PROB</t>
  </si>
  <si>
    <t>PRODUCT</t>
  </si>
  <si>
    <t>PROPER</t>
  </si>
  <si>
    <t>PV</t>
  </si>
  <si>
    <t>PY</t>
  </si>
  <si>
    <t>QUARTILE</t>
  </si>
  <si>
    <t>QUARTILE.EXC</t>
  </si>
  <si>
    <t>QUARTILE.INC</t>
  </si>
  <si>
    <t>QUOTIENT</t>
  </si>
  <si>
    <t>RADIANS</t>
  </si>
  <si>
    <t>RAND</t>
  </si>
  <si>
    <t>RANDARRAY</t>
  </si>
  <si>
    <t>RANDBETWEEN</t>
  </si>
  <si>
    <t>RANK</t>
  </si>
  <si>
    <t>RANK.AVG</t>
  </si>
  <si>
    <t>RANK.EQ</t>
  </si>
  <si>
    <t>RATE</t>
  </si>
  <si>
    <t>RECEIVED</t>
  </si>
  <si>
    <t>REDUCE</t>
  </si>
  <si>
    <t>REGEXEXTRACT</t>
  </si>
  <si>
    <t>REGEXREPLACE</t>
  </si>
  <si>
    <t>REGEXTEST</t>
  </si>
  <si>
    <t>REPLACE</t>
  </si>
  <si>
    <t>REPLACEB</t>
  </si>
  <si>
    <t>REPT</t>
  </si>
  <si>
    <t>RIGHT</t>
  </si>
  <si>
    <t>RIGHTB</t>
  </si>
  <si>
    <t>ROMAN</t>
  </si>
  <si>
    <t>ROUND</t>
  </si>
  <si>
    <t>ROUNDDOWN</t>
  </si>
  <si>
    <t>ROUNDUP</t>
  </si>
  <si>
    <t>ROW</t>
  </si>
  <si>
    <t>ROWS</t>
  </si>
  <si>
    <t>RRI</t>
  </si>
  <si>
    <t>RSQ</t>
  </si>
  <si>
    <t>RTD</t>
  </si>
  <si>
    <t>SCAN</t>
  </si>
  <si>
    <t>SEARCH</t>
  </si>
  <si>
    <t>SEARCHB</t>
  </si>
  <si>
    <t>SEC</t>
  </si>
  <si>
    <t>SECH</t>
  </si>
  <si>
    <t>SECOND</t>
  </si>
  <si>
    <t>SEQUENCE</t>
  </si>
  <si>
    <t>SERIESSUM</t>
  </si>
  <si>
    <t>SIGN</t>
  </si>
  <si>
    <t>SIN</t>
  </si>
  <si>
    <t>SINH</t>
  </si>
  <si>
    <t>SKEW</t>
  </si>
  <si>
    <t>SKEW.P</t>
  </si>
  <si>
    <t>SLN</t>
  </si>
  <si>
    <t>SLOPE</t>
  </si>
  <si>
    <t>SMALL</t>
  </si>
  <si>
    <t>SORT</t>
  </si>
  <si>
    <t>SORTBY</t>
  </si>
  <si>
    <t>SQRT</t>
  </si>
  <si>
    <t>SQRTPI</t>
  </si>
  <si>
    <t>STANDARDIZE</t>
  </si>
  <si>
    <t>STDEV</t>
  </si>
  <si>
    <t>STDEV.P</t>
  </si>
  <si>
    <t>STDEV.S</t>
  </si>
  <si>
    <t>STDEVA</t>
  </si>
  <si>
    <t>STDEVP</t>
  </si>
  <si>
    <t>STDEVPA</t>
  </si>
  <si>
    <t>STEYX</t>
  </si>
  <si>
    <t>STOCKHISTORY</t>
  </si>
  <si>
    <t>SUBSTITUTE</t>
  </si>
  <si>
    <t>SUBTOTAL</t>
  </si>
  <si>
    <t>SUM</t>
  </si>
  <si>
    <t>SUMIF</t>
  </si>
  <si>
    <t>SUMIFS</t>
  </si>
  <si>
    <t>SUMPRODUCT</t>
  </si>
  <si>
    <t>SUMSQ</t>
  </si>
  <si>
    <t>SUMX2MY2</t>
  </si>
  <si>
    <t>SUMX2PY2</t>
  </si>
  <si>
    <t>SUMXMY2</t>
  </si>
  <si>
    <t>SWITCH</t>
  </si>
  <si>
    <t>SYD</t>
  </si>
  <si>
    <t>T</t>
  </si>
  <si>
    <t>T.DIST</t>
  </si>
  <si>
    <t>T.DIST.2T</t>
  </si>
  <si>
    <t>T.DIST.RT</t>
  </si>
  <si>
    <t>T.INV</t>
  </si>
  <si>
    <t>T.INV.2T</t>
  </si>
  <si>
    <t>T.TEST</t>
  </si>
  <si>
    <t>TABLE</t>
  </si>
  <si>
    <t>=TABLE(1)</t>
  </si>
  <si>
    <t>TABLE is not a callable worksheet function. It is an internal array formula generated by Data &gt; What-If Analysis &gt; Data Table, so =TABLE(...) cannot be entered directly for this test.</t>
  </si>
  <si>
    <t>TAKE</t>
  </si>
  <si>
    <t>TAN</t>
  </si>
  <si>
    <t>TANH</t>
  </si>
  <si>
    <t>TBILLEQ</t>
  </si>
  <si>
    <t>TBILLPRICE</t>
  </si>
  <si>
    <t>TBILLYIELD</t>
  </si>
  <si>
    <t>TDIST</t>
  </si>
  <si>
    <t>TEXT</t>
  </si>
  <si>
    <t>TEXTAFTER</t>
  </si>
  <si>
    <t>TEXTBEFORE</t>
  </si>
  <si>
    <t>TEXTJOIN</t>
  </si>
  <si>
    <t>TEXTSPLIT</t>
  </si>
  <si>
    <t>TIME</t>
  </si>
  <si>
    <t>TIMEVALUE</t>
  </si>
  <si>
    <t>TINV</t>
  </si>
  <si>
    <t>TOCOL</t>
  </si>
  <si>
    <t>TODAY</t>
  </si>
  <si>
    <t>TOROW</t>
  </si>
  <si>
    <t>TRANSLATE</t>
  </si>
  <si>
    <t>TRANSPOSE</t>
  </si>
  <si>
    <t>TREND</t>
  </si>
  <si>
    <t>TRIM</t>
  </si>
  <si>
    <t>TRIMMEAN</t>
  </si>
  <si>
    <t>TRIMRANGE</t>
  </si>
  <si>
    <t>TRUE</t>
  </si>
  <si>
    <t>TRUNC</t>
  </si>
  <si>
    <t>TTEST</t>
  </si>
  <si>
    <t>TYPE</t>
  </si>
  <si>
    <t>UNICHAR</t>
  </si>
  <si>
    <t>UNICODE</t>
  </si>
  <si>
    <t>UNIQUE</t>
  </si>
  <si>
    <t>UPPER</t>
  </si>
  <si>
    <t>VALUE</t>
  </si>
  <si>
    <t>VALUETOTEXT</t>
  </si>
  <si>
    <t>VAR</t>
  </si>
  <si>
    <t>VAR.P</t>
  </si>
  <si>
    <t>VAR.S</t>
  </si>
  <si>
    <t>VARA</t>
  </si>
  <si>
    <t>VARP</t>
  </si>
  <si>
    <t>VARPA</t>
  </si>
  <si>
    <t>VDB</t>
  </si>
  <si>
    <t>VLOOKUP</t>
  </si>
  <si>
    <t>VSTACK</t>
  </si>
  <si>
    <t>WEBSERVICE</t>
  </si>
  <si>
    <t>WEEKDAY</t>
  </si>
  <si>
    <t>WEEKNUM</t>
  </si>
  <si>
    <t>WEIBULL</t>
  </si>
  <si>
    <t>WEIBULL.DIST</t>
  </si>
  <si>
    <t>WORKDAY</t>
  </si>
  <si>
    <t>WORKDAY.INTL</t>
  </si>
  <si>
    <t>WRAPCOLS</t>
  </si>
  <si>
    <t>WRAPROWS</t>
  </si>
  <si>
    <t>XIRR</t>
  </si>
  <si>
    <t>XLOOKUP</t>
  </si>
  <si>
    <t>XMATCH</t>
  </si>
  <si>
    <t>XNPV</t>
  </si>
  <si>
    <t>XOR</t>
  </si>
  <si>
    <t>YEAR</t>
  </si>
  <si>
    <t>YEARFRAC</t>
  </si>
  <si>
    <t>YIELD</t>
  </si>
  <si>
    <t>YIELDDISC</t>
  </si>
  <si>
    <t>YIELDMAT</t>
  </si>
  <si>
    <t>Z.TEST</t>
  </si>
  <si>
    <t>ZTEST</t>
  </si>
  <si>
    <t>Function check</t>
  </si>
  <si>
    <t># of existing functions:</t>
  </si>
  <si>
    <t># of total functions:</t>
  </si>
  <si>
    <t># of untested functions:</t>
  </si>
  <si>
    <t># of missing functions:</t>
  </si>
  <si>
    <t>Filter and sort data in columns</t>
  </si>
  <si>
    <t>Normal range with filter - can you sort and filter these columns?</t>
  </si>
  <si>
    <t>"Table" - can you sort and filter these columns?</t>
  </si>
  <si>
    <t>Create "tables"</t>
  </si>
  <si>
    <t>Pivot tables</t>
  </si>
  <si>
    <t>change the yellow cells and test if invalid inputs return an error</t>
  </si>
  <si>
    <t>Set print area</t>
  </si>
  <si>
    <t>Data Validation for cells</t>
  </si>
  <si>
    <t>EXCEL SCREENSHOT</t>
  </si>
  <si>
    <t>Hide and group rows and columns</t>
  </si>
  <si>
    <t>There is a hidden sheet and a "veryhidden" sheet in this file.</t>
  </si>
  <si>
    <t>When you right-click on a sheet name at the bottom and click "unhide", it should only offer you to unhide the normal-hidden sheet!</t>
  </si>
  <si>
    <t>Comments (simple "notes" and threaded "comments")</t>
  </si>
  <si>
    <t>comment</t>
  </si>
  <si>
    <t>note</t>
  </si>
  <si>
    <r>
      <t xml:space="preserve">Format cells as text when started with </t>
    </r>
    <r>
      <rPr>
        <b/>
        <u/>
        <sz val="10"/>
        <color theme="1"/>
        <rFont val="Arial Unicode MS"/>
      </rPr>
      <t>'</t>
    </r>
  </si>
  <si>
    <t>first should be TRUE, second should be FALSE</t>
  </si>
  <si>
    <t>should return the same as the cell above</t>
  </si>
  <si>
    <t>Name manager / giving names to cells to reference them</t>
  </si>
  <si>
    <t>Hyperlinks in cells</t>
  </si>
  <si>
    <t>Link to other spreadsheet files</t>
  </si>
  <si>
    <t xml:space="preserve">Open another spreadsheet, start the formula here with "=" and then select a cell in the other file. Does it work? Does it show the correct result? </t>
  </si>
  <si>
    <t>Freeze panes</t>
  </si>
  <si>
    <t>Is the first column and row always visible when you scroll?</t>
  </si>
  <si>
    <t>can you open it by clicking on the link?</t>
  </si>
  <si>
    <t>Check, update and edit external links</t>
  </si>
  <si>
    <t>Does a reference to another spreadsheets update if the value changes in the other spreadsheet?</t>
  </si>
  <si>
    <t>Merge cells</t>
  </si>
  <si>
    <t>Are these 5 cells merged?</t>
  </si>
  <si>
    <t>Split text into multiple columns</t>
  </si>
  <si>
    <t>a, b, c, d, e</t>
  </si>
  <si>
    <t>Can you split this into 5 columns with the comma as the delimiter?</t>
  </si>
  <si>
    <t>Counts how many cells are not empty in A1:B3 in all sheets between START and END.</t>
  </si>
  <si>
    <t>Does this return a valid number?</t>
  </si>
  <si>
    <t>Apply formulas on multiple adjacent sheets (3D reference)</t>
  </si>
  <si>
    <t>Data table</t>
  </si>
  <si>
    <t>Change the yellow cells and recalculate sheet. Do the green numbers change and show the product of the yellow cells?</t>
  </si>
  <si>
    <t>Goalseek</t>
  </si>
  <si>
    <t>$ value today</t>
  </si>
  <si>
    <t>$ value in 5 years</t>
  </si>
  <si>
    <t>Interest p.a.</t>
  </si>
  <si>
    <t>What does the interest have to be for the $100 to be worth $150 in 5 years?</t>
  </si>
  <si>
    <t>Can disable automatic recalculation</t>
  </si>
  <si>
    <t>a</t>
  </si>
  <si>
    <t>a+b</t>
  </si>
  <si>
    <t>1. Disable automatic recalculation</t>
  </si>
  <si>
    <t>2. Change a or b to another value</t>
  </si>
  <si>
    <t>Does a+b stay 3 (i.e. not recalculated)?</t>
  </si>
  <si>
    <t>Hide and unhide sheets; Supports "very hidden" sheets</t>
  </si>
  <si>
    <t>AGGREGATE</t>
  </si>
  <si>
    <t>BASE</t>
  </si>
  <si>
    <t>COMBINA</t>
  </si>
  <si>
    <t>FORMULATEXT</t>
  </si>
  <si>
    <t>JIS</t>
  </si>
  <si>
    <t>REGISTER.ID</t>
  </si>
  <si>
    <t>SHEET</t>
  </si>
  <si>
    <t>SHEETS</t>
  </si>
  <si>
    <t>Not documented, for compatibility with OnlyOffice</t>
  </si>
  <si>
    <t>https://support.microsoft.com/en-us/excel/functions/*</t>
  </si>
  <si>
    <t>=register.id(1)</t>
  </si>
  <si>
    <t>Microsoft documentattion</t>
  </si>
  <si>
    <t>List of all functions in Excel 365 as of October 2026. Column D checks if the function is available. If not, it will say FALSE. Some cannot be tested easily. Column E summarizes missing functions.</t>
  </si>
  <si>
    <t>List of missing functions in the program you're using:</t>
  </si>
  <si>
    <t>Border styles and colours</t>
  </si>
  <si>
    <t>dotted</t>
  </si>
  <si>
    <t>red dotted</t>
  </si>
  <si>
    <t>double border</t>
  </si>
  <si>
    <t>bottom only</t>
  </si>
  <si>
    <t>Two-colour fill for cell backgrounds</t>
  </si>
  <si>
    <t>Pattern fill for cell backgrounds</t>
  </si>
  <si>
    <t>(vertical, diagonal, from centre)</t>
  </si>
  <si>
    <t>Conditional formatting (incl. apply colour scales or insert data bars)</t>
  </si>
  <si>
    <t>Text formatting</t>
  </si>
  <si>
    <t>Rich text, including partial formatting in a cell</t>
  </si>
  <si>
    <t>Center across selection (without merging cells)</t>
  </si>
  <si>
    <t>Indent (left and right align)</t>
  </si>
  <si>
    <t>(Partial) superscript / subscript / strikethrough</t>
  </si>
  <si>
    <t>Accounting underline</t>
  </si>
  <si>
    <t>Wrap text</t>
  </si>
  <si>
    <t>Vertical and rotated text</t>
  </si>
  <si>
    <t>$0.0,,"m"_);[Red]($0.0,,"m");-_)</t>
  </si>
  <si>
    <t>;;; (should appear blank)</t>
  </si>
  <si>
    <t>Date formatting: dddd, dd mmm yyyy, yyyy-mm-dd</t>
  </si>
  <si>
    <t>Insert shapes, arrows, textboxes, and images</t>
  </si>
  <si>
    <t>Place images in cell</t>
  </si>
  <si>
    <t>picture will move with the cell when rows are cut and pasted, and it will automatically resize to fit the new dimensions of the cell when the row height or column width is changed</t>
  </si>
  <si>
    <t>SmartArt (examples):</t>
  </si>
  <si>
    <t>can you edit the text labels easily?</t>
  </si>
  <si>
    <t>can you easily change the number of items?</t>
  </si>
  <si>
    <t>Excel SmartArt input dialog:</t>
  </si>
  <si>
    <t>Mathematical formulas</t>
  </si>
  <si>
    <t>Group multiple objects</t>
  </si>
  <si>
    <t>can you ungroup and regroup the objects?</t>
  </si>
  <si>
    <t>does resizing keep the same proportions of the grouped objects?</t>
  </si>
  <si>
    <t>Save objects as picture</t>
  </si>
  <si>
    <t>can you save the grouped objects above as a picture?</t>
  </si>
  <si>
    <t>Apply effects on objects</t>
  </si>
  <si>
    <t>Line formatting</t>
  </si>
  <si>
    <t>Line charts and area charts (normal/stacked/100%)</t>
  </si>
  <si>
    <t>Bar and column charts (clustered or stacked)</t>
  </si>
  <si>
    <t>Pie charts (incl. doughnut and pie of pie)</t>
  </si>
  <si>
    <t>Scatterplot</t>
  </si>
  <si>
    <t>Bubble charts</t>
  </si>
  <si>
    <t>bubble size correct?</t>
  </si>
  <si>
    <t>Radar charts</t>
  </si>
  <si>
    <t>Surface charts</t>
  </si>
  <si>
    <t>Treemap and sunburst charts</t>
  </si>
  <si>
    <t>Others: histogram, funnel, waterfall, box &amp; whisker</t>
  </si>
  <si>
    <t>Maps</t>
  </si>
  <si>
    <t>Combination of different chart types</t>
  </si>
  <si>
    <t>Secondary y-axis</t>
  </si>
  <si>
    <t>Custom number formatting for axis legends</t>
  </si>
  <si>
    <t>Positioning options for axis labels (high, low etc.)</t>
  </si>
  <si>
    <t>Manually reposition individual data labels with mouse</t>
  </si>
  <si>
    <t>can you drag the data labels and they will move and add a connector line, like in this screenshot?</t>
  </si>
  <si>
    <t>Skip empty values and #n/a values</t>
  </si>
  <si>
    <t>Treat dates as dates (not text) on x-axis</t>
  </si>
  <si>
    <t>is the spacing of data on the x-axis based on the time between dates?</t>
  </si>
  <si>
    <t>Date axis: show multiple values with same date together /  ignore #N/A dates at the end of the range</t>
  </si>
  <si>
    <t>Dynamic ranges for data (as defined in name manager)</t>
  </si>
  <si>
    <t xml:space="preserve">can you change the two blue dates (start and end dates) to something else in A404:A419 and the x-axis in the chart updates to use that date range? </t>
  </si>
  <si>
    <t>Axis titles or chart title linked to cell values</t>
  </si>
  <si>
    <t>CHART TITLE</t>
  </si>
  <si>
    <t>can you change the blue labels in B402 and B403:C403 and the axis and chart titles update?</t>
  </si>
  <si>
    <t>added "2" at the end of all labels:</t>
  </si>
  <si>
    <t>Data labels linked to a range of cells</t>
  </si>
  <si>
    <t>(may need to recalculate the sheet or click into the chart for it to update)</t>
  </si>
  <si>
    <t>all changed to "sdf":</t>
  </si>
  <si>
    <t>can you change the blue labels in J476:J494 and the data labels in the chart will update?</t>
  </si>
  <si>
    <t>Data table at the bottom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</si>
</sst>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_);[Red]\(#,##0\);\-_)"/>
    <numFmt numFmtId="165" formatCode="[=1]&quot;Yes&quot;;&quot;No&quot;\ "/>
    <numFmt numFmtId="166" formatCode="\$0.0,,&quot;m&quot;"/>
    <numFmt numFmtId="167" formatCode=";;;"/>
    <numFmt numFmtId="168" formatCode="dddd"/>
    <numFmt numFmtId="169" formatCode="0.0000"/>
    <numFmt numFmtId="170" formatCode="\$0.0,,&quot;m&quot;_);[Red]\(\$0.0,,&quot;m&quot;\);\-_)"/>
    <numFmt numFmtId="171" formatCode="dd\ mmm\ yyyy"/>
    <numFmt numFmtId="172" formatCode="yyyy\-mm\-dd"/>
  </numFmts>
  <fonts count="31">
    <font>
      <sz val="11"/>
      <color theme="1"/>
      <name val="Aptos Narrow"/>
      <family val="2"/>
      <scheme val="minor"/>
    </font>
    <font>
      <b/>
      <sz val="11"/>
      <color theme="1"/>
      <name val="Aptos Narrow"/>
      <family val="2"/>
      <scheme val="minor"/>
    </font>
    <font>
      <u/>
      <sz val="11"/>
      <color theme="1"/>
      <name val="Aptos Narrow"/>
      <family val="2"/>
    </font>
    <font>
      <b/>
      <sz val="11"/>
      <color theme="1"/>
      <name val="Aptos Narrow"/>
      <family val="2"/>
    </font>
    <font>
      <i/>
      <sz val="11"/>
      <color theme="1"/>
      <name val="Aptos Narrow"/>
      <family val="2"/>
    </font>
    <font>
      <vertAlign val="superscript"/>
      <sz val="11"/>
      <color theme="1"/>
      <name val="Aptos Narrow"/>
      <family val="2"/>
    </font>
    <font>
      <vertAlign val="subscript"/>
      <sz val="11"/>
      <color theme="1"/>
      <name val="Aptos Narrow"/>
      <family val="2"/>
    </font>
    <font>
      <strike/>
      <sz val="11"/>
      <color theme="1"/>
      <name val="Aptos Narrow"/>
      <family val="2"/>
    </font>
    <font>
      <u val="singleAccounting"/>
      <sz val="11"/>
      <color theme="1"/>
      <name val="Aptos Narrow"/>
      <family val="2"/>
      <scheme val="minor"/>
    </font>
    <font>
      <sz val="11"/>
      <color theme="1"/>
      <name val="Aptos Narrow"/>
      <family val="2"/>
      <scheme val="minor"/>
    </font>
    <font>
      <sz val="11"/>
      <color rgb="FF014AFF"/>
      <name val="Aptos Narrow"/>
      <family val="2"/>
      <scheme val="minor"/>
    </font>
    <font>
      <b/>
      <sz val="11"/>
      <color rgb="FF014AFF"/>
      <name val="Aptos Narrow"/>
      <family val="2"/>
      <scheme val="minor"/>
    </font>
    <font>
      <u/>
      <sz val="11"/>
      <color theme="1"/>
      <name val="Aptos Narrow"/>
      <family val="2"/>
      <scheme val="minor"/>
    </font>
    <font>
      <sz val="9"/>
      <color indexed="81"/>
      <name val="Tahoma"/>
      <family val="2"/>
    </font>
    <font>
      <b/>
      <sz val="9"/>
      <color indexed="81"/>
      <name val="Tahoma"/>
      <family val="2"/>
    </font>
    <font>
      <i/>
      <sz val="11"/>
      <color theme="1"/>
      <name val="Aptos Narrow"/>
      <family val="2"/>
      <scheme val="minor"/>
    </font>
    <font>
      <u/>
      <sz val="11"/>
      <color theme="10"/>
      <name val="Aptos Narrow"/>
      <family val="2"/>
      <scheme val="minor"/>
    </font>
    <font>
      <sz val="11"/>
      <name val="Carlito"/>
      <family val="2"/>
    </font>
    <font>
      <b/>
      <sz val="11"/>
      <name val="Carlito"/>
      <family val="2"/>
    </font>
    <font>
      <sz val="11"/>
      <color theme="1"/>
      <name val="Carlito"/>
      <family val="2"/>
    </font>
    <font>
      <u/>
      <sz val="11"/>
      <color theme="10"/>
      <name val="Carlito"/>
      <family val="2"/>
    </font>
    <font>
      <b/>
      <u/>
      <sz val="11"/>
      <name val="Carlito"/>
      <family val="2"/>
    </font>
    <font>
      <b/>
      <u/>
      <sz val="11"/>
      <color theme="1"/>
      <name val="Aptos Narrow"/>
      <family val="2"/>
      <scheme val="minor"/>
    </font>
    <font>
      <b/>
      <u/>
      <sz val="10"/>
      <color theme="1"/>
      <name val="Arial Unicode MS"/>
    </font>
    <font>
      <b/>
      <u/>
      <sz val="11"/>
      <color theme="1"/>
      <name val="Aptos Narrow"/>
      <family val="2"/>
    </font>
    <font>
      <sz val="11"/>
      <color rgb="FF00B050"/>
      <name val="Aptos Narrow"/>
      <family val="2"/>
      <scheme val="minor"/>
    </font>
    <font>
      <b/>
      <sz val="18"/>
      <color theme="1"/>
      <name val="Aptos Narrow"/>
      <family val="2"/>
      <scheme val="minor"/>
    </font>
    <font>
      <b/>
      <sz val="13.5"/>
      <color theme="1"/>
      <name val="Aptos Narrow"/>
      <family val="2"/>
      <scheme val="minor"/>
    </font>
    <font>
      <b/>
      <u/>
      <sz val="12"/>
      <color theme="1"/>
      <name val="Aptos Narrow"/>
      <family val="2"/>
    </font>
    <font>
      <b/>
      <u/>
      <sz val="12"/>
      <color theme="1"/>
      <name val="Aptos Narrow"/>
      <family val="2"/>
      <scheme val="minor"/>
    </font>
    <font>
      <b/>
      <sz val="9"/>
      <color rgb="FF014AFF"/>
      <name val="Aptos Narrow"/>
      <family val="2"/>
      <scheme val="minor"/>
    </font>
  </fonts>
  <fills count="9">
    <fill>
      <patternFill patternType="none"/>
    </fill>
    <fill>
      <patternFill patternType="gray125"/>
    </fill>
    <fill>
      <gradientFill degree="180">
        <stop position="0">
          <color theme="5"/>
        </stop>
        <stop position="1">
          <color theme="4"/>
        </stop>
      </gradientFill>
    </fill>
    <fill>
      <patternFill patternType="lightGrid">
        <fgColor theme="7" tint="0.59996337778862885"/>
        <bgColor indexed="65"/>
      </patternFill>
    </fill>
    <fill>
      <patternFill patternType="gray0625">
        <fgColor theme="8"/>
      </patternFill>
    </fill>
    <fill>
      <patternFill patternType="lightUp"/>
    </fill>
    <fill>
      <gradientFill degree="135">
        <stop position="0">
          <color theme="9" tint="0.80001220740379042"/>
        </stop>
        <stop position="1">
          <color theme="4"/>
        </stop>
      </gradientFill>
    </fill>
    <fill>
      <gradientFill type="path" left="0.5" right="0.5" top="0.5" bottom="0.5">
        <stop position="0">
          <color theme="0"/>
        </stop>
        <stop position="1">
          <color theme="4"/>
        </stop>
      </gradientFill>
    </fill>
    <fill>
      <patternFill patternType="solid">
        <fgColor rgb="FFFFFFCC"/>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double">
        <color auto="1"/>
      </left>
      <right style="double">
        <color auto="1"/>
      </right>
      <top style="double">
        <color auto="1"/>
      </top>
      <bottom style="double">
        <color auto="1"/>
      </bottom>
      <diagonal/>
    </border>
    <border>
      <left style="hair">
        <color rgb="FFFF0000"/>
      </left>
      <right style="hair">
        <color rgb="FFFF0000"/>
      </right>
      <top style="hair">
        <color rgb="FFFF0000"/>
      </top>
      <bottom style="hair">
        <color rgb="FFFF0000"/>
      </bottom>
      <diagonal/>
    </border>
    <border>
      <left style="hair">
        <color auto="1"/>
      </left>
      <right style="hair">
        <color auto="1"/>
      </right>
      <top style="hair">
        <color auto="1"/>
      </top>
      <bottom style="hair">
        <color auto="1"/>
      </bottom>
      <diagonal/>
    </border>
  </borders>
  <cellStyleXfs count="5">
    <xf numFmtId="0" fontId="0" fillId="0" borderId="0"/>
    <xf numFmtId="9" fontId="9" fillId="0" borderId="0" applyFont="0" applyFill="0" applyBorder="0" applyAlignment="0" applyProtection="0"/>
    <xf numFmtId="0" fontId="16" fillId="0" borderId="0" applyNumberFormat="0" applyFill="0" applyBorder="0" applyAlignment="0" applyProtection="0"/>
    <xf numFmtId="0" fontId="17" fillId="0" borderId="0"/>
    <xf numFmtId="0" fontId="20" fillId="0" borderId="0" applyNumberFormat="0" applyFill="0" applyBorder="0" applyAlignment="0" applyProtection="0"/>
  </cellStyleXfs>
  <cellXfs count="91">
    <xf numFmtId="0" fontId="0" fillId="0" borderId="0" xfId="0"/>
    <xf numFmtId="0" fontId="1" fillId="0" borderId="0" xfId="0" applyFont="1"/>
    <xf numFmtId="0" fontId="0" fillId="0" borderId="0" xfId="0" quotePrefix="1"/>
    <xf numFmtId="164"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0" fontId="0" fillId="0" borderId="0" xfId="0" applyAlignment="1">
      <alignment horizontal="centerContinuous"/>
    </xf>
    <xf numFmtId="0" fontId="8" fillId="0" borderId="0" xfId="0" applyFont="1"/>
    <xf numFmtId="0" fontId="0" fillId="0" borderId="0" xfId="0" applyAlignment="1">
      <alignment wrapText="1"/>
    </xf>
    <xf numFmtId="0" fontId="0" fillId="0" borderId="0" xfId="0" applyAlignment="1">
      <alignment textRotation="255"/>
    </xf>
    <xf numFmtId="0" fontId="0" fillId="0" borderId="0" xfId="0" applyAlignment="1">
      <alignment textRotation="90"/>
    </xf>
    <xf numFmtId="0" fontId="0" fillId="0" borderId="0" xfId="0" applyAlignment="1">
      <alignment horizontal="left" indent="1"/>
    </xf>
    <xf numFmtId="0" fontId="0" fillId="0" borderId="0" xfId="0" applyAlignment="1">
      <alignment horizontal="right" indent="1"/>
    </xf>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14" fontId="0" fillId="0" borderId="0" xfId="0" applyNumberFormat="1"/>
    <xf numFmtId="0" fontId="10" fillId="8" borderId="0" xfId="0" applyFont="1" applyFill="1"/>
    <xf numFmtId="4" fontId="0" fillId="0" borderId="0" xfId="0" applyNumberFormat="1"/>
    <xf numFmtId="3" fontId="0" fillId="0" borderId="0" xfId="0" applyNumberFormat="1"/>
    <xf numFmtId="9" fontId="0" fillId="0" borderId="0" xfId="0" applyNumberFormat="1"/>
    <xf numFmtId="9" fontId="0" fillId="0" borderId="0" xfId="1" applyFont="1"/>
    <xf numFmtId="14" fontId="10" fillId="0" borderId="0" xfId="0" applyNumberFormat="1" applyFont="1"/>
    <xf numFmtId="14" fontId="0" fillId="0" borderId="0" xfId="0" quotePrefix="1" applyNumberFormat="1"/>
    <xf numFmtId="0" fontId="0" fillId="0" borderId="0" xfId="0" applyAlignment="1">
      <alignment horizontal="right"/>
    </xf>
    <xf numFmtId="169" fontId="0" fillId="0" borderId="0" xfId="0" applyNumberFormat="1"/>
    <xf numFmtId="10" fontId="0" fillId="0" borderId="0" xfId="0" applyNumberFormat="1"/>
    <xf numFmtId="2" fontId="10" fillId="8" borderId="0" xfId="0" applyNumberFormat="1" applyFont="1" applyFill="1"/>
    <xf numFmtId="14" fontId="10" fillId="8" borderId="0" xfId="0" applyNumberFormat="1" applyFont="1" applyFill="1"/>
    <xf numFmtId="0" fontId="12" fillId="0" borderId="0" xfId="0" applyFont="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15" fillId="0" borderId="0" xfId="0" applyFont="1"/>
    <xf numFmtId="14" fontId="0" fillId="0" borderId="1" xfId="0" applyNumberFormat="1" applyBorder="1"/>
    <xf numFmtId="0" fontId="16" fillId="0" borderId="0" xfId="2"/>
    <xf numFmtId="0" fontId="12" fillId="0" borderId="0" xfId="0" quotePrefix="1" applyFont="1"/>
    <xf numFmtId="0" fontId="0" fillId="0" borderId="0" xfId="0" pivotButton="1"/>
    <xf numFmtId="4" fontId="0" fillId="0" borderId="0" xfId="0" applyNumberFormat="1" applyAlignment="1">
      <alignment horizontal="left"/>
    </xf>
    <xf numFmtId="0" fontId="18" fillId="0" borderId="0" xfId="3" applyFont="1" applyAlignment="1">
      <alignment horizontal="center" vertical="top"/>
    </xf>
    <xf numFmtId="0" fontId="18" fillId="0" borderId="0" xfId="3" applyFont="1" applyAlignment="1">
      <alignment vertical="top"/>
    </xf>
    <xf numFmtId="0" fontId="17" fillId="0" borderId="0" xfId="3"/>
    <xf numFmtId="0" fontId="19" fillId="0" borderId="0" xfId="3" applyFont="1"/>
    <xf numFmtId="0" fontId="19" fillId="0" borderId="0" xfId="3" applyFont="1" applyAlignment="1">
      <alignment vertical="top"/>
    </xf>
    <xf numFmtId="0" fontId="19" fillId="0" borderId="0" xfId="3" applyFont="1" applyAlignment="1">
      <alignment horizontal="center" vertical="top"/>
    </xf>
    <xf numFmtId="0" fontId="19" fillId="0" borderId="0" xfId="3" applyFont="1" applyAlignment="1">
      <alignment horizontal="center" vertical="top" wrapText="1"/>
    </xf>
    <xf numFmtId="0" fontId="19" fillId="0" borderId="0" xfId="3" applyFont="1" applyAlignment="1">
      <alignment vertical="top" wrapText="1"/>
    </xf>
    <xf numFmtId="0" fontId="20" fillId="0" borderId="0" xfId="4" applyBorder="1" applyAlignment="1"/>
    <xf numFmtId="0" fontId="20" fillId="0" borderId="0" xfId="4" applyNumberFormat="1" applyFill="1" applyBorder="1" applyAlignment="1">
      <alignment vertical="top"/>
    </xf>
    <xf numFmtId="0" fontId="21" fillId="0" borderId="0" xfId="3" applyFont="1"/>
    <xf numFmtId="0" fontId="17" fillId="0" borderId="0" xfId="3" applyAlignment="1">
      <alignment horizontal="left"/>
    </xf>
    <xf numFmtId="0" fontId="22" fillId="0" borderId="0" xfId="0" applyFont="1"/>
    <xf numFmtId="0" fontId="24" fillId="0" borderId="0" xfId="0" applyFont="1"/>
    <xf numFmtId="0" fontId="15" fillId="0" borderId="0" xfId="0" quotePrefix="1" applyFont="1"/>
    <xf numFmtId="0" fontId="25" fillId="0" borderId="0" xfId="0" applyFont="1"/>
    <xf numFmtId="0" fontId="26"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0" fillId="0" borderId="0" xfId="0" applyAlignment="1">
      <alignment horizontal="left" vertical="center" indent="1"/>
    </xf>
    <xf numFmtId="0" fontId="16" fillId="0" borderId="0" xfId="2" applyAlignment="1">
      <alignment horizontal="left" vertical="center" indent="1"/>
    </xf>
    <xf numFmtId="0" fontId="27" fillId="0" borderId="0" xfId="0" applyFont="1" applyAlignment="1">
      <alignment vertical="center"/>
    </xf>
    <xf numFmtId="0" fontId="1" fillId="0" borderId="0" xfId="0" applyFont="1" applyAlignment="1">
      <alignment horizontal="left" vertical="center" indent="1"/>
    </xf>
    <xf numFmtId="0" fontId="0" fillId="0" borderId="0" xfId="0" applyAlignment="1">
      <alignment horizontal="left" vertical="center" wrapText="1"/>
    </xf>
    <xf numFmtId="0" fontId="1" fillId="0" borderId="0" xfId="0" applyFont="1" applyAlignment="1">
      <alignment horizontal="left" vertical="center" wrapText="1"/>
    </xf>
    <xf numFmtId="0" fontId="16" fillId="0" borderId="0" xfId="2" quotePrefix="1"/>
    <xf numFmtId="0" fontId="19" fillId="0" borderId="0" xfId="3" quotePrefix="1" applyFont="1" applyAlignment="1">
      <alignment vertical="top"/>
    </xf>
    <xf numFmtId="0" fontId="0" fillId="0" borderId="10" xfId="0" applyBorder="1"/>
    <xf numFmtId="0" fontId="0" fillId="0" borderId="11" xfId="0" applyBorder="1"/>
    <xf numFmtId="0" fontId="0" fillId="0" borderId="12" xfId="0" applyBorder="1"/>
    <xf numFmtId="170" fontId="0" fillId="0" borderId="0" xfId="0" applyNumberFormat="1"/>
    <xf numFmtId="171" fontId="0" fillId="0" borderId="0" xfId="0" applyNumberFormat="1"/>
    <xf numFmtId="172" fontId="0" fillId="0" borderId="0" xfId="0" applyNumberFormat="1"/>
    <xf numFmtId="0" fontId="28" fillId="0" borderId="0" xfId="0" applyFont="1"/>
    <xf numFmtId="0" fontId="29" fillId="0" borderId="0" xfId="0" applyFont="1"/>
    <xf numFmtId="14" fontId="30" fillId="0" borderId="0" xfId="0" applyNumberFormat="1" applyFont="1"/>
    <xf numFmtId="0" fontId="10" fillId="0" borderId="0" xfId="0" applyFont="1"/>
    <xf numFmtId="0" fontId="11" fillId="0" borderId="0" xfId="0" applyFont="1"/>
    <xf numFmtId="0" fontId="0" fillId="0" borderId="0" xfId="0" applyAlignment="1">
      <alignment vertical="center" wrapText="1"/>
    </xf>
    <xf numFmtId="0" fontId="15" fillId="0" borderId="0" xfId="0" applyFont="1" applyAlignment="1">
      <alignment horizontal="center"/>
    </xf>
    <xf numFmtId="0" fontId="15" fillId="0" borderId="0" xfId="0" applyFont="1" applyAlignment="1">
      <alignment horizontal="left" wrapText="1"/>
    </xf>
  </cellXfs>
  <cellStyles count="5">
    <cellStyle name="Hyperlink" xfId="2" builtinId="8"/>
    <cellStyle name="Hyperlink 2" xfId="4" xr:uid="{123C67ED-8DB4-4BF7-8831-E9DC43DB81F2}"/>
    <cellStyle name="Normal" xfId="0" builtinId="0"/>
    <cellStyle name="Normal 2" xfId="3" xr:uid="{5187A9F5-737C-414F-AA94-CCA9FBE0F201}"/>
    <cellStyle name="Percent" xfId="1" builtinId="5"/>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numFmt numFmtId="19" formatCode="dd/mm/yyyy"/>
    </dxf>
  </dxfs>
  <tableStyles count="0" defaultTableStyle="TableStyleMedium2" defaultPivotStyle="PivotStyleLight16"/>
  <colors>
    <mruColors>
      <color rgb="FF014A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21" Type="http://schemas.microsoft.com/office/2017/06/relationships/rdSupportingPropertyBag" Target="richData/rdsupportingpropertybag.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5" Type="http://schemas.microsoft.com/office/2023/09/relationships/Python" Target="python.xml"/><Relationship Id="rId2" Type="http://schemas.openxmlformats.org/officeDocument/2006/relationships/worksheet" Target="worksheets/sheet2.xml"/><Relationship Id="rId16" Type="http://schemas.microsoft.com/office/2022/10/relationships/richValueRel" Target="richData/richValueRel.xml"/><Relationship Id="rId20"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sheetMetadata" Target="metadata.xml"/><Relationship Id="rId23" Type="http://schemas.microsoft.com/office/2017/10/relationships/person" Target="persons/person.xml"/><Relationship Id="rId10" Type="http://schemas.openxmlformats.org/officeDocument/2006/relationships/worksheet" Target="worksheets/sheet10.xml"/><Relationship Id="rId19" Type="http://schemas.microsoft.com/office/2017/06/relationships/rdArray" Target="richData/rdarray.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3.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5.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6.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7.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8.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9.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0.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1.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2.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23.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2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2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2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2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28.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29.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0.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1.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6.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Ex7.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Ex8.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Line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'6. Charts'!$B$5</c:f>
              <c:strCache>
                <c:ptCount val="1"/>
                <c:pt idx="0">
                  <c:v>Data 1</c:v>
                </c:pt>
              </c:strCache>
            </c:strRef>
          </c:tx>
          <c:spPr>
            <a:ln w="28575" cap="rnd">
              <a:solidFill>
                <a:schemeClr val="accent2"/>
              </a:solidFill>
              <a:round/>
            </a:ln>
            <a:effectLst/>
          </c:spPr>
          <c:marker>
            <c:symbol val="none"/>
          </c:marke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val>
          <c:smooth val="0"/>
          <c:extLst>
            <c:ext xmlns:c16="http://schemas.microsoft.com/office/drawing/2014/chart" uri="{C3380CC4-5D6E-409C-BE32-E72D297353CC}">
              <c16:uniqueId val="{00000001-CFF2-4FE5-94AB-3269B5688526}"/>
            </c:ext>
          </c:extLst>
        </c:ser>
        <c:ser>
          <c:idx val="2"/>
          <c:order val="1"/>
          <c:tx>
            <c:strRef>
              <c:f>'6. Charts'!$C$5</c:f>
              <c:strCache>
                <c:ptCount val="1"/>
                <c:pt idx="0">
                  <c:v>Data 2</c:v>
                </c:pt>
              </c:strCache>
            </c:strRef>
          </c:tx>
          <c:spPr>
            <a:ln w="28575" cap="rnd">
              <a:solidFill>
                <a:schemeClr val="accent3"/>
              </a:solidFill>
              <a:round/>
            </a:ln>
            <a:effectLst/>
          </c:spPr>
          <c:marker>
            <c:symbol val="none"/>
          </c:marke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val>
          <c:smooth val="0"/>
          <c:extLst>
            <c:ext xmlns:c16="http://schemas.microsoft.com/office/drawing/2014/chart" uri="{C3380CC4-5D6E-409C-BE32-E72D297353CC}">
              <c16:uniqueId val="{00000002-CFF2-4FE5-94AB-3269B5688526}"/>
            </c:ext>
          </c:extLst>
        </c:ser>
        <c:ser>
          <c:idx val="3"/>
          <c:order val="2"/>
          <c:tx>
            <c:strRef>
              <c:f>'6. Charts'!$D$5</c:f>
              <c:strCache>
                <c:ptCount val="1"/>
                <c:pt idx="0">
                  <c:v>Data 3</c:v>
                </c:pt>
              </c:strCache>
            </c:strRef>
          </c:tx>
          <c:spPr>
            <a:ln w="28575" cap="rnd">
              <a:solidFill>
                <a:schemeClr val="accent4"/>
              </a:solidFill>
              <a:round/>
            </a:ln>
            <a:effectLst/>
          </c:spPr>
          <c:marker>
            <c:symbol val="none"/>
          </c:marke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smooth val="0"/>
          <c:extLst>
            <c:ext xmlns:c16="http://schemas.microsoft.com/office/drawing/2014/chart" uri="{C3380CC4-5D6E-409C-BE32-E72D297353CC}">
              <c16:uniqueId val="{00000003-CFF2-4FE5-94AB-3269B5688526}"/>
            </c:ext>
          </c:extLst>
        </c:ser>
        <c:ser>
          <c:idx val="4"/>
          <c:order val="3"/>
          <c:tx>
            <c:strRef>
              <c:f>'6. Charts'!$E$5</c:f>
              <c:strCache>
                <c:ptCount val="1"/>
                <c:pt idx="0">
                  <c:v>Data 4</c:v>
                </c:pt>
              </c:strCache>
            </c:strRef>
          </c:tx>
          <c:spPr>
            <a:ln w="28575" cap="rnd">
              <a:solidFill>
                <a:schemeClr val="accent5"/>
              </a:solidFill>
              <a:round/>
            </a:ln>
            <a:effectLst/>
          </c:spPr>
          <c:marker>
            <c:symbol val="none"/>
          </c:marke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val>
          <c:smooth val="0"/>
          <c:extLst>
            <c:ext xmlns:c16="http://schemas.microsoft.com/office/drawing/2014/chart" uri="{C3380CC4-5D6E-409C-BE32-E72D297353CC}">
              <c16:uniqueId val="{00000004-CFF2-4FE5-94AB-3269B5688526}"/>
            </c:ext>
          </c:extLst>
        </c:ser>
        <c:dLbls>
          <c:showLegendKey val="0"/>
          <c:showVal val="0"/>
          <c:showCatName val="0"/>
          <c:showSerName val="0"/>
          <c:showPercent val="0"/>
          <c:showBubbleSize val="0"/>
        </c:dLbls>
        <c:smooth val="0"/>
        <c:axId val="1596755552"/>
        <c:axId val="1596761312"/>
      </c:lineChart>
      <c:catAx>
        <c:axId val="1596755552"/>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auto val="1"/>
        <c:lblAlgn val="ctr"/>
        <c:lblOffset val="100"/>
        <c:noMultiLvlLbl val="0"/>
      </c:catAx>
      <c:valAx>
        <c:axId val="15967613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Line Chart with Markers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'6. Charts'!$B$5</c:f>
              <c:strCache>
                <c:ptCount val="1"/>
                <c:pt idx="0">
                  <c:v>Data 1</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val>
          <c:smooth val="0"/>
          <c:extLst>
            <c:ext xmlns:c16="http://schemas.microsoft.com/office/drawing/2014/chart" uri="{C3380CC4-5D6E-409C-BE32-E72D297353CC}">
              <c16:uniqueId val="{00000000-5A94-4EFD-AFAE-77AE4F160C0F}"/>
            </c:ext>
          </c:extLst>
        </c:ser>
        <c:ser>
          <c:idx val="2"/>
          <c:order val="1"/>
          <c:tx>
            <c:strRef>
              <c:f>'6. Charts'!$C$5</c:f>
              <c:strCache>
                <c:ptCount val="1"/>
                <c:pt idx="0">
                  <c:v>Data 2</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val>
          <c:smooth val="0"/>
          <c:extLst>
            <c:ext xmlns:c16="http://schemas.microsoft.com/office/drawing/2014/chart" uri="{C3380CC4-5D6E-409C-BE32-E72D297353CC}">
              <c16:uniqueId val="{00000001-5A94-4EFD-AFAE-77AE4F160C0F}"/>
            </c:ext>
          </c:extLst>
        </c:ser>
        <c:ser>
          <c:idx val="3"/>
          <c:order val="2"/>
          <c:tx>
            <c:strRef>
              <c:f>'6. Charts'!$D$5</c:f>
              <c:strCache>
                <c:ptCount val="1"/>
                <c:pt idx="0">
                  <c:v>Data 3</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smooth val="0"/>
          <c:extLst>
            <c:ext xmlns:c16="http://schemas.microsoft.com/office/drawing/2014/chart" uri="{C3380CC4-5D6E-409C-BE32-E72D297353CC}">
              <c16:uniqueId val="{00000002-5A94-4EFD-AFAE-77AE4F160C0F}"/>
            </c:ext>
          </c:extLst>
        </c:ser>
        <c:ser>
          <c:idx val="4"/>
          <c:order val="3"/>
          <c:tx>
            <c:strRef>
              <c:f>'6. Charts'!$E$5</c:f>
              <c:strCache>
                <c:ptCount val="1"/>
                <c:pt idx="0">
                  <c:v>Data 4</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val>
          <c:smooth val="0"/>
          <c:extLst>
            <c:ext xmlns:c16="http://schemas.microsoft.com/office/drawing/2014/chart" uri="{C3380CC4-5D6E-409C-BE32-E72D297353CC}">
              <c16:uniqueId val="{00000003-5A94-4EFD-AFAE-77AE4F160C0F}"/>
            </c:ext>
          </c:extLst>
        </c:ser>
        <c:dLbls>
          <c:showLegendKey val="0"/>
          <c:showVal val="0"/>
          <c:showCatName val="0"/>
          <c:showSerName val="0"/>
          <c:showPercent val="0"/>
          <c:showBubbleSize val="0"/>
        </c:dLbls>
        <c:marker val="1"/>
        <c:smooth val="0"/>
        <c:axId val="1596755552"/>
        <c:axId val="1596761312"/>
      </c:lineChart>
      <c:catAx>
        <c:axId val="1596755552"/>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auto val="1"/>
        <c:lblAlgn val="ctr"/>
        <c:lblOffset val="100"/>
        <c:noMultiLvlLbl val="0"/>
      </c:catAx>
      <c:valAx>
        <c:axId val="15967613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Area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ndard"/>
        <c:varyColors val="0"/>
        <c:ser>
          <c:idx val="1"/>
          <c:order val="0"/>
          <c:tx>
            <c:strRef>
              <c:f>'6. Charts'!$B$5</c:f>
              <c:strCache>
                <c:ptCount val="1"/>
                <c:pt idx="0">
                  <c:v>Data 1</c:v>
                </c:pt>
              </c:strCache>
            </c:strRef>
          </c:tx>
          <c:spPr>
            <a:solidFill>
              <a:schemeClr val="accent2"/>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val>
          <c:extLst>
            <c:ext xmlns:c16="http://schemas.microsoft.com/office/drawing/2014/chart" uri="{C3380CC4-5D6E-409C-BE32-E72D297353CC}">
              <c16:uniqueId val="{00000000-5FEB-4CF3-8D92-234A27D9183F}"/>
            </c:ext>
          </c:extLst>
        </c:ser>
        <c:ser>
          <c:idx val="2"/>
          <c:order val="1"/>
          <c:tx>
            <c:strRef>
              <c:f>'6. Charts'!$C$5</c:f>
              <c:strCache>
                <c:ptCount val="1"/>
                <c:pt idx="0">
                  <c:v>Data 2</c:v>
                </c:pt>
              </c:strCache>
            </c:strRef>
          </c:tx>
          <c:spPr>
            <a:solidFill>
              <a:schemeClr val="accent3"/>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val>
          <c:extLst>
            <c:ext xmlns:c16="http://schemas.microsoft.com/office/drawing/2014/chart" uri="{C3380CC4-5D6E-409C-BE32-E72D297353CC}">
              <c16:uniqueId val="{00000001-5FEB-4CF3-8D92-234A27D9183F}"/>
            </c:ext>
          </c:extLst>
        </c:ser>
        <c:ser>
          <c:idx val="3"/>
          <c:order val="2"/>
          <c:tx>
            <c:strRef>
              <c:f>'6. Charts'!$D$5</c:f>
              <c:strCache>
                <c:ptCount val="1"/>
                <c:pt idx="0">
                  <c:v>Data 3</c:v>
                </c:pt>
              </c:strCache>
            </c:strRef>
          </c:tx>
          <c:spPr>
            <a:solidFill>
              <a:schemeClr val="accent4"/>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extLst>
            <c:ext xmlns:c16="http://schemas.microsoft.com/office/drawing/2014/chart" uri="{C3380CC4-5D6E-409C-BE32-E72D297353CC}">
              <c16:uniqueId val="{00000002-5FEB-4CF3-8D92-234A27D9183F}"/>
            </c:ext>
          </c:extLst>
        </c:ser>
        <c:ser>
          <c:idx val="4"/>
          <c:order val="3"/>
          <c:tx>
            <c:strRef>
              <c:f>'6. Charts'!$E$5</c:f>
              <c:strCache>
                <c:ptCount val="1"/>
                <c:pt idx="0">
                  <c:v>Data 4</c:v>
                </c:pt>
              </c:strCache>
            </c:strRef>
          </c:tx>
          <c:spPr>
            <a:solidFill>
              <a:schemeClr val="accent5"/>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val>
          <c:extLst>
            <c:ext xmlns:c16="http://schemas.microsoft.com/office/drawing/2014/chart" uri="{C3380CC4-5D6E-409C-BE32-E72D297353CC}">
              <c16:uniqueId val="{00000003-5FEB-4CF3-8D92-234A27D9183F}"/>
            </c:ext>
          </c:extLst>
        </c:ser>
        <c:dLbls>
          <c:showLegendKey val="0"/>
          <c:showVal val="0"/>
          <c:showCatName val="0"/>
          <c:showSerName val="0"/>
          <c:showPercent val="0"/>
          <c:showBubbleSize val="0"/>
        </c:dLbls>
        <c:axId val="1596755552"/>
        <c:axId val="1596761312"/>
      </c:areaChart>
      <c:catAx>
        <c:axId val="1596755552"/>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auto val="1"/>
        <c:lblAlgn val="ctr"/>
        <c:lblOffset val="100"/>
        <c:noMultiLvlLbl val="0"/>
      </c:catAx>
      <c:valAx>
        <c:axId val="15967613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Stacked</a:t>
            </a:r>
            <a:r>
              <a:rPr lang="en-GB" baseline="0"/>
              <a:t> </a:t>
            </a:r>
            <a:r>
              <a:rPr lang="en-GB"/>
              <a:t>Area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1"/>
          <c:order val="0"/>
          <c:tx>
            <c:strRef>
              <c:f>'6. Charts'!$B$5</c:f>
              <c:strCache>
                <c:ptCount val="1"/>
                <c:pt idx="0">
                  <c:v>Data 1</c:v>
                </c:pt>
              </c:strCache>
            </c:strRef>
          </c:tx>
          <c:spPr>
            <a:solidFill>
              <a:schemeClr val="accent2"/>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val>
          <c:extLst>
            <c:ext xmlns:c16="http://schemas.microsoft.com/office/drawing/2014/chart" uri="{C3380CC4-5D6E-409C-BE32-E72D297353CC}">
              <c16:uniqueId val="{00000000-C675-432F-8737-B42BA3746C3F}"/>
            </c:ext>
          </c:extLst>
        </c:ser>
        <c:ser>
          <c:idx val="2"/>
          <c:order val="1"/>
          <c:tx>
            <c:strRef>
              <c:f>'6. Charts'!$C$5</c:f>
              <c:strCache>
                <c:ptCount val="1"/>
                <c:pt idx="0">
                  <c:v>Data 2</c:v>
                </c:pt>
              </c:strCache>
            </c:strRef>
          </c:tx>
          <c:spPr>
            <a:solidFill>
              <a:schemeClr val="accent3"/>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val>
          <c:extLst>
            <c:ext xmlns:c16="http://schemas.microsoft.com/office/drawing/2014/chart" uri="{C3380CC4-5D6E-409C-BE32-E72D297353CC}">
              <c16:uniqueId val="{00000001-C675-432F-8737-B42BA3746C3F}"/>
            </c:ext>
          </c:extLst>
        </c:ser>
        <c:ser>
          <c:idx val="3"/>
          <c:order val="2"/>
          <c:tx>
            <c:strRef>
              <c:f>'6. Charts'!$D$5</c:f>
              <c:strCache>
                <c:ptCount val="1"/>
                <c:pt idx="0">
                  <c:v>Data 3</c:v>
                </c:pt>
              </c:strCache>
            </c:strRef>
          </c:tx>
          <c:spPr>
            <a:solidFill>
              <a:schemeClr val="accent4"/>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extLst>
            <c:ext xmlns:c16="http://schemas.microsoft.com/office/drawing/2014/chart" uri="{C3380CC4-5D6E-409C-BE32-E72D297353CC}">
              <c16:uniqueId val="{00000002-C675-432F-8737-B42BA3746C3F}"/>
            </c:ext>
          </c:extLst>
        </c:ser>
        <c:ser>
          <c:idx val="4"/>
          <c:order val="3"/>
          <c:tx>
            <c:strRef>
              <c:f>'6. Charts'!$E$5</c:f>
              <c:strCache>
                <c:ptCount val="1"/>
                <c:pt idx="0">
                  <c:v>Data 4</c:v>
                </c:pt>
              </c:strCache>
            </c:strRef>
          </c:tx>
          <c:spPr>
            <a:solidFill>
              <a:schemeClr val="accent5"/>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val>
          <c:extLst>
            <c:ext xmlns:c16="http://schemas.microsoft.com/office/drawing/2014/chart" uri="{C3380CC4-5D6E-409C-BE32-E72D297353CC}">
              <c16:uniqueId val="{00000003-C675-432F-8737-B42BA3746C3F}"/>
            </c:ext>
          </c:extLst>
        </c:ser>
        <c:dLbls>
          <c:showLegendKey val="0"/>
          <c:showVal val="0"/>
          <c:showCatName val="0"/>
          <c:showSerName val="0"/>
          <c:showPercent val="0"/>
          <c:showBubbleSize val="0"/>
        </c:dLbls>
        <c:axId val="1596755552"/>
        <c:axId val="1596761312"/>
      </c:areaChart>
      <c:catAx>
        <c:axId val="1596755552"/>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auto val="1"/>
        <c:lblAlgn val="ctr"/>
        <c:lblOffset val="100"/>
        <c:noMultiLvlLbl val="0"/>
      </c:catAx>
      <c:valAx>
        <c:axId val="15967613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100% Area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percentStacked"/>
        <c:varyColors val="0"/>
        <c:ser>
          <c:idx val="1"/>
          <c:order val="0"/>
          <c:tx>
            <c:strRef>
              <c:f>'6. Charts'!$B$5</c:f>
              <c:strCache>
                <c:ptCount val="1"/>
                <c:pt idx="0">
                  <c:v>Data 1</c:v>
                </c:pt>
              </c:strCache>
            </c:strRef>
          </c:tx>
          <c:spPr>
            <a:solidFill>
              <a:schemeClr val="accent2"/>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val>
          <c:extLst>
            <c:ext xmlns:c16="http://schemas.microsoft.com/office/drawing/2014/chart" uri="{C3380CC4-5D6E-409C-BE32-E72D297353CC}">
              <c16:uniqueId val="{00000000-45AE-4932-8BB1-82169EDFE937}"/>
            </c:ext>
          </c:extLst>
        </c:ser>
        <c:ser>
          <c:idx val="2"/>
          <c:order val="1"/>
          <c:tx>
            <c:strRef>
              <c:f>'6. Charts'!$C$5</c:f>
              <c:strCache>
                <c:ptCount val="1"/>
                <c:pt idx="0">
                  <c:v>Data 2</c:v>
                </c:pt>
              </c:strCache>
            </c:strRef>
          </c:tx>
          <c:spPr>
            <a:solidFill>
              <a:schemeClr val="accent3"/>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val>
          <c:extLst>
            <c:ext xmlns:c16="http://schemas.microsoft.com/office/drawing/2014/chart" uri="{C3380CC4-5D6E-409C-BE32-E72D297353CC}">
              <c16:uniqueId val="{00000001-45AE-4932-8BB1-82169EDFE937}"/>
            </c:ext>
          </c:extLst>
        </c:ser>
        <c:ser>
          <c:idx val="3"/>
          <c:order val="2"/>
          <c:tx>
            <c:strRef>
              <c:f>'6. Charts'!$D$5</c:f>
              <c:strCache>
                <c:ptCount val="1"/>
                <c:pt idx="0">
                  <c:v>Data 3</c:v>
                </c:pt>
              </c:strCache>
            </c:strRef>
          </c:tx>
          <c:spPr>
            <a:solidFill>
              <a:schemeClr val="accent4"/>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extLst>
            <c:ext xmlns:c16="http://schemas.microsoft.com/office/drawing/2014/chart" uri="{C3380CC4-5D6E-409C-BE32-E72D297353CC}">
              <c16:uniqueId val="{00000002-45AE-4932-8BB1-82169EDFE937}"/>
            </c:ext>
          </c:extLst>
        </c:ser>
        <c:ser>
          <c:idx val="4"/>
          <c:order val="3"/>
          <c:tx>
            <c:strRef>
              <c:f>'6. Charts'!$E$5</c:f>
              <c:strCache>
                <c:ptCount val="1"/>
                <c:pt idx="0">
                  <c:v>Data 4</c:v>
                </c:pt>
              </c:strCache>
            </c:strRef>
          </c:tx>
          <c:spPr>
            <a:solidFill>
              <a:schemeClr val="accent5"/>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val>
          <c:extLst>
            <c:ext xmlns:c16="http://schemas.microsoft.com/office/drawing/2014/chart" uri="{C3380CC4-5D6E-409C-BE32-E72D297353CC}">
              <c16:uniqueId val="{00000003-45AE-4932-8BB1-82169EDFE937}"/>
            </c:ext>
          </c:extLst>
        </c:ser>
        <c:dLbls>
          <c:showLegendKey val="0"/>
          <c:showVal val="0"/>
          <c:showCatName val="0"/>
          <c:showSerName val="0"/>
          <c:showPercent val="0"/>
          <c:showBubbleSize val="0"/>
        </c:dLbls>
        <c:axId val="1596755552"/>
        <c:axId val="1596761312"/>
      </c:areaChart>
      <c:catAx>
        <c:axId val="1596755552"/>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auto val="1"/>
        <c:lblAlgn val="ctr"/>
        <c:lblOffset val="100"/>
        <c:noMultiLvlLbl val="0"/>
      </c:catAx>
      <c:valAx>
        <c:axId val="15967613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Clustered Column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1"/>
          <c:order val="0"/>
          <c:tx>
            <c:strRef>
              <c:f>'6. Charts'!$B$5</c:f>
              <c:strCache>
                <c:ptCount val="1"/>
                <c:pt idx="0">
                  <c:v>Data 1</c:v>
                </c:pt>
              </c:strCache>
            </c:strRef>
          </c:tx>
          <c:spPr>
            <a:solidFill>
              <a:schemeClr val="accent2"/>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val>
          <c:extLst>
            <c:ext xmlns:c16="http://schemas.microsoft.com/office/drawing/2014/chart" uri="{C3380CC4-5D6E-409C-BE32-E72D297353CC}">
              <c16:uniqueId val="{00000000-AB51-43F7-95E2-084586A26B4D}"/>
            </c:ext>
          </c:extLst>
        </c:ser>
        <c:ser>
          <c:idx val="2"/>
          <c:order val="1"/>
          <c:tx>
            <c:strRef>
              <c:f>'6. Charts'!$C$5</c:f>
              <c:strCache>
                <c:ptCount val="1"/>
                <c:pt idx="0">
                  <c:v>Data 2</c:v>
                </c:pt>
              </c:strCache>
            </c:strRef>
          </c:tx>
          <c:spPr>
            <a:solidFill>
              <a:schemeClr val="accent3"/>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val>
          <c:extLst>
            <c:ext xmlns:c16="http://schemas.microsoft.com/office/drawing/2014/chart" uri="{C3380CC4-5D6E-409C-BE32-E72D297353CC}">
              <c16:uniqueId val="{00000001-AB51-43F7-95E2-084586A26B4D}"/>
            </c:ext>
          </c:extLst>
        </c:ser>
        <c:ser>
          <c:idx val="3"/>
          <c:order val="2"/>
          <c:tx>
            <c:strRef>
              <c:f>'6. Charts'!$D$5</c:f>
              <c:strCache>
                <c:ptCount val="1"/>
                <c:pt idx="0">
                  <c:v>Data 3</c:v>
                </c:pt>
              </c:strCache>
            </c:strRef>
          </c:tx>
          <c:spPr>
            <a:solidFill>
              <a:schemeClr val="accent4"/>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extLst>
            <c:ext xmlns:c16="http://schemas.microsoft.com/office/drawing/2014/chart" uri="{C3380CC4-5D6E-409C-BE32-E72D297353CC}">
              <c16:uniqueId val="{00000002-AB51-43F7-95E2-084586A26B4D}"/>
            </c:ext>
          </c:extLst>
        </c:ser>
        <c:ser>
          <c:idx val="4"/>
          <c:order val="3"/>
          <c:tx>
            <c:strRef>
              <c:f>'6. Charts'!$E$5</c:f>
              <c:strCache>
                <c:ptCount val="1"/>
                <c:pt idx="0">
                  <c:v>Data 4</c:v>
                </c:pt>
              </c:strCache>
            </c:strRef>
          </c:tx>
          <c:spPr>
            <a:solidFill>
              <a:schemeClr val="accent5"/>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val>
          <c:extLst>
            <c:ext xmlns:c16="http://schemas.microsoft.com/office/drawing/2014/chart" uri="{C3380CC4-5D6E-409C-BE32-E72D297353CC}">
              <c16:uniqueId val="{00000003-AB51-43F7-95E2-084586A26B4D}"/>
            </c:ext>
          </c:extLst>
        </c:ser>
        <c:dLbls>
          <c:showLegendKey val="0"/>
          <c:showVal val="0"/>
          <c:showCatName val="0"/>
          <c:showSerName val="0"/>
          <c:showPercent val="0"/>
          <c:showBubbleSize val="0"/>
        </c:dLbls>
        <c:gapWidth val="150"/>
        <c:axId val="1596755552"/>
        <c:axId val="1596761312"/>
      </c:barChart>
      <c:catAx>
        <c:axId val="1596755552"/>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auto val="1"/>
        <c:lblAlgn val="ctr"/>
        <c:lblOffset val="100"/>
        <c:noMultiLvlLbl val="0"/>
      </c:catAx>
      <c:valAx>
        <c:axId val="15967613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Stacked Column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1"/>
          <c:order val="0"/>
          <c:tx>
            <c:strRef>
              <c:f>'6. Charts'!$B$5</c:f>
              <c:strCache>
                <c:ptCount val="1"/>
                <c:pt idx="0">
                  <c:v>Data 1</c:v>
                </c:pt>
              </c:strCache>
            </c:strRef>
          </c:tx>
          <c:spPr>
            <a:solidFill>
              <a:schemeClr val="accent2"/>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val>
          <c:extLst>
            <c:ext xmlns:c16="http://schemas.microsoft.com/office/drawing/2014/chart" uri="{C3380CC4-5D6E-409C-BE32-E72D297353CC}">
              <c16:uniqueId val="{00000000-74E0-46DE-948B-9CCEDA9B3665}"/>
            </c:ext>
          </c:extLst>
        </c:ser>
        <c:ser>
          <c:idx val="2"/>
          <c:order val="1"/>
          <c:tx>
            <c:strRef>
              <c:f>'6. Charts'!$C$5</c:f>
              <c:strCache>
                <c:ptCount val="1"/>
                <c:pt idx="0">
                  <c:v>Data 2</c:v>
                </c:pt>
              </c:strCache>
            </c:strRef>
          </c:tx>
          <c:spPr>
            <a:solidFill>
              <a:schemeClr val="accent3"/>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val>
          <c:extLst>
            <c:ext xmlns:c16="http://schemas.microsoft.com/office/drawing/2014/chart" uri="{C3380CC4-5D6E-409C-BE32-E72D297353CC}">
              <c16:uniqueId val="{00000001-74E0-46DE-948B-9CCEDA9B3665}"/>
            </c:ext>
          </c:extLst>
        </c:ser>
        <c:ser>
          <c:idx val="3"/>
          <c:order val="2"/>
          <c:tx>
            <c:strRef>
              <c:f>'6. Charts'!$D$5</c:f>
              <c:strCache>
                <c:ptCount val="1"/>
                <c:pt idx="0">
                  <c:v>Data 3</c:v>
                </c:pt>
              </c:strCache>
            </c:strRef>
          </c:tx>
          <c:spPr>
            <a:solidFill>
              <a:schemeClr val="accent4"/>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extLst>
            <c:ext xmlns:c16="http://schemas.microsoft.com/office/drawing/2014/chart" uri="{C3380CC4-5D6E-409C-BE32-E72D297353CC}">
              <c16:uniqueId val="{00000002-74E0-46DE-948B-9CCEDA9B3665}"/>
            </c:ext>
          </c:extLst>
        </c:ser>
        <c:ser>
          <c:idx val="4"/>
          <c:order val="3"/>
          <c:tx>
            <c:strRef>
              <c:f>'6. Charts'!$E$5</c:f>
              <c:strCache>
                <c:ptCount val="1"/>
                <c:pt idx="0">
                  <c:v>Data 4</c:v>
                </c:pt>
              </c:strCache>
            </c:strRef>
          </c:tx>
          <c:spPr>
            <a:solidFill>
              <a:schemeClr val="accent5"/>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val>
          <c:extLst>
            <c:ext xmlns:c16="http://schemas.microsoft.com/office/drawing/2014/chart" uri="{C3380CC4-5D6E-409C-BE32-E72D297353CC}">
              <c16:uniqueId val="{00000003-74E0-46DE-948B-9CCEDA9B3665}"/>
            </c:ext>
          </c:extLst>
        </c:ser>
        <c:dLbls>
          <c:showLegendKey val="0"/>
          <c:showVal val="0"/>
          <c:showCatName val="0"/>
          <c:showSerName val="0"/>
          <c:showPercent val="0"/>
          <c:showBubbleSize val="0"/>
        </c:dLbls>
        <c:gapWidth val="150"/>
        <c:overlap val="100"/>
        <c:axId val="1596755552"/>
        <c:axId val="1596761312"/>
      </c:barChart>
      <c:catAx>
        <c:axId val="1596755552"/>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auto val="1"/>
        <c:lblAlgn val="ctr"/>
        <c:lblOffset val="100"/>
        <c:noMultiLvlLbl val="0"/>
      </c:catAx>
      <c:valAx>
        <c:axId val="15967613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Clustered Bar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1"/>
          <c:order val="0"/>
          <c:tx>
            <c:strRef>
              <c:f>'6. Charts'!$B$5</c:f>
              <c:strCache>
                <c:ptCount val="1"/>
                <c:pt idx="0">
                  <c:v>Data 1</c:v>
                </c:pt>
              </c:strCache>
            </c:strRef>
          </c:tx>
          <c:spPr>
            <a:solidFill>
              <a:schemeClr val="accent2"/>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val>
          <c:extLst>
            <c:ext xmlns:c16="http://schemas.microsoft.com/office/drawing/2014/chart" uri="{C3380CC4-5D6E-409C-BE32-E72D297353CC}">
              <c16:uniqueId val="{00000000-D792-4D95-82B1-ADBC8FB2FA9B}"/>
            </c:ext>
          </c:extLst>
        </c:ser>
        <c:ser>
          <c:idx val="2"/>
          <c:order val="1"/>
          <c:tx>
            <c:strRef>
              <c:f>'6. Charts'!$C$5</c:f>
              <c:strCache>
                <c:ptCount val="1"/>
                <c:pt idx="0">
                  <c:v>Data 2</c:v>
                </c:pt>
              </c:strCache>
            </c:strRef>
          </c:tx>
          <c:spPr>
            <a:solidFill>
              <a:schemeClr val="accent3"/>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val>
          <c:extLst>
            <c:ext xmlns:c16="http://schemas.microsoft.com/office/drawing/2014/chart" uri="{C3380CC4-5D6E-409C-BE32-E72D297353CC}">
              <c16:uniqueId val="{00000001-D792-4D95-82B1-ADBC8FB2FA9B}"/>
            </c:ext>
          </c:extLst>
        </c:ser>
        <c:ser>
          <c:idx val="3"/>
          <c:order val="2"/>
          <c:tx>
            <c:strRef>
              <c:f>'6. Charts'!$D$5</c:f>
              <c:strCache>
                <c:ptCount val="1"/>
                <c:pt idx="0">
                  <c:v>Data 3</c:v>
                </c:pt>
              </c:strCache>
            </c:strRef>
          </c:tx>
          <c:spPr>
            <a:solidFill>
              <a:schemeClr val="accent4"/>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extLst>
            <c:ext xmlns:c16="http://schemas.microsoft.com/office/drawing/2014/chart" uri="{C3380CC4-5D6E-409C-BE32-E72D297353CC}">
              <c16:uniqueId val="{00000002-D792-4D95-82B1-ADBC8FB2FA9B}"/>
            </c:ext>
          </c:extLst>
        </c:ser>
        <c:ser>
          <c:idx val="4"/>
          <c:order val="3"/>
          <c:tx>
            <c:strRef>
              <c:f>'6. Charts'!$E$5</c:f>
              <c:strCache>
                <c:ptCount val="1"/>
                <c:pt idx="0">
                  <c:v>Data 4</c:v>
                </c:pt>
              </c:strCache>
            </c:strRef>
          </c:tx>
          <c:spPr>
            <a:solidFill>
              <a:schemeClr val="accent5"/>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val>
          <c:extLst>
            <c:ext xmlns:c16="http://schemas.microsoft.com/office/drawing/2014/chart" uri="{C3380CC4-5D6E-409C-BE32-E72D297353CC}">
              <c16:uniqueId val="{00000003-D792-4D95-82B1-ADBC8FB2FA9B}"/>
            </c:ext>
          </c:extLst>
        </c:ser>
        <c:dLbls>
          <c:showLegendKey val="0"/>
          <c:showVal val="0"/>
          <c:showCatName val="0"/>
          <c:showSerName val="0"/>
          <c:showPercent val="0"/>
          <c:showBubbleSize val="0"/>
        </c:dLbls>
        <c:gapWidth val="150"/>
        <c:axId val="1596755552"/>
        <c:axId val="1596761312"/>
      </c:barChart>
      <c:catAx>
        <c:axId val="1596755552"/>
        <c:scaling>
          <c:orientation val="minMax"/>
        </c:scaling>
        <c:delete val="0"/>
        <c:axPos val="l"/>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auto val="1"/>
        <c:lblAlgn val="ctr"/>
        <c:lblOffset val="100"/>
        <c:noMultiLvlLbl val="0"/>
      </c:catAx>
      <c:valAx>
        <c:axId val="159676131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Stacked Bar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1"/>
          <c:order val="0"/>
          <c:tx>
            <c:strRef>
              <c:f>'6. Charts'!$B$5</c:f>
              <c:strCache>
                <c:ptCount val="1"/>
                <c:pt idx="0">
                  <c:v>Data 1</c:v>
                </c:pt>
              </c:strCache>
            </c:strRef>
          </c:tx>
          <c:spPr>
            <a:solidFill>
              <a:schemeClr val="accent2"/>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val>
          <c:extLst>
            <c:ext xmlns:c16="http://schemas.microsoft.com/office/drawing/2014/chart" uri="{C3380CC4-5D6E-409C-BE32-E72D297353CC}">
              <c16:uniqueId val="{00000000-E182-42DE-9590-26930BC48F61}"/>
            </c:ext>
          </c:extLst>
        </c:ser>
        <c:ser>
          <c:idx val="2"/>
          <c:order val="1"/>
          <c:tx>
            <c:strRef>
              <c:f>'6. Charts'!$C$5</c:f>
              <c:strCache>
                <c:ptCount val="1"/>
                <c:pt idx="0">
                  <c:v>Data 2</c:v>
                </c:pt>
              </c:strCache>
            </c:strRef>
          </c:tx>
          <c:spPr>
            <a:solidFill>
              <a:schemeClr val="accent3"/>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val>
          <c:extLst>
            <c:ext xmlns:c16="http://schemas.microsoft.com/office/drawing/2014/chart" uri="{C3380CC4-5D6E-409C-BE32-E72D297353CC}">
              <c16:uniqueId val="{00000001-E182-42DE-9590-26930BC48F61}"/>
            </c:ext>
          </c:extLst>
        </c:ser>
        <c:ser>
          <c:idx val="3"/>
          <c:order val="2"/>
          <c:tx>
            <c:strRef>
              <c:f>'6. Charts'!$D$5</c:f>
              <c:strCache>
                <c:ptCount val="1"/>
                <c:pt idx="0">
                  <c:v>Data 3</c:v>
                </c:pt>
              </c:strCache>
            </c:strRef>
          </c:tx>
          <c:spPr>
            <a:solidFill>
              <a:schemeClr val="accent4"/>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extLst>
            <c:ext xmlns:c16="http://schemas.microsoft.com/office/drawing/2014/chart" uri="{C3380CC4-5D6E-409C-BE32-E72D297353CC}">
              <c16:uniqueId val="{00000002-E182-42DE-9590-26930BC48F61}"/>
            </c:ext>
          </c:extLst>
        </c:ser>
        <c:ser>
          <c:idx val="4"/>
          <c:order val="3"/>
          <c:tx>
            <c:strRef>
              <c:f>'6. Charts'!$E$5</c:f>
              <c:strCache>
                <c:ptCount val="1"/>
                <c:pt idx="0">
                  <c:v>Data 4</c:v>
                </c:pt>
              </c:strCache>
            </c:strRef>
          </c:tx>
          <c:spPr>
            <a:solidFill>
              <a:schemeClr val="accent5"/>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val>
          <c:extLst>
            <c:ext xmlns:c16="http://schemas.microsoft.com/office/drawing/2014/chart" uri="{C3380CC4-5D6E-409C-BE32-E72D297353CC}">
              <c16:uniqueId val="{00000003-E182-42DE-9590-26930BC48F61}"/>
            </c:ext>
          </c:extLst>
        </c:ser>
        <c:dLbls>
          <c:showLegendKey val="0"/>
          <c:showVal val="0"/>
          <c:showCatName val="0"/>
          <c:showSerName val="0"/>
          <c:showPercent val="0"/>
          <c:showBubbleSize val="0"/>
        </c:dLbls>
        <c:gapWidth val="150"/>
        <c:overlap val="100"/>
        <c:axId val="1596755552"/>
        <c:axId val="1596761312"/>
      </c:barChart>
      <c:catAx>
        <c:axId val="1596755552"/>
        <c:scaling>
          <c:orientation val="minMax"/>
        </c:scaling>
        <c:delete val="0"/>
        <c:axPos val="l"/>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auto val="1"/>
        <c:lblAlgn val="ctr"/>
        <c:lblOffset val="100"/>
        <c:noMultiLvlLbl val="0"/>
      </c:catAx>
      <c:valAx>
        <c:axId val="159676131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Radar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radarChart>
        <c:radarStyle val="marker"/>
        <c:varyColors val="0"/>
        <c:ser>
          <c:idx val="0"/>
          <c:order val="0"/>
          <c:tx>
            <c:strRef>
              <c:f>'6. Charts'!$D$5</c:f>
              <c:strCache>
                <c:ptCount val="1"/>
                <c:pt idx="0">
                  <c:v>Data 3</c:v>
                </c:pt>
              </c:strCache>
            </c:strRef>
          </c:tx>
          <c:spPr>
            <a:ln w="28575" cap="rnd">
              <a:solidFill>
                <a:schemeClr val="accent1"/>
              </a:solidFill>
              <a:round/>
            </a:ln>
            <a:effectLst/>
          </c:spPr>
          <c:marker>
            <c:symbol val="none"/>
          </c:marke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extLst>
            <c:ext xmlns:c16="http://schemas.microsoft.com/office/drawing/2014/chart" uri="{C3380CC4-5D6E-409C-BE32-E72D297353CC}">
              <c16:uniqueId val="{00000000-9B9D-425A-9BCA-0330A595DE25}"/>
            </c:ext>
          </c:extLst>
        </c:ser>
        <c:dLbls>
          <c:showLegendKey val="0"/>
          <c:showVal val="0"/>
          <c:showCatName val="0"/>
          <c:showSerName val="0"/>
          <c:showPercent val="0"/>
          <c:showBubbleSize val="0"/>
        </c:dLbls>
        <c:axId val="1667975040"/>
        <c:axId val="1667977440"/>
      </c:radarChart>
      <c:catAx>
        <c:axId val="1667975040"/>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7977440"/>
        <c:crosses val="autoZero"/>
        <c:auto val="1"/>
        <c:lblAlgn val="ctr"/>
        <c:lblOffset val="100"/>
        <c:noMultiLvlLbl val="0"/>
      </c:catAx>
      <c:valAx>
        <c:axId val="166797744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79750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Surface</a:t>
            </a:r>
          </a:p>
        </c:rich>
      </c:tx>
      <c:overlay val="0"/>
      <c:spPr>
        <a:noFill/>
        <a:ln>
          <a:noFill/>
        </a:ln>
        <a:effectLst/>
      </c:spPr>
    </c:title>
    <c:autoTitleDeleted val="0"/>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surface3DChart>
        <c:wireframe val="0"/>
        <c:ser>
          <c:idx val="2"/>
          <c:order val="0"/>
          <c:tx>
            <c:strRef>
              <c:f>'6. Charts'!$D$5</c:f>
              <c:strCache>
                <c:ptCount val="1"/>
                <c:pt idx="0">
                  <c:v>Data 3</c:v>
                </c:pt>
              </c:strCache>
            </c:strRef>
          </c:tx>
          <c:spPr>
            <a:solidFill>
              <a:schemeClr val="accent3"/>
            </a:solidFill>
            <a:ln/>
            <a:effectLst/>
            <a:sp3d/>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extLst>
            <c:ext xmlns:c16="http://schemas.microsoft.com/office/drawing/2014/chart" uri="{C3380CC4-5D6E-409C-BE32-E72D297353CC}">
              <c16:uniqueId val="{00000002-E285-4076-9E8F-5C96994E5227}"/>
            </c:ext>
          </c:extLst>
        </c:ser>
        <c:ser>
          <c:idx val="3"/>
          <c:order val="1"/>
          <c:tx>
            <c:strRef>
              <c:f>'6. Charts'!$E$5</c:f>
              <c:strCache>
                <c:ptCount val="1"/>
                <c:pt idx="0">
                  <c:v>Data 4</c:v>
                </c:pt>
              </c:strCache>
            </c:strRef>
          </c:tx>
          <c:spPr>
            <a:solidFill>
              <a:schemeClr val="accent4"/>
            </a:solidFill>
            <a:ln/>
            <a:effectLst/>
            <a:sp3d/>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val>
          <c:extLst>
            <c:ext xmlns:c16="http://schemas.microsoft.com/office/drawing/2014/chart" uri="{C3380CC4-5D6E-409C-BE32-E72D297353CC}">
              <c16:uniqueId val="{00000003-E285-4076-9E8F-5C96994E5227}"/>
            </c:ext>
          </c:extLst>
        </c:ser>
        <c:bandFmts>
          <c:bandFmt>
            <c:idx val="0"/>
            <c:spPr>
              <a:solidFill>
                <a:schemeClr val="accent1"/>
              </a:solidFill>
              <a:ln/>
              <a:effectLst/>
              <a:sp3d/>
            </c:spPr>
          </c:bandFmt>
          <c:bandFmt>
            <c:idx val="1"/>
            <c:spPr>
              <a:solidFill>
                <a:schemeClr val="accent2"/>
              </a:solidFill>
              <a:ln/>
              <a:effectLst/>
              <a:sp3d/>
            </c:spPr>
          </c:bandFmt>
          <c:bandFmt>
            <c:idx val="2"/>
            <c:spPr>
              <a:solidFill>
                <a:schemeClr val="accent3"/>
              </a:solidFill>
              <a:ln/>
              <a:effectLst/>
              <a:sp3d/>
            </c:spPr>
          </c:bandFmt>
          <c:bandFmt>
            <c:idx val="3"/>
            <c:spPr>
              <a:solidFill>
                <a:schemeClr val="accent4"/>
              </a:solidFill>
              <a:ln/>
              <a:effectLst/>
              <a:sp3d/>
            </c:spPr>
          </c:bandFmt>
          <c:bandFmt>
            <c:idx val="4"/>
            <c:spPr>
              <a:solidFill>
                <a:schemeClr val="accent5"/>
              </a:solidFill>
              <a:ln/>
              <a:effectLst/>
              <a:sp3d/>
            </c:spPr>
          </c:bandFmt>
          <c:bandFmt>
            <c:idx val="5"/>
            <c:spPr>
              <a:solidFill>
                <a:schemeClr val="accent6"/>
              </a:solidFill>
              <a:ln/>
              <a:effectLst/>
              <a:sp3d/>
            </c:spPr>
          </c:bandFmt>
          <c:bandFmt>
            <c:idx val="6"/>
            <c:spPr>
              <a:solidFill>
                <a:schemeClr val="accent1">
                  <a:lumMod val="60000"/>
                </a:schemeClr>
              </a:solidFill>
              <a:ln/>
              <a:effectLst/>
              <a:sp3d/>
            </c:spPr>
          </c:bandFmt>
          <c:bandFmt>
            <c:idx val="7"/>
            <c:spPr>
              <a:solidFill>
                <a:schemeClr val="accent2">
                  <a:lumMod val="60000"/>
                </a:schemeClr>
              </a:solidFill>
              <a:ln/>
              <a:effectLst/>
              <a:sp3d/>
            </c:spPr>
          </c:bandFmt>
          <c:bandFmt>
            <c:idx val="8"/>
            <c:spPr>
              <a:solidFill>
                <a:schemeClr val="accent3">
                  <a:lumMod val="60000"/>
                </a:schemeClr>
              </a:solidFill>
              <a:ln/>
              <a:effectLst/>
              <a:sp3d/>
            </c:spPr>
          </c:bandFmt>
          <c:bandFmt>
            <c:idx val="9"/>
            <c:spPr>
              <a:solidFill>
                <a:schemeClr val="accent4">
                  <a:lumMod val="60000"/>
                </a:schemeClr>
              </a:solidFill>
              <a:ln/>
              <a:effectLst/>
              <a:sp3d/>
            </c:spPr>
          </c:bandFmt>
          <c:bandFmt>
            <c:idx val="10"/>
            <c:spPr>
              <a:solidFill>
                <a:schemeClr val="accent5">
                  <a:lumMod val="60000"/>
                </a:schemeClr>
              </a:solidFill>
              <a:ln/>
              <a:effectLst/>
              <a:sp3d/>
            </c:spPr>
          </c:bandFmt>
          <c:bandFmt>
            <c:idx val="11"/>
            <c:spPr>
              <a:solidFill>
                <a:schemeClr val="accent6">
                  <a:lumMod val="60000"/>
                </a:schemeClr>
              </a:solidFill>
              <a:ln/>
              <a:effectLst/>
              <a:sp3d/>
            </c:spPr>
          </c:bandFmt>
          <c:bandFmt>
            <c:idx val="12"/>
            <c:spPr>
              <a:solidFill>
                <a:schemeClr val="accent1">
                  <a:lumMod val="80000"/>
                  <a:lumOff val="20000"/>
                </a:schemeClr>
              </a:solidFill>
              <a:ln/>
              <a:effectLst/>
              <a:sp3d/>
            </c:spPr>
          </c:bandFmt>
          <c:bandFmt>
            <c:idx val="13"/>
            <c:spPr>
              <a:solidFill>
                <a:schemeClr val="accent2">
                  <a:lumMod val="80000"/>
                  <a:lumOff val="20000"/>
                </a:schemeClr>
              </a:solidFill>
              <a:ln/>
              <a:effectLst/>
              <a:sp3d/>
            </c:spPr>
          </c:bandFmt>
          <c:bandFmt>
            <c:idx val="14"/>
            <c:spPr>
              <a:solidFill>
                <a:schemeClr val="accent3">
                  <a:lumMod val="80000"/>
                  <a:lumOff val="20000"/>
                </a:schemeClr>
              </a:solidFill>
              <a:ln/>
              <a:effectLst/>
              <a:sp3d/>
            </c:spPr>
          </c:bandFmt>
        </c:bandFmts>
        <c:axId val="1392923839"/>
        <c:axId val="1392940639"/>
        <c:axId val="659648159"/>
      </c:surface3DChart>
      <c:catAx>
        <c:axId val="1392923839"/>
        <c:scaling>
          <c:orientation val="minMax"/>
        </c:scaling>
        <c:delete val="0"/>
        <c:axPos val="b"/>
        <c:numFmt formatCode="#,##0"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2940639"/>
        <c:crosses val="autoZero"/>
        <c:auto val="1"/>
        <c:lblAlgn val="ctr"/>
        <c:lblOffset val="100"/>
        <c:noMultiLvlLbl val="0"/>
      </c:catAx>
      <c:valAx>
        <c:axId val="139294063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2923839"/>
        <c:crosses val="autoZero"/>
        <c:crossBetween val="midCat"/>
      </c:valAx>
      <c:serAx>
        <c:axId val="659648159"/>
        <c:scaling>
          <c:orientation val="minMax"/>
        </c:scaling>
        <c:delete val="1"/>
        <c:axPos val="b"/>
        <c:majorTickMark val="out"/>
        <c:minorTickMark val="none"/>
        <c:tickLblPos val="nextTo"/>
        <c:crossAx val="1392940639"/>
        <c:crosses val="autoZero"/>
      </c:ser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Pie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B09-40F1-B10B-8E9ABB14E67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B09-40F1-B10B-8E9ABB14E67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B09-40F1-B10B-8E9ABB14E67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EB09-40F1-B10B-8E9ABB14E67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EB09-40F1-B10B-8E9ABB14E67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EB09-40F1-B10B-8E9ABB14E675}"/>
              </c:ext>
            </c:extLst>
          </c:dPt>
          <c:cat>
            <c:strRef>
              <c:f>'6. Charts'!$A$60:$A$65</c:f>
              <c:strCache>
                <c:ptCount val="6"/>
                <c:pt idx="0">
                  <c:v>Red</c:v>
                </c:pt>
                <c:pt idx="1">
                  <c:v>Blue</c:v>
                </c:pt>
                <c:pt idx="2">
                  <c:v>Yellow</c:v>
                </c:pt>
                <c:pt idx="3">
                  <c:v>Green</c:v>
                </c:pt>
                <c:pt idx="4">
                  <c:v>Purple</c:v>
                </c:pt>
                <c:pt idx="5">
                  <c:v>Orange</c:v>
                </c:pt>
              </c:strCache>
            </c:strRef>
          </c:cat>
          <c:val>
            <c:numRef>
              <c:f>'6. Charts'!$B$60:$B$65</c:f>
              <c:numCache>
                <c:formatCode>0%</c:formatCode>
                <c:ptCount val="6"/>
                <c:pt idx="0">
                  <c:v>0.1</c:v>
                </c:pt>
                <c:pt idx="1">
                  <c:v>0.2</c:v>
                </c:pt>
                <c:pt idx="2">
                  <c:v>0.25</c:v>
                </c:pt>
                <c:pt idx="3">
                  <c:v>0.125</c:v>
                </c:pt>
                <c:pt idx="4">
                  <c:v>0.25</c:v>
                </c:pt>
                <c:pt idx="5">
                  <c:v>7.4999999999999956E-2</c:v>
                </c:pt>
              </c:numCache>
            </c:numRef>
          </c:val>
          <c:extLst>
            <c:ext xmlns:c16="http://schemas.microsoft.com/office/drawing/2014/chart" uri="{C3380CC4-5D6E-409C-BE32-E72D297353CC}">
              <c16:uniqueId val="{00000000-213B-49D9-B052-70CB39A58A1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Pie of Pie Chart (&lt;20%</a:t>
            </a:r>
            <a:r>
              <a:rPr lang="en-GB" baseline="0"/>
              <a:t> = "Other")</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ofPieChart>
        <c:ofPieType val="pie"/>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F89-4088-BEDD-41EC9E5669B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F89-4088-BEDD-41EC9E5669B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F89-4088-BEDD-41EC9E5669B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F89-4088-BEDD-41EC9E5669B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F89-4088-BEDD-41EC9E5669B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AF89-4088-BEDD-41EC9E5669B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AF89-4088-BEDD-41EC9E5669B3}"/>
              </c:ext>
            </c:extLst>
          </c:dPt>
          <c:cat>
            <c:strRef>
              <c:f>'6. Charts'!$A$60:$A$65</c:f>
              <c:strCache>
                <c:ptCount val="6"/>
                <c:pt idx="0">
                  <c:v>Red</c:v>
                </c:pt>
                <c:pt idx="1">
                  <c:v>Blue</c:v>
                </c:pt>
                <c:pt idx="2">
                  <c:v>Yellow</c:v>
                </c:pt>
                <c:pt idx="3">
                  <c:v>Green</c:v>
                </c:pt>
                <c:pt idx="4">
                  <c:v>Purple</c:v>
                </c:pt>
                <c:pt idx="5">
                  <c:v>Orange</c:v>
                </c:pt>
              </c:strCache>
            </c:strRef>
          </c:cat>
          <c:val>
            <c:numRef>
              <c:f>'6. Charts'!$B$60:$B$65</c:f>
              <c:numCache>
                <c:formatCode>0%</c:formatCode>
                <c:ptCount val="6"/>
                <c:pt idx="0">
                  <c:v>0.1</c:v>
                </c:pt>
                <c:pt idx="1">
                  <c:v>0.2</c:v>
                </c:pt>
                <c:pt idx="2">
                  <c:v>0.25</c:v>
                </c:pt>
                <c:pt idx="3">
                  <c:v>0.125</c:v>
                </c:pt>
                <c:pt idx="4">
                  <c:v>0.25</c:v>
                </c:pt>
                <c:pt idx="5">
                  <c:v>7.4999999999999956E-2</c:v>
                </c:pt>
              </c:numCache>
            </c:numRef>
          </c:val>
          <c:extLst>
            <c:ext xmlns:c16="http://schemas.microsoft.com/office/drawing/2014/chart" uri="{C3380CC4-5D6E-409C-BE32-E72D297353CC}">
              <c16:uniqueId val="{0000000E-AF89-4088-BEDD-41EC9E5669B3}"/>
            </c:ext>
          </c:extLst>
        </c:ser>
        <c:dLbls>
          <c:showLegendKey val="0"/>
          <c:showVal val="0"/>
          <c:showCatName val="0"/>
          <c:showSerName val="0"/>
          <c:showPercent val="0"/>
          <c:showBubbleSize val="0"/>
          <c:showLeaderLines val="1"/>
        </c:dLbls>
        <c:gapWidth val="100"/>
        <c:splitType val="percent"/>
        <c:splitPos val="20"/>
        <c:secondPieSize val="75"/>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Dougnut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15D-4196-8FE9-A407B834F42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15D-4196-8FE9-A407B834F42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15D-4196-8FE9-A407B834F42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15D-4196-8FE9-A407B834F42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15D-4196-8FE9-A407B834F42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215D-4196-8FE9-A407B834F424}"/>
              </c:ext>
            </c:extLst>
          </c:dPt>
          <c:cat>
            <c:strRef>
              <c:f>'6. Charts'!$A$60:$A$65</c:f>
              <c:strCache>
                <c:ptCount val="6"/>
                <c:pt idx="0">
                  <c:v>Red</c:v>
                </c:pt>
                <c:pt idx="1">
                  <c:v>Blue</c:v>
                </c:pt>
                <c:pt idx="2">
                  <c:v>Yellow</c:v>
                </c:pt>
                <c:pt idx="3">
                  <c:v>Green</c:v>
                </c:pt>
                <c:pt idx="4">
                  <c:v>Purple</c:v>
                </c:pt>
                <c:pt idx="5">
                  <c:v>Orange</c:v>
                </c:pt>
              </c:strCache>
            </c:strRef>
          </c:cat>
          <c:val>
            <c:numRef>
              <c:f>'6. Charts'!$B$60:$B$65</c:f>
              <c:numCache>
                <c:formatCode>0%</c:formatCode>
                <c:ptCount val="6"/>
                <c:pt idx="0">
                  <c:v>0.1</c:v>
                </c:pt>
                <c:pt idx="1">
                  <c:v>0.2</c:v>
                </c:pt>
                <c:pt idx="2">
                  <c:v>0.25</c:v>
                </c:pt>
                <c:pt idx="3">
                  <c:v>0.125</c:v>
                </c:pt>
                <c:pt idx="4">
                  <c:v>0.25</c:v>
                </c:pt>
                <c:pt idx="5">
                  <c:v>7.4999999999999956E-2</c:v>
                </c:pt>
              </c:numCache>
            </c:numRef>
          </c:val>
          <c:extLst>
            <c:ext xmlns:c16="http://schemas.microsoft.com/office/drawing/2014/chart" uri="{C3380CC4-5D6E-409C-BE32-E72D297353CC}">
              <c16:uniqueId val="{0000000C-215D-4196-8FE9-A407B834F424}"/>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Date axis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'6. Charts'!$B$447</c:f>
              <c:strCache>
                <c:ptCount val="1"/>
                <c:pt idx="0">
                  <c:v>Data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'6. Charts'!$A$448:$A$491</c:f>
              <c:numCache>
                <c:formatCode>m/d/yyyy</c:formatCode>
                <c:ptCount val="44"/>
                <c:pt idx="0">
                  <c:v>44562</c:v>
                </c:pt>
                <c:pt idx="1">
                  <c:v>44586</c:v>
                </c:pt>
                <c:pt idx="2">
                  <c:v>44623</c:v>
                </c:pt>
                <c:pt idx="3">
                  <c:v>44792</c:v>
                </c:pt>
                <c:pt idx="4">
                  <c:v>44954</c:v>
                </c:pt>
                <c:pt idx="5">
                  <c:v>45022</c:v>
                </c:pt>
                <c:pt idx="6">
                  <c:v>45028</c:v>
                </c:pt>
                <c:pt idx="7">
                  <c:v>45085</c:v>
                </c:pt>
                <c:pt idx="8">
                  <c:v>45212</c:v>
                </c:pt>
                <c:pt idx="9">
                  <c:v>45343</c:v>
                </c:pt>
                <c:pt idx="10">
                  <c:v>45477</c:v>
                </c:pt>
                <c:pt idx="11">
                  <c:v>45484</c:v>
                </c:pt>
                <c:pt idx="12">
                  <c:v>45663</c:v>
                </c:pt>
                <c:pt idx="13">
                  <c:v>45841</c:v>
                </c:pt>
                <c:pt idx="14">
                  <c:v>45982</c:v>
                </c:pt>
                <c:pt idx="15">
                  <c:v>46071</c:v>
                </c:pt>
                <c:pt idx="16">
                  <c:v>46234</c:v>
                </c:pt>
                <c:pt idx="17">
                  <c:v>46359</c:v>
                </c:pt>
                <c:pt idx="18">
                  <c:v>46455</c:v>
                </c:pt>
                <c:pt idx="19">
                  <c:v>46572</c:v>
                </c:pt>
                <c:pt idx="20">
                  <c:v>46622</c:v>
                </c:pt>
                <c:pt idx="21">
                  <c:v>46669</c:v>
                </c:pt>
                <c:pt idx="22">
                  <c:v>46771</c:v>
                </c:pt>
                <c:pt idx="23">
                  <c:v>46800</c:v>
                </c:pt>
                <c:pt idx="24">
                  <c:v>46827</c:v>
                </c:pt>
                <c:pt idx="25">
                  <c:v>46955</c:v>
                </c:pt>
                <c:pt idx="26">
                  <c:v>47008</c:v>
                </c:pt>
                <c:pt idx="27">
                  <c:v>47093</c:v>
                </c:pt>
                <c:pt idx="28">
                  <c:v>47246</c:v>
                </c:pt>
                <c:pt idx="29">
                  <c:v>47255</c:v>
                </c:pt>
                <c:pt idx="30">
                  <c:v>47398</c:v>
                </c:pt>
                <c:pt idx="31">
                  <c:v>47490</c:v>
                </c:pt>
                <c:pt idx="32">
                  <c:v>47621</c:v>
                </c:pt>
                <c:pt idx="33">
                  <c:v>47787</c:v>
                </c:pt>
                <c:pt idx="34">
                  <c:v>47821</c:v>
                </c:pt>
                <c:pt idx="35">
                  <c:v>48000</c:v>
                </c:pt>
                <c:pt idx="36">
                  <c:v>48094</c:v>
                </c:pt>
                <c:pt idx="37">
                  <c:v>48218</c:v>
                </c:pt>
                <c:pt idx="38">
                  <c:v>48266</c:v>
                </c:pt>
                <c:pt idx="39">
                  <c:v>48277</c:v>
                </c:pt>
                <c:pt idx="40">
                  <c:v>48391</c:v>
                </c:pt>
                <c:pt idx="41">
                  <c:v>48516</c:v>
                </c:pt>
                <c:pt idx="42">
                  <c:v>48521</c:v>
                </c:pt>
                <c:pt idx="43">
                  <c:v>48677</c:v>
                </c:pt>
              </c:numCache>
            </c:numRef>
          </c:cat>
          <c:val>
            <c:numRef>
              <c:f>'6. Charts'!$B$448:$B$491</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smooth val="0"/>
          <c:extLst>
            <c:ext xmlns:c16="http://schemas.microsoft.com/office/drawing/2014/chart" uri="{C3380CC4-5D6E-409C-BE32-E72D297353CC}">
              <c16:uniqueId val="{00000000-A71F-49F2-818B-23F6672204C1}"/>
            </c:ext>
          </c:extLst>
        </c:ser>
        <c:dLbls>
          <c:showLegendKey val="0"/>
          <c:showVal val="0"/>
          <c:showCatName val="0"/>
          <c:showSerName val="0"/>
          <c:showPercent val="0"/>
          <c:showBubbleSize val="0"/>
        </c:dLbls>
        <c:marker val="1"/>
        <c:smooth val="0"/>
        <c:axId val="231991455"/>
        <c:axId val="232001535"/>
      </c:lineChart>
      <c:dateAx>
        <c:axId val="231991455"/>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2001535"/>
        <c:crosses val="autoZero"/>
        <c:auto val="0"/>
        <c:lblOffset val="100"/>
        <c:baseTimeUnit val="days"/>
      </c:dateAx>
      <c:valAx>
        <c:axId val="23200153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914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Date</a:t>
            </a:r>
            <a:r>
              <a:rPr lang="en-US" baseline="0"/>
              <a:t> axis - last rows empty/same date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'6. Charts'!$E$475</c:f>
              <c:strCache>
                <c:ptCount val="1"/>
                <c:pt idx="0">
                  <c:v>Data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'6. Charts'!$D$476:$D$496</c:f>
              <c:numCache>
                <c:formatCode>m/d/yyyy</c:formatCode>
                <c:ptCount val="21"/>
                <c:pt idx="0">
                  <c:v>45292</c:v>
                </c:pt>
                <c:pt idx="1">
                  <c:v>45293</c:v>
                </c:pt>
                <c:pt idx="2">
                  <c:v>45294</c:v>
                </c:pt>
                <c:pt idx="3">
                  <c:v>45295</c:v>
                </c:pt>
                <c:pt idx="4">
                  <c:v>45296</c:v>
                </c:pt>
                <c:pt idx="5">
                  <c:v>45297</c:v>
                </c:pt>
                <c:pt idx="6">
                  <c:v>45298</c:v>
                </c:pt>
                <c:pt idx="7">
                  <c:v>45351</c:v>
                </c:pt>
                <c:pt idx="8">
                  <c:v>45382</c:v>
                </c:pt>
                <c:pt idx="9">
                  <c:v>45412</c:v>
                </c:pt>
                <c:pt idx="10">
                  <c:v>45443</c:v>
                </c:pt>
                <c:pt idx="11">
                  <c:v>45473</c:v>
                </c:pt>
                <c:pt idx="12">
                  <c:v>45504</c:v>
                </c:pt>
                <c:pt idx="13">
                  <c:v>45535</c:v>
                </c:pt>
                <c:pt idx="14">
                  <c:v>45565</c:v>
                </c:pt>
                <c:pt idx="15">
                  <c:v>45930</c:v>
                </c:pt>
                <c:pt idx="16">
                  <c:v>45930</c:v>
                </c:pt>
                <c:pt idx="17">
                  <c:v>45930</c:v>
                </c:pt>
                <c:pt idx="18">
                  <c:v>45930</c:v>
                </c:pt>
                <c:pt idx="19">
                  <c:v>45930</c:v>
                </c:pt>
                <c:pt idx="20">
                  <c:v>45930</c:v>
                </c:pt>
              </c:numCache>
            </c:numRef>
          </c:cat>
          <c:val>
            <c:numRef>
              <c:f>'6. Charts'!$E$476:$E$496</c:f>
              <c:numCache>
                <c:formatCode>#,##0.00</c:formatCode>
                <c:ptCount val="21"/>
                <c:pt idx="0">
                  <c:v>4.6358807386385816</c:v>
                </c:pt>
                <c:pt idx="1">
                  <c:v>6.714489127724371</c:v>
                </c:pt>
                <c:pt idx="2">
                  <c:v>5.3358632489228484</c:v>
                </c:pt>
                <c:pt idx="3">
                  <c:v>6.7742326635337236</c:v>
                </c:pt>
                <c:pt idx="4">
                  <c:v>7.4212839803512924</c:v>
                </c:pt>
                <c:pt idx="5">
                  <c:v>2.5024349903241392</c:v>
                </c:pt>
                <c:pt idx="6">
                  <c:v>4.9238457073952988</c:v>
                </c:pt>
                <c:pt idx="7">
                  <c:v>2.4795234894810392</c:v>
                </c:pt>
                <c:pt idx="8">
                  <c:v>0.88527709558692602</c:v>
                </c:pt>
                <c:pt idx="9">
                  <c:v>3.4355207351112602</c:v>
                </c:pt>
                <c:pt idx="10">
                  <c:v>5.4516765151590931</c:v>
                </c:pt>
                <c:pt idx="11">
                  <c:v>4.1786254072598457</c:v>
                </c:pt>
                <c:pt idx="12">
                  <c:v>3.3850317199417468</c:v>
                </c:pt>
                <c:pt idx="13">
                  <c:v>9.0600681993983994</c:v>
                </c:pt>
                <c:pt idx="14">
                  <c:v>3.4948126228094898</c:v>
                </c:pt>
                <c:pt idx="15">
                  <c:v>2.7074059326877356</c:v>
                </c:pt>
              </c:numCache>
            </c:numRef>
          </c:val>
          <c:smooth val="0"/>
          <c:extLst>
            <c:ext xmlns:c16="http://schemas.microsoft.com/office/drawing/2014/chart" uri="{C3380CC4-5D6E-409C-BE32-E72D297353CC}">
              <c16:uniqueId val="{00000000-F662-44F5-84CF-B1C921460A16}"/>
            </c:ext>
          </c:extLst>
        </c:ser>
        <c:dLbls>
          <c:showLegendKey val="0"/>
          <c:showVal val="0"/>
          <c:showCatName val="0"/>
          <c:showSerName val="0"/>
          <c:showPercent val="0"/>
          <c:showBubbleSize val="0"/>
        </c:dLbls>
        <c:marker val="1"/>
        <c:smooth val="0"/>
        <c:axId val="364201103"/>
        <c:axId val="364205903"/>
      </c:lineChart>
      <c:dateAx>
        <c:axId val="364201103"/>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205903"/>
        <c:crosses val="autoZero"/>
        <c:auto val="0"/>
        <c:lblOffset val="100"/>
        <c:baseTimeUnit val="days"/>
      </c:dateAx>
      <c:valAx>
        <c:axId val="3642059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201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Date axis - last rows #N/A (to be ignored)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'6. Charts'!$H$475</c:f>
              <c:strCache>
                <c:ptCount val="1"/>
                <c:pt idx="0">
                  <c:v>Data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'6. Charts'!$G$476:$G$496</c:f>
              <c:numCache>
                <c:formatCode>m/d/yyyy</c:formatCode>
                <c:ptCount val="21"/>
                <c:pt idx="0">
                  <c:v>45292</c:v>
                </c:pt>
                <c:pt idx="1">
                  <c:v>45293</c:v>
                </c:pt>
                <c:pt idx="2">
                  <c:v>45294</c:v>
                </c:pt>
                <c:pt idx="3">
                  <c:v>45295</c:v>
                </c:pt>
                <c:pt idx="4">
                  <c:v>45296</c:v>
                </c:pt>
                <c:pt idx="5">
                  <c:v>45297</c:v>
                </c:pt>
                <c:pt idx="6">
                  <c:v>45298</c:v>
                </c:pt>
                <c:pt idx="7">
                  <c:v>45351</c:v>
                </c:pt>
                <c:pt idx="8">
                  <c:v>45382</c:v>
                </c:pt>
                <c:pt idx="9">
                  <c:v>45412</c:v>
                </c:pt>
                <c:pt idx="10">
                  <c:v>45443</c:v>
                </c:pt>
                <c:pt idx="11">
                  <c:v>45473</c:v>
                </c:pt>
                <c:pt idx="12">
                  <c:v>45504</c:v>
                </c:pt>
                <c:pt idx="13">
                  <c:v>45535</c:v>
                </c:pt>
                <c:pt idx="14">
                  <c:v>45565</c:v>
                </c:pt>
                <c:pt idx="15">
                  <c:v>45930</c:v>
                </c:pt>
                <c:pt idx="16">
                  <c:v>#N/A</c:v>
                </c:pt>
                <c:pt idx="17">
                  <c:v>#N/A</c:v>
                </c:pt>
                <c:pt idx="18">
                  <c:v>#N/A</c:v>
                </c:pt>
                <c:pt idx="19">
                  <c:v>#N/A</c:v>
                </c:pt>
                <c:pt idx="20">
                  <c:v>#N/A</c:v>
                </c:pt>
              </c:numCache>
            </c:numRef>
          </c:cat>
          <c:val>
            <c:numRef>
              <c:f>'6. Charts'!$H$476:$H$496</c:f>
              <c:numCache>
                <c:formatCode>#,##0.00</c:formatCode>
                <c:ptCount val="21"/>
                <c:pt idx="0">
                  <c:v>4.6358807386385816</c:v>
                </c:pt>
                <c:pt idx="1">
                  <c:v>6.714489127724371</c:v>
                </c:pt>
                <c:pt idx="2">
                  <c:v>5.3358632489228484</c:v>
                </c:pt>
                <c:pt idx="3">
                  <c:v>6.7742326635337236</c:v>
                </c:pt>
                <c:pt idx="4">
                  <c:v>7.4212839803512924</c:v>
                </c:pt>
                <c:pt idx="5">
                  <c:v>2.5024349903241392</c:v>
                </c:pt>
                <c:pt idx="6">
                  <c:v>4.9238457073952988</c:v>
                </c:pt>
                <c:pt idx="7">
                  <c:v>2.4795234894810392</c:v>
                </c:pt>
                <c:pt idx="8">
                  <c:v>0.88527709558692602</c:v>
                </c:pt>
                <c:pt idx="9">
                  <c:v>3.4355207351112602</c:v>
                </c:pt>
                <c:pt idx="10">
                  <c:v>5.4516765151590931</c:v>
                </c:pt>
                <c:pt idx="11">
                  <c:v>4.1786254072598457</c:v>
                </c:pt>
                <c:pt idx="12">
                  <c:v>3.3850317199417468</c:v>
                </c:pt>
                <c:pt idx="13">
                  <c:v>9.0600681993983994</c:v>
                </c:pt>
                <c:pt idx="14">
                  <c:v>3.4948126228094898</c:v>
                </c:pt>
                <c:pt idx="15">
                  <c:v>2.7074059326877356</c:v>
                </c:pt>
                <c:pt idx="16">
                  <c:v>#N/A</c:v>
                </c:pt>
                <c:pt idx="17">
                  <c:v>#N/A</c:v>
                </c:pt>
                <c:pt idx="18">
                  <c:v>#N/A</c:v>
                </c:pt>
                <c:pt idx="19">
                  <c:v>#N/A</c:v>
                </c:pt>
                <c:pt idx="20">
                  <c:v>#N/A</c:v>
                </c:pt>
              </c:numCache>
            </c:numRef>
          </c:val>
          <c:smooth val="0"/>
          <c:extLst>
            <c:ext xmlns:c16="http://schemas.microsoft.com/office/drawing/2014/chart" uri="{C3380CC4-5D6E-409C-BE32-E72D297353CC}">
              <c16:uniqueId val="{00000000-6E1A-470B-99CB-63CEC2056577}"/>
            </c:ext>
          </c:extLst>
        </c:ser>
        <c:dLbls>
          <c:showLegendKey val="0"/>
          <c:showVal val="0"/>
          <c:showCatName val="0"/>
          <c:showSerName val="0"/>
          <c:showPercent val="0"/>
          <c:showBubbleSize val="0"/>
        </c:dLbls>
        <c:marker val="1"/>
        <c:smooth val="0"/>
        <c:axId val="1758286816"/>
        <c:axId val="1758287296"/>
      </c:lineChart>
      <c:dateAx>
        <c:axId val="175828681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8287296"/>
        <c:crosses val="autoZero"/>
        <c:auto val="0"/>
        <c:lblOffset val="100"/>
        <c:baseTimeUnit val="days"/>
      </c:dateAx>
      <c:valAx>
        <c:axId val="175828729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8286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Data labels </a:t>
            </a:r>
            <a:r>
              <a:rPr lang="en-GB" baseline="0"/>
              <a:t>linked to another range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0"/>
              <c:tx>
                <c:rich>
                  <a:bodyPr/>
                  <a:lstStyle/>
                  <a:p>
                    <a:fld id="{77CEC7CB-9F21-4DEB-B782-F315891B4BF4}" type="CELLRANGE">
                      <a:rPr lang="en-US"/>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CC3-4C17-9B59-801FB01BB4FF}"/>
                </c:ext>
              </c:extLst>
            </c:dLbl>
            <c:dLbl>
              <c:idx val="1"/>
              <c:tx>
                <c:rich>
                  <a:bodyPr/>
                  <a:lstStyle/>
                  <a:p>
                    <a:fld id="{DAD0ED58-78CD-4934-A5DD-51656DF1C405}"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CC3-4C17-9B59-801FB01BB4FF}"/>
                </c:ext>
              </c:extLst>
            </c:dLbl>
            <c:dLbl>
              <c:idx val="2"/>
              <c:tx>
                <c:rich>
                  <a:bodyPr/>
                  <a:lstStyle/>
                  <a:p>
                    <a:fld id="{4BB44008-F7E5-480C-97FA-85F058583A28}"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CC3-4C17-9B59-801FB01BB4FF}"/>
                </c:ext>
              </c:extLst>
            </c:dLbl>
            <c:dLbl>
              <c:idx val="3"/>
              <c:tx>
                <c:rich>
                  <a:bodyPr/>
                  <a:lstStyle/>
                  <a:p>
                    <a:fld id="{510B34BB-FB26-4BFE-A5A2-43554F442666}"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CC3-4C17-9B59-801FB01BB4FF}"/>
                </c:ext>
              </c:extLst>
            </c:dLbl>
            <c:dLbl>
              <c:idx val="4"/>
              <c:tx>
                <c:rich>
                  <a:bodyPr/>
                  <a:lstStyle/>
                  <a:p>
                    <a:fld id="{CAAA1F18-FC4C-465B-B10A-336B0568A16F}"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CC3-4C17-9B59-801FB01BB4FF}"/>
                </c:ext>
              </c:extLst>
            </c:dLbl>
            <c:dLbl>
              <c:idx val="5"/>
              <c:tx>
                <c:rich>
                  <a:bodyPr/>
                  <a:lstStyle/>
                  <a:p>
                    <a:fld id="{2F592188-69C9-49DD-9CC0-D0079781674D}"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CC3-4C17-9B59-801FB01BB4FF}"/>
                </c:ext>
              </c:extLst>
            </c:dLbl>
            <c:dLbl>
              <c:idx val="6"/>
              <c:tx>
                <c:rich>
                  <a:bodyPr/>
                  <a:lstStyle/>
                  <a:p>
                    <a:fld id="{85CEA70B-FA9E-47CE-8531-54CC31198942}"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7CC3-4C17-9B59-801FB01BB4FF}"/>
                </c:ext>
              </c:extLst>
            </c:dLbl>
            <c:dLbl>
              <c:idx val="7"/>
              <c:tx>
                <c:rich>
                  <a:bodyPr/>
                  <a:lstStyle/>
                  <a:p>
                    <a:fld id="{402A4AAF-9C20-449E-957E-9981025D9310}"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7CC3-4C17-9B59-801FB01BB4FF}"/>
                </c:ext>
              </c:extLst>
            </c:dLbl>
            <c:dLbl>
              <c:idx val="8"/>
              <c:tx>
                <c:rich>
                  <a:bodyPr/>
                  <a:lstStyle/>
                  <a:p>
                    <a:endParaRPr lang="en-GB"/>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7CC3-4C17-9B59-801FB01BB4FF}"/>
                </c:ext>
              </c:extLst>
            </c:dLbl>
            <c:dLbl>
              <c:idx val="9"/>
              <c:tx>
                <c:rich>
                  <a:bodyPr/>
                  <a:lstStyle/>
                  <a:p>
                    <a:endParaRPr lang="en-GB"/>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7CC3-4C17-9B59-801FB01BB4FF}"/>
                </c:ext>
              </c:extLst>
            </c:dLbl>
            <c:dLbl>
              <c:idx val="10"/>
              <c:tx>
                <c:rich>
                  <a:bodyPr/>
                  <a:lstStyle/>
                  <a:p>
                    <a:endParaRPr lang="en-GB"/>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7CC3-4C17-9B59-801FB01BB4FF}"/>
                </c:ext>
              </c:extLst>
            </c:dLbl>
            <c:dLbl>
              <c:idx val="11"/>
              <c:tx>
                <c:rich>
                  <a:bodyPr/>
                  <a:lstStyle/>
                  <a:p>
                    <a:endParaRPr lang="en-GB"/>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7CC3-4C17-9B59-801FB01BB4FF}"/>
                </c:ext>
              </c:extLst>
            </c:dLbl>
            <c:dLbl>
              <c:idx val="12"/>
              <c:tx>
                <c:rich>
                  <a:bodyPr/>
                  <a:lstStyle/>
                  <a:p>
                    <a:endParaRPr lang="en-GB"/>
                  </a:p>
                </c:rich>
              </c:tx>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7CC3-4C17-9B59-801FB01BB4FF}"/>
                </c:ext>
              </c:extLst>
            </c:dLbl>
            <c:dLbl>
              <c:idx val="13"/>
              <c:tx>
                <c:rich>
                  <a:bodyPr/>
                  <a:lstStyle/>
                  <a:p>
                    <a:fld id="{D41C5D56-668D-444C-B45A-B7C20ADC6031}"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7CC3-4C17-9B59-801FB01BB4FF}"/>
                </c:ext>
              </c:extLst>
            </c:dLbl>
            <c:dLbl>
              <c:idx val="14"/>
              <c:tx>
                <c:rich>
                  <a:bodyPr/>
                  <a:lstStyle/>
                  <a:p>
                    <a:fld id="{89F63902-50F6-4B00-A3BF-47402D3B622B}"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7CC3-4C17-9B59-801FB01BB4FF}"/>
                </c:ext>
              </c:extLst>
            </c:dLbl>
            <c:dLbl>
              <c:idx val="15"/>
              <c:tx>
                <c:rich>
                  <a:bodyPr/>
                  <a:lstStyle/>
                  <a:p>
                    <a:fld id="{0AB42E57-5B70-448A-89BF-67FBE749512D}"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7CC3-4C17-9B59-801FB01BB4FF}"/>
                </c:ext>
              </c:extLst>
            </c:dLbl>
            <c:dLbl>
              <c:idx val="16"/>
              <c:tx>
                <c:rich>
                  <a:bodyPr/>
                  <a:lstStyle/>
                  <a:p>
                    <a:fld id="{15FA0810-4A03-4148-831E-3D65A5F4B25D}"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7CC3-4C17-9B59-801FB01BB4FF}"/>
                </c:ext>
              </c:extLst>
            </c:dLbl>
            <c:dLbl>
              <c:idx val="17"/>
              <c:tx>
                <c:rich>
                  <a:bodyPr/>
                  <a:lstStyle/>
                  <a:p>
                    <a:fld id="{D48C1F16-4863-4000-A65D-860CF39A5EDC}"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7CC3-4C17-9B59-801FB01BB4FF}"/>
                </c:ext>
              </c:extLst>
            </c:dLbl>
            <c:dLbl>
              <c:idx val="18"/>
              <c:tx>
                <c:rich>
                  <a:bodyPr/>
                  <a:lstStyle/>
                  <a:p>
                    <a:fld id="{E2C798B6-83B2-4A1F-A705-527B00A9A532}" type="CELLRANGE">
                      <a:rPr lang="en-GB"/>
                      <a:pPr/>
                      <a:t>[CELLRANGE]</a:t>
                    </a:fld>
                    <a:endParaRPr lang="en-GB"/>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7CC3-4C17-9B59-801FB01BB4FF}"/>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DataLabelsRange val="1"/>
                <c15:showLeaderLines val="0"/>
              </c:ext>
            </c:extLst>
          </c:dLbls>
          <c:val>
            <c:numRef>
              <c:f>'6. Charts'!$K$476:$K$494</c:f>
              <c:numCache>
                <c:formatCode>#,##0</c:formatCode>
                <c:ptCount val="19"/>
                <c:pt idx="0">
                  <c:v>2</c:v>
                </c:pt>
                <c:pt idx="1">
                  <c:v>-1</c:v>
                </c:pt>
                <c:pt idx="2">
                  <c:v>4</c:v>
                </c:pt>
                <c:pt idx="3">
                  <c:v>-1</c:v>
                </c:pt>
                <c:pt idx="4">
                  <c:v>4</c:v>
                </c:pt>
                <c:pt idx="5">
                  <c:v>5</c:v>
                </c:pt>
                <c:pt idx="6">
                  <c:v>5</c:v>
                </c:pt>
                <c:pt idx="7">
                  <c:v>2</c:v>
                </c:pt>
                <c:pt idx="13">
                  <c:v>-3</c:v>
                </c:pt>
                <c:pt idx="14">
                  <c:v>-2</c:v>
                </c:pt>
                <c:pt idx="15">
                  <c:v>4</c:v>
                </c:pt>
                <c:pt idx="16">
                  <c:v>0</c:v>
                </c:pt>
                <c:pt idx="17">
                  <c:v>-1</c:v>
                </c:pt>
                <c:pt idx="18">
                  <c:v>-4</c:v>
                </c:pt>
              </c:numCache>
            </c:numRef>
          </c:val>
          <c:smooth val="0"/>
          <c:extLst>
            <c:ext xmlns:c15="http://schemas.microsoft.com/office/drawing/2012/chart" uri="{02D57815-91ED-43cb-92C2-25804820EDAC}">
              <c15:datalabelsRange>
                <c15:f>'6. Charts'!$J$476:$J$494</c15:f>
                <c15:dlblRangeCache>
                  <c:ptCount val="19"/>
                  <c:pt idx="0">
                    <c:v>Mon</c:v>
                  </c:pt>
                  <c:pt idx="1">
                    <c:v>Sun</c:v>
                  </c:pt>
                  <c:pt idx="2">
                    <c:v>Wed</c:v>
                  </c:pt>
                  <c:pt idx="3">
                    <c:v>Sun</c:v>
                  </c:pt>
                  <c:pt idx="4">
                    <c:v>Wed</c:v>
                  </c:pt>
                  <c:pt idx="5">
                    <c:v>Thu</c:v>
                  </c:pt>
                  <c:pt idx="6">
                    <c:v>Thu</c:v>
                  </c:pt>
                  <c:pt idx="7">
                    <c:v>Mon</c:v>
                  </c:pt>
                  <c:pt idx="13">
                    <c:v>Tue</c:v>
                  </c:pt>
                  <c:pt idx="14">
                    <c:v>Mon</c:v>
                  </c:pt>
                  <c:pt idx="15">
                    <c:v>Wed</c:v>
                  </c:pt>
                  <c:pt idx="16">
                    <c:v>Sat</c:v>
                  </c:pt>
                  <c:pt idx="17">
                    <c:v>Sun</c:v>
                  </c:pt>
                  <c:pt idx="18">
                    <c:v>Wed</c:v>
                  </c:pt>
                </c15:dlblRangeCache>
              </c15:datalabelsRange>
            </c:ext>
            <c:ext xmlns:c16="http://schemas.microsoft.com/office/drawing/2014/chart" uri="{C3380CC4-5D6E-409C-BE32-E72D297353CC}">
              <c16:uniqueId val="{00000000-7CC3-4C17-9B59-801FB01BB4FF}"/>
            </c:ext>
          </c:extLst>
        </c:ser>
        <c:dLbls>
          <c:showLegendKey val="0"/>
          <c:showVal val="0"/>
          <c:showCatName val="0"/>
          <c:showSerName val="0"/>
          <c:showPercent val="0"/>
          <c:showBubbleSize val="0"/>
        </c:dLbls>
        <c:marker val="1"/>
        <c:smooth val="0"/>
        <c:axId val="1865452576"/>
        <c:axId val="1865449216"/>
      </c:lineChart>
      <c:catAx>
        <c:axId val="186545257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49216"/>
        <c:crosses val="autoZero"/>
        <c:auto val="1"/>
        <c:lblAlgn val="ctr"/>
        <c:lblOffset val="100"/>
        <c:noMultiLvlLbl val="0"/>
      </c:catAx>
      <c:valAx>
        <c:axId val="186544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5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Dynamic x-axis range, chart updates automatically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'6. Charts'!$B$403</c:f>
              <c:strCache>
                <c:ptCount val="1"/>
                <c:pt idx="0">
                  <c:v>Data</c:v>
                </c:pt>
              </c:strCache>
            </c:strRef>
          </c:tx>
          <c:spPr>
            <a:ln w="28575" cap="rnd">
              <a:solidFill>
                <a:schemeClr val="accent1"/>
              </a:solidFill>
              <a:round/>
            </a:ln>
            <a:effectLst/>
          </c:spPr>
          <c:marker>
            <c:symbol val="none"/>
          </c:marker>
          <c:cat>
            <c:numRef>
              <c:f>[0]!xrange</c:f>
              <c:numCache>
                <c:formatCode>m/d/yyyy</c:formatCode>
                <c:ptCount val="9"/>
                <c:pt idx="0">
                  <c:v>45295</c:v>
                </c:pt>
                <c:pt idx="1">
                  <c:v>45296</c:v>
                </c:pt>
                <c:pt idx="2">
                  <c:v>45297</c:v>
                </c:pt>
                <c:pt idx="3">
                  <c:v>45298</c:v>
                </c:pt>
                <c:pt idx="4">
                  <c:v>45299</c:v>
                </c:pt>
                <c:pt idx="5">
                  <c:v>45300</c:v>
                </c:pt>
                <c:pt idx="6">
                  <c:v>45301</c:v>
                </c:pt>
                <c:pt idx="7">
                  <c:v>45302</c:v>
                </c:pt>
                <c:pt idx="8">
                  <c:v>45303</c:v>
                </c:pt>
              </c:numCache>
            </c:numRef>
          </c:cat>
          <c:val>
            <c:numRef>
              <c:f>[0]!yrange</c:f>
              <c:numCache>
                <c:formatCode>#,##0.00</c:formatCode>
                <c:ptCount val="9"/>
                <c:pt idx="0">
                  <c:v>6.7742326635337236</c:v>
                </c:pt>
                <c:pt idx="1">
                  <c:v>7.4212839803512924</c:v>
                </c:pt>
                <c:pt idx="2">
                  <c:v>2.5024349903241392</c:v>
                </c:pt>
                <c:pt idx="3">
                  <c:v>4.9238457073952988</c:v>
                </c:pt>
                <c:pt idx="4">
                  <c:v>2.4795234894810392</c:v>
                </c:pt>
                <c:pt idx="5">
                  <c:v>0.88527709558692602</c:v>
                </c:pt>
                <c:pt idx="6">
                  <c:v>1.43552073511126</c:v>
                </c:pt>
                <c:pt idx="7">
                  <c:v>2.45167651515909</c:v>
                </c:pt>
                <c:pt idx="8">
                  <c:v>4.1786254072598457</c:v>
                </c:pt>
              </c:numCache>
            </c:numRef>
          </c:val>
          <c:smooth val="0"/>
          <c:extLst>
            <c:ext xmlns:c16="http://schemas.microsoft.com/office/drawing/2014/chart" uri="{C3380CC4-5D6E-409C-BE32-E72D297353CC}">
              <c16:uniqueId val="{00000000-1973-418F-AA86-56179F2E041B}"/>
            </c:ext>
          </c:extLst>
        </c:ser>
        <c:dLbls>
          <c:showLegendKey val="0"/>
          <c:showVal val="0"/>
          <c:showCatName val="0"/>
          <c:showSerName val="0"/>
          <c:showPercent val="0"/>
          <c:showBubbleSize val="0"/>
        </c:dLbls>
        <c:smooth val="0"/>
        <c:axId val="231994335"/>
        <c:axId val="231994815"/>
      </c:lineChart>
      <c:dateAx>
        <c:axId val="231994335"/>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94815"/>
        <c:crosses val="autoZero"/>
        <c:auto val="1"/>
        <c:lblOffset val="100"/>
        <c:baseTimeUnit val="days"/>
      </c:dateAx>
      <c:valAx>
        <c:axId val="23199481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943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Data table at the bottom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'6. Charts'!$K$476:$K$494</c:f>
              <c:numCache>
                <c:formatCode>#,##0</c:formatCode>
                <c:ptCount val="19"/>
                <c:pt idx="0">
                  <c:v>2</c:v>
                </c:pt>
                <c:pt idx="1">
                  <c:v>-1</c:v>
                </c:pt>
                <c:pt idx="2">
                  <c:v>4</c:v>
                </c:pt>
                <c:pt idx="3">
                  <c:v>-1</c:v>
                </c:pt>
                <c:pt idx="4">
                  <c:v>4</c:v>
                </c:pt>
                <c:pt idx="5">
                  <c:v>5</c:v>
                </c:pt>
                <c:pt idx="6">
                  <c:v>5</c:v>
                </c:pt>
                <c:pt idx="7">
                  <c:v>2</c:v>
                </c:pt>
                <c:pt idx="13">
                  <c:v>-3</c:v>
                </c:pt>
                <c:pt idx="14">
                  <c:v>-2</c:v>
                </c:pt>
                <c:pt idx="15">
                  <c:v>4</c:v>
                </c:pt>
                <c:pt idx="16">
                  <c:v>0</c:v>
                </c:pt>
                <c:pt idx="17">
                  <c:v>-1</c:v>
                </c:pt>
                <c:pt idx="18">
                  <c:v>-4</c:v>
                </c:pt>
              </c:numCache>
            </c:numRef>
          </c:val>
          <c:smooth val="0"/>
          <c:extLst>
            <c:ext xmlns:c16="http://schemas.microsoft.com/office/drawing/2014/chart" uri="{C3380CC4-5D6E-409C-BE32-E72D297353CC}">
              <c16:uniqueId val="{00000000-8ACC-495F-A55A-297EB2D09FD3}"/>
            </c:ext>
          </c:extLst>
        </c:ser>
        <c:dLbls>
          <c:showLegendKey val="0"/>
          <c:showVal val="0"/>
          <c:showCatName val="0"/>
          <c:showSerName val="0"/>
          <c:showPercent val="0"/>
          <c:showBubbleSize val="0"/>
        </c:dLbls>
        <c:marker val="1"/>
        <c:smooth val="0"/>
        <c:axId val="1865452576"/>
        <c:axId val="1865449216"/>
      </c:lineChart>
      <c:catAx>
        <c:axId val="1865452576"/>
        <c:scaling>
          <c:orientation val="minMax"/>
        </c:scaling>
        <c:delete val="0"/>
        <c:axPos val="b"/>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49216"/>
        <c:crosses val="autoZero"/>
        <c:auto val="1"/>
        <c:lblAlgn val="ctr"/>
        <c:lblOffset val="100"/>
        <c:noMultiLvlLbl val="0"/>
      </c:catAx>
      <c:valAx>
        <c:axId val="186544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5257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'6. Charts'!$B$402</c:f>
          <c:strCache>
            <c:ptCount val="1"/>
            <c:pt idx="0">
              <c:v>CHART TITLE</c:v>
            </c:pt>
          </c:strCache>
        </c:strRef>
      </c:tx>
      <c:overlay val="1"/>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'6. Charts'!$B$403</c:f>
              <c:strCache>
                <c:ptCount val="1"/>
                <c:pt idx="0">
                  <c:v>Data</c:v>
                </c:pt>
              </c:strCache>
            </c:strRef>
          </c:tx>
          <c:spPr>
            <a:ln w="28575" cap="rnd">
              <a:solidFill>
                <a:schemeClr val="accent1"/>
              </a:solidFill>
              <a:round/>
            </a:ln>
            <a:effectLst/>
          </c:spPr>
          <c:marker>
            <c:symbol val="none"/>
          </c:marker>
          <c:cat>
            <c:numRef>
              <c:f>'6. Charts'!$A$404:$A$419</c:f>
              <c:numCache>
                <c:formatCode>m/d/yyyy</c:formatCode>
                <c:ptCount val="16"/>
                <c:pt idx="0">
                  <c:v>45292</c:v>
                </c:pt>
                <c:pt idx="1">
                  <c:v>45293</c:v>
                </c:pt>
                <c:pt idx="2">
                  <c:v>45294</c:v>
                </c:pt>
                <c:pt idx="3">
                  <c:v>45295</c:v>
                </c:pt>
                <c:pt idx="4">
                  <c:v>45296</c:v>
                </c:pt>
                <c:pt idx="5">
                  <c:v>45297</c:v>
                </c:pt>
                <c:pt idx="6">
                  <c:v>45298</c:v>
                </c:pt>
                <c:pt idx="7">
                  <c:v>45299</c:v>
                </c:pt>
                <c:pt idx="8">
                  <c:v>45300</c:v>
                </c:pt>
                <c:pt idx="9">
                  <c:v>45301</c:v>
                </c:pt>
                <c:pt idx="10">
                  <c:v>45302</c:v>
                </c:pt>
                <c:pt idx="11">
                  <c:v>45303</c:v>
                </c:pt>
                <c:pt idx="12">
                  <c:v>45304</c:v>
                </c:pt>
                <c:pt idx="13">
                  <c:v>45305</c:v>
                </c:pt>
                <c:pt idx="14">
                  <c:v>45306</c:v>
                </c:pt>
                <c:pt idx="15">
                  <c:v>45307</c:v>
                </c:pt>
              </c:numCache>
            </c:numRef>
          </c:cat>
          <c:val>
            <c:numRef>
              <c:f>'6. Charts'!$B$404:$B$419</c:f>
              <c:numCache>
                <c:formatCode>#,##0.00</c:formatCode>
                <c:ptCount val="16"/>
                <c:pt idx="0">
                  <c:v>4.6358807386385816</c:v>
                </c:pt>
                <c:pt idx="1">
                  <c:v>6.714489127724371</c:v>
                </c:pt>
                <c:pt idx="2">
                  <c:v>5.3358632489228484</c:v>
                </c:pt>
                <c:pt idx="3">
                  <c:v>6.7742326635337236</c:v>
                </c:pt>
                <c:pt idx="4">
                  <c:v>7.4212839803512924</c:v>
                </c:pt>
                <c:pt idx="5">
                  <c:v>2.5024349903241392</c:v>
                </c:pt>
                <c:pt idx="6">
                  <c:v>4.9238457073952988</c:v>
                </c:pt>
                <c:pt idx="7">
                  <c:v>2.4795234894810392</c:v>
                </c:pt>
                <c:pt idx="8">
                  <c:v>0.88527709558692602</c:v>
                </c:pt>
                <c:pt idx="9">
                  <c:v>1.43552073511126</c:v>
                </c:pt>
                <c:pt idx="10">
                  <c:v>2.45167651515909</c:v>
                </c:pt>
                <c:pt idx="11">
                  <c:v>4.1786254072598457</c:v>
                </c:pt>
                <c:pt idx="12">
                  <c:v>3.3850317199417468</c:v>
                </c:pt>
                <c:pt idx="13">
                  <c:v>4.0600681993984002</c:v>
                </c:pt>
                <c:pt idx="14">
                  <c:v>3.4948126228094898</c:v>
                </c:pt>
                <c:pt idx="15">
                  <c:v>2.7074059326877356</c:v>
                </c:pt>
              </c:numCache>
            </c:numRef>
          </c:val>
          <c:smooth val="0"/>
          <c:extLst>
            <c:ext xmlns:c16="http://schemas.microsoft.com/office/drawing/2014/chart" uri="{C3380CC4-5D6E-409C-BE32-E72D297353CC}">
              <c16:uniqueId val="{00000000-08D8-4BF3-A482-5954574C8EB2}"/>
            </c:ext>
          </c:extLst>
        </c:ser>
        <c:dLbls>
          <c:showLegendKey val="0"/>
          <c:showVal val="0"/>
          <c:showCatName val="0"/>
          <c:showSerName val="0"/>
          <c:showPercent val="0"/>
          <c:showBubbleSize val="0"/>
        </c:dLbls>
        <c:marker val="1"/>
        <c:smooth val="0"/>
        <c:axId val="231994335"/>
        <c:axId val="231994815"/>
      </c:lineChart>
      <c:lineChart>
        <c:grouping val="standard"/>
        <c:varyColors val="0"/>
        <c:ser>
          <c:idx val="1"/>
          <c:order val="1"/>
          <c:tx>
            <c:strRef>
              <c:f>'6. Charts'!$C$403</c:f>
              <c:strCache>
                <c:ptCount val="1"/>
                <c:pt idx="0">
                  <c:v>Change (%)</c:v>
                </c:pt>
              </c:strCache>
            </c:strRef>
          </c:tx>
          <c:spPr>
            <a:ln w="28575" cap="rnd">
              <a:solidFill>
                <a:schemeClr val="accent2"/>
              </a:solidFill>
              <a:round/>
            </a:ln>
            <a:effectLst/>
          </c:spPr>
          <c:marker>
            <c:symbol val="none"/>
          </c:marker>
          <c:cat>
            <c:numRef>
              <c:f>'6. Charts'!$A$404:$A$419</c:f>
              <c:numCache>
                <c:formatCode>m/d/yyyy</c:formatCode>
                <c:ptCount val="16"/>
                <c:pt idx="0">
                  <c:v>45292</c:v>
                </c:pt>
                <c:pt idx="1">
                  <c:v>45293</c:v>
                </c:pt>
                <c:pt idx="2">
                  <c:v>45294</c:v>
                </c:pt>
                <c:pt idx="3">
                  <c:v>45295</c:v>
                </c:pt>
                <c:pt idx="4">
                  <c:v>45296</c:v>
                </c:pt>
                <c:pt idx="5">
                  <c:v>45297</c:v>
                </c:pt>
                <c:pt idx="6">
                  <c:v>45298</c:v>
                </c:pt>
                <c:pt idx="7">
                  <c:v>45299</c:v>
                </c:pt>
                <c:pt idx="8">
                  <c:v>45300</c:v>
                </c:pt>
                <c:pt idx="9">
                  <c:v>45301</c:v>
                </c:pt>
                <c:pt idx="10">
                  <c:v>45302</c:v>
                </c:pt>
                <c:pt idx="11">
                  <c:v>45303</c:v>
                </c:pt>
                <c:pt idx="12">
                  <c:v>45304</c:v>
                </c:pt>
                <c:pt idx="13">
                  <c:v>45305</c:v>
                </c:pt>
                <c:pt idx="14">
                  <c:v>45306</c:v>
                </c:pt>
                <c:pt idx="15">
                  <c:v>45307</c:v>
                </c:pt>
              </c:numCache>
            </c:numRef>
          </c:cat>
          <c:val>
            <c:numRef>
              <c:f>'6. Charts'!$C$404:$C$419</c:f>
              <c:numCache>
                <c:formatCode>0%</c:formatCode>
                <c:ptCount val="16"/>
                <c:pt idx="1">
                  <c:v>0.44837399973671754</c:v>
                </c:pt>
                <c:pt idx="2">
                  <c:v>-0.20532103821705894</c:v>
                </c:pt>
                <c:pt idx="3">
                  <c:v>0.26956639394782833</c:v>
                </c:pt>
                <c:pt idx="4">
                  <c:v>9.5516547623275772E-2</c:v>
                </c:pt>
                <c:pt idx="5">
                  <c:v>-0.66280296011449968</c:v>
                </c:pt>
                <c:pt idx="6">
                  <c:v>0.96762182691407927</c:v>
                </c:pt>
                <c:pt idx="7">
                  <c:v>-0.4964254290590473</c:v>
                </c:pt>
                <c:pt idx="8">
                  <c:v>-0.64296482798305199</c:v>
                </c:pt>
                <c:pt idx="9">
                  <c:v>0.62154961680052323</c:v>
                </c:pt>
                <c:pt idx="10">
                  <c:v>0.70786562338932213</c:v>
                </c:pt>
                <c:pt idx="11">
                  <c:v>0.70439508696305042</c:v>
                </c:pt>
                <c:pt idx="12">
                  <c:v>-0.18991740344547947</c:v>
                </c:pt>
                <c:pt idx="13">
                  <c:v>0.19941806615279511</c:v>
                </c:pt>
                <c:pt idx="14">
                  <c:v>-0.1392231728207588</c:v>
                </c:pt>
                <c:pt idx="15">
                  <c:v>-0.22530726968954229</c:v>
                </c:pt>
              </c:numCache>
            </c:numRef>
          </c:val>
          <c:smooth val="0"/>
          <c:extLst>
            <c:ext xmlns:c16="http://schemas.microsoft.com/office/drawing/2014/chart" uri="{C3380CC4-5D6E-409C-BE32-E72D297353CC}">
              <c16:uniqueId val="{00000001-08D8-4BF3-A482-5954574C8EB2}"/>
            </c:ext>
          </c:extLst>
        </c:ser>
        <c:dLbls>
          <c:showLegendKey val="0"/>
          <c:showVal val="0"/>
          <c:showCatName val="0"/>
          <c:showSerName val="0"/>
          <c:showPercent val="0"/>
          <c:showBubbleSize val="0"/>
        </c:dLbls>
        <c:marker val="1"/>
        <c:smooth val="0"/>
        <c:axId val="364191503"/>
        <c:axId val="364192943"/>
      </c:lineChart>
      <c:dateAx>
        <c:axId val="231994335"/>
        <c:scaling>
          <c:orientation val="minMax"/>
        </c:scaling>
        <c:delete val="0"/>
        <c:axPos val="b"/>
        <c:title>
          <c:tx>
            <c:strRef>
              <c:f>'6. Charts'!$A$403</c:f>
              <c:strCache>
                <c:ptCount val="1"/>
                <c:pt idx="0">
                  <c:v>Date</c:v>
                </c:pt>
              </c:strCache>
            </c:strRef>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94815"/>
        <c:crosses val="autoZero"/>
        <c:auto val="1"/>
        <c:lblOffset val="100"/>
        <c:baseTimeUnit val="days"/>
      </c:dateAx>
      <c:valAx>
        <c:axId val="231994815"/>
        <c:scaling>
          <c:orientation val="minMax"/>
        </c:scaling>
        <c:delete val="0"/>
        <c:axPos val="l"/>
        <c:majorGridlines>
          <c:spPr>
            <a:ln w="9525" cap="flat" cmpd="sng" algn="ctr">
              <a:solidFill>
                <a:schemeClr val="tx1">
                  <a:lumMod val="15000"/>
                  <a:lumOff val="85000"/>
                </a:schemeClr>
              </a:solidFill>
              <a:round/>
            </a:ln>
            <a:effectLst/>
          </c:spPr>
        </c:majorGridlines>
        <c:title>
          <c:tx>
            <c:strRef>
              <c:f>'6. Charts'!$B$403</c:f>
              <c:strCache>
                <c:ptCount val="1"/>
                <c:pt idx="0">
                  <c:v>Data</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94335"/>
        <c:crosses val="autoZero"/>
        <c:crossBetween val="between"/>
      </c:valAx>
      <c:valAx>
        <c:axId val="364192943"/>
        <c:scaling>
          <c:orientation val="minMax"/>
        </c:scaling>
        <c:delete val="0"/>
        <c:axPos val="r"/>
        <c:title>
          <c:tx>
            <c:strRef>
              <c:f>'6. Charts'!$C$403</c:f>
              <c:strCache>
                <c:ptCount val="1"/>
                <c:pt idx="0">
                  <c:v>Change (%)</c:v>
                </c:pt>
              </c:strCache>
            </c:strRef>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191503"/>
        <c:crosses val="max"/>
        <c:crossBetween val="between"/>
      </c:valAx>
      <c:dateAx>
        <c:axId val="364191503"/>
        <c:scaling>
          <c:orientation val="minMax"/>
        </c:scaling>
        <c:delete val="1"/>
        <c:axPos val="b"/>
        <c:numFmt formatCode="m/d/yyyy" sourceLinked="1"/>
        <c:majorTickMark val="out"/>
        <c:minorTickMark val="none"/>
        <c:tickLblPos val="nextTo"/>
        <c:crossAx val="364192943"/>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Scatterplot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'6. Charts'!$B$5</c:f>
              <c:strCache>
                <c:ptCount val="1"/>
                <c:pt idx="0">
                  <c:v>Data 1</c:v>
                </c:pt>
              </c:strCache>
            </c:strRef>
          </c:tx>
          <c:spPr>
            <a:ln w="25400" cap="rnd">
              <a:noFill/>
              <a:round/>
            </a:ln>
            <a:effectLst/>
          </c:spPr>
          <c:marker>
            <c:symbol val="circle"/>
            <c:size val="5"/>
            <c:spPr>
              <a:solidFill>
                <a:schemeClr val="accent2"/>
              </a:solidFill>
              <a:ln w="9525">
                <a:solidFill>
                  <a:schemeClr val="accent2"/>
                </a:solidFill>
              </a:ln>
              <a:effectLst/>
            </c:spPr>
          </c:marker>
          <c:xVal>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xVal>
          <c:y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yVal>
          <c:smooth val="0"/>
          <c:extLst>
            <c:ext xmlns:c16="http://schemas.microsoft.com/office/drawing/2014/chart" uri="{C3380CC4-5D6E-409C-BE32-E72D297353CC}">
              <c16:uniqueId val="{00000000-01BF-44C6-954C-D8442D0A4949}"/>
            </c:ext>
          </c:extLst>
        </c:ser>
        <c:ser>
          <c:idx val="2"/>
          <c:order val="1"/>
          <c:tx>
            <c:strRef>
              <c:f>'6. Charts'!$C$5</c:f>
              <c:strCache>
                <c:ptCount val="1"/>
                <c:pt idx="0">
                  <c:v>Data 2</c:v>
                </c:pt>
              </c:strCache>
            </c:strRef>
          </c:tx>
          <c:spPr>
            <a:ln w="25400" cap="rnd">
              <a:noFill/>
              <a:round/>
            </a:ln>
            <a:effectLst/>
          </c:spPr>
          <c:marker>
            <c:symbol val="circle"/>
            <c:size val="5"/>
            <c:spPr>
              <a:solidFill>
                <a:schemeClr val="accent3"/>
              </a:solidFill>
              <a:ln w="9525">
                <a:solidFill>
                  <a:schemeClr val="accent3"/>
                </a:solidFill>
              </a:ln>
              <a:effectLst/>
            </c:spPr>
          </c:marker>
          <c:xVal>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xVal>
          <c:y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yVal>
          <c:smooth val="0"/>
          <c:extLst>
            <c:ext xmlns:c16="http://schemas.microsoft.com/office/drawing/2014/chart" uri="{C3380CC4-5D6E-409C-BE32-E72D297353CC}">
              <c16:uniqueId val="{00000001-01BF-44C6-954C-D8442D0A4949}"/>
            </c:ext>
          </c:extLst>
        </c:ser>
        <c:ser>
          <c:idx val="3"/>
          <c:order val="2"/>
          <c:tx>
            <c:strRef>
              <c:f>'6. Charts'!$D$5</c:f>
              <c:strCache>
                <c:ptCount val="1"/>
                <c:pt idx="0">
                  <c:v>Data 3</c:v>
                </c:pt>
              </c:strCache>
            </c:strRef>
          </c:tx>
          <c:spPr>
            <a:ln w="25400" cap="rnd">
              <a:noFill/>
              <a:round/>
            </a:ln>
            <a:effectLst/>
          </c:spPr>
          <c:marker>
            <c:symbol val="circle"/>
            <c:size val="5"/>
            <c:spPr>
              <a:solidFill>
                <a:schemeClr val="accent4"/>
              </a:solidFill>
              <a:ln w="9525">
                <a:solidFill>
                  <a:schemeClr val="accent4"/>
                </a:solidFill>
              </a:ln>
              <a:effectLst/>
            </c:spPr>
          </c:marker>
          <c:xVal>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xVal>
          <c:y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yVal>
          <c:smooth val="0"/>
          <c:extLst>
            <c:ext xmlns:c16="http://schemas.microsoft.com/office/drawing/2014/chart" uri="{C3380CC4-5D6E-409C-BE32-E72D297353CC}">
              <c16:uniqueId val="{00000002-01BF-44C6-954C-D8442D0A4949}"/>
            </c:ext>
          </c:extLst>
        </c:ser>
        <c:ser>
          <c:idx val="4"/>
          <c:order val="3"/>
          <c:tx>
            <c:strRef>
              <c:f>'6. Charts'!$E$5</c:f>
              <c:strCache>
                <c:ptCount val="1"/>
                <c:pt idx="0">
                  <c:v>Data 4</c:v>
                </c:pt>
              </c:strCache>
            </c:strRef>
          </c:tx>
          <c:spPr>
            <a:ln w="25400" cap="rnd">
              <a:noFill/>
              <a:round/>
            </a:ln>
            <a:effectLst/>
          </c:spPr>
          <c:marker>
            <c:symbol val="circle"/>
            <c:size val="5"/>
            <c:spPr>
              <a:solidFill>
                <a:schemeClr val="accent5"/>
              </a:solidFill>
              <a:ln w="9525">
                <a:solidFill>
                  <a:schemeClr val="accent5"/>
                </a:solidFill>
              </a:ln>
              <a:effectLst/>
            </c:spPr>
          </c:marker>
          <c:xVal>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xVal>
          <c:y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yVal>
          <c:smooth val="0"/>
          <c:extLst>
            <c:ext xmlns:c16="http://schemas.microsoft.com/office/drawing/2014/chart" uri="{C3380CC4-5D6E-409C-BE32-E72D297353CC}">
              <c16:uniqueId val="{00000003-01BF-44C6-954C-D8442D0A4949}"/>
            </c:ext>
          </c:extLst>
        </c:ser>
        <c:dLbls>
          <c:showLegendKey val="0"/>
          <c:showVal val="0"/>
          <c:showCatName val="0"/>
          <c:showSerName val="0"/>
          <c:showPercent val="0"/>
          <c:showBubbleSize val="0"/>
        </c:dLbls>
        <c:axId val="1596755552"/>
        <c:axId val="1596761312"/>
      </c:scatterChart>
      <c:valAx>
        <c:axId val="1596755552"/>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crossBetween val="midCat"/>
      </c:valAx>
      <c:valAx>
        <c:axId val="15967613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Bubble chart</a:t>
            </a:r>
            <a:r>
              <a:rPr lang="en-US" baseline="0"/>
              <a:t> with different sizes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ubbleChart>
        <c:varyColors val="0"/>
        <c:ser>
          <c:idx val="0"/>
          <c:order val="0"/>
          <c:tx>
            <c:strRef>
              <c:f>'6. Charts'!$B$5</c:f>
              <c:strCache>
                <c:ptCount val="1"/>
                <c:pt idx="0">
                  <c:v>Data 1</c:v>
                </c:pt>
              </c:strCache>
            </c:strRef>
          </c:tx>
          <c:spPr>
            <a:solidFill>
              <a:schemeClr val="accent1">
                <a:alpha val="75000"/>
              </a:schemeClr>
            </a:solidFill>
            <a:ln w="25400">
              <a:noFill/>
            </a:ln>
            <a:effectLst/>
          </c:spPr>
          <c:invertIfNegative val="0"/>
          <c:x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xVal>
          <c:y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yVal>
          <c:bubbleSize>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bubbleSize>
          <c:bubble3D val="0"/>
          <c:extLst>
            <c:ext xmlns:c16="http://schemas.microsoft.com/office/drawing/2014/chart" uri="{C3380CC4-5D6E-409C-BE32-E72D297353CC}">
              <c16:uniqueId val="{00000000-230D-4A27-AE22-91C57CB98ED5}"/>
            </c:ext>
          </c:extLst>
        </c:ser>
        <c:dLbls>
          <c:showLegendKey val="0"/>
          <c:showVal val="0"/>
          <c:showCatName val="0"/>
          <c:showSerName val="0"/>
          <c:showPercent val="0"/>
          <c:showBubbleSize val="0"/>
        </c:dLbls>
        <c:bubbleScale val="100"/>
        <c:showNegBubbles val="0"/>
        <c:axId val="364199663"/>
        <c:axId val="364192463"/>
      </c:bubbleChart>
      <c:valAx>
        <c:axId val="364199663"/>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192463"/>
        <c:crosses val="autoZero"/>
        <c:crossBetween val="midCat"/>
      </c:valAx>
      <c:valAx>
        <c:axId val="3641924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19966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Mixed: Area, Column,</a:t>
            </a:r>
            <a:r>
              <a:rPr lang="en-GB" baseline="0"/>
              <a:t> Line, Scatter</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areaChart>
        <c:grouping val="standard"/>
        <c:varyColors val="0"/>
        <c:ser>
          <c:idx val="2"/>
          <c:order val="1"/>
          <c:tx>
            <c:strRef>
              <c:f>'6. Charts'!$C$5</c:f>
              <c:strCache>
                <c:ptCount val="1"/>
                <c:pt idx="0">
                  <c:v>Data 2</c:v>
                </c:pt>
              </c:strCache>
            </c:strRef>
          </c:tx>
          <c:spPr>
            <a:solidFill>
              <a:schemeClr val="accent3"/>
            </a:solidFill>
            <a:ln>
              <a:noFill/>
            </a:ln>
            <a:effectLst/>
          </c:spP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Charts'!$C$6:$C$49</c:f>
              <c:numCache>
                <c:formatCode>#,##0.00</c:formatCode>
                <c:ptCount val="44"/>
                <c:pt idx="0">
                  <c:v>1.8109214372981315</c:v>
                </c:pt>
                <c:pt idx="1">
                  <c:v>2.5905737989007691</c:v>
                </c:pt>
                <c:pt idx="2">
                  <c:v>1.8142262935476663</c:v>
                </c:pt>
                <c:pt idx="3">
                  <c:v>1.9550141650678929</c:v>
                </c:pt>
                <c:pt idx="4">
                  <c:v>2.8363339306848254</c:v>
                </c:pt>
                <c:pt idx="5">
                  <c:v>2.1596363152368427</c:v>
                </c:pt>
                <c:pt idx="6">
                  <c:v>1.9599325373471794</c:v>
                </c:pt>
                <c:pt idx="7">
                  <c:v>1.875014876681754</c:v>
                </c:pt>
                <c:pt idx="8">
                  <c:v>1.7917186200425816</c:v>
                </c:pt>
                <c:pt idx="9">
                  <c:v>0.44552623141760328</c:v>
                </c:pt>
                <c:pt idx="10">
                  <c:v>2.8153261591835714</c:v>
                </c:pt>
                <c:pt idx="11">
                  <c:v>1.4053785810924828</c:v>
                </c:pt>
                <c:pt idx="12">
                  <c:v>2.5741667309607252</c:v>
                </c:pt>
                <c:pt idx="13">
                  <c:v>2.5622602011899778</c:v>
                </c:pt>
                <c:pt idx="14">
                  <c:v>2.7485502859952482</c:v>
                </c:pt>
                <c:pt idx="15">
                  <c:v>9.3779590993076201E-2</c:v>
                </c:pt>
                <c:pt idx="16">
                  <c:v>2.9788967610697545</c:v>
                </c:pt>
                <c:pt idx="17">
                  <c:v>2.9496437594343314</c:v>
                </c:pt>
                <c:pt idx="18">
                  <c:v>4.2043461718417219E-2</c:v>
                </c:pt>
                <c:pt idx="19">
                  <c:v>2.8917730838956124</c:v>
                </c:pt>
                <c:pt idx="20">
                  <c:v>1.9999379201029699</c:v>
                </c:pt>
                <c:pt idx="21">
                  <c:v>0.84491926684303353</c:v>
                </c:pt>
                <c:pt idx="22">
                  <c:v>1.9883541494724741</c:v>
                </c:pt>
                <c:pt idx="23">
                  <c:v>2.0982753709135715</c:v>
                </c:pt>
                <c:pt idx="24">
                  <c:v>0.11478237085731069</c:v>
                </c:pt>
                <c:pt idx="25">
                  <c:v>0.39021720267095206</c:v>
                </c:pt>
                <c:pt idx="26">
                  <c:v>2.7287134654179281</c:v>
                </c:pt>
                <c:pt idx="27">
                  <c:v>0.63618417138910355</c:v>
                </c:pt>
                <c:pt idx="28">
                  <c:v>2.2069290019763321</c:v>
                </c:pt>
                <c:pt idx="29">
                  <c:v>0.50173815733843996</c:v>
                </c:pt>
                <c:pt idx="30">
                  <c:v>1.9618935058689135</c:v>
                </c:pt>
                <c:pt idx="31">
                  <c:v>0.27848121516603996</c:v>
                </c:pt>
                <c:pt idx="32">
                  <c:v>2.0345714347173249</c:v>
                </c:pt>
                <c:pt idx="33">
                  <c:v>0.32276640359913511</c:v>
                </c:pt>
                <c:pt idx="34">
                  <c:v>1.0553036448004516</c:v>
                </c:pt>
                <c:pt idx="35">
                  <c:v>1.0415518072153302</c:v>
                </c:pt>
                <c:pt idx="36">
                  <c:v>0.73324271528591056</c:v>
                </c:pt>
                <c:pt idx="37">
                  <c:v>0.72673451456429117</c:v>
                </c:pt>
                <c:pt idx="38">
                  <c:v>2.5846117410114227</c:v>
                </c:pt>
                <c:pt idx="39">
                  <c:v>0.3676493154073206</c:v>
                </c:pt>
                <c:pt idx="40">
                  <c:v>1.3885648278661464</c:v>
                </c:pt>
                <c:pt idx="41">
                  <c:v>1.1818591336976039</c:v>
                </c:pt>
                <c:pt idx="42">
                  <c:v>0.18444621686123341</c:v>
                </c:pt>
                <c:pt idx="43">
                  <c:v>0.43911508427168433</c:v>
                </c:pt>
              </c:numCache>
            </c:numRef>
          </c:val>
          <c:extLst>
            <c:ext xmlns:c16="http://schemas.microsoft.com/office/drawing/2014/chart" uri="{C3380CC4-5D6E-409C-BE32-E72D297353CC}">
              <c16:uniqueId val="{00000000-A873-4E4B-8925-6DFF14E978FC}"/>
            </c:ext>
          </c:extLst>
        </c:ser>
        <c:dLbls>
          <c:showLegendKey val="0"/>
          <c:showVal val="0"/>
          <c:showCatName val="0"/>
          <c:showSerName val="0"/>
          <c:showPercent val="0"/>
          <c:showBubbleSize val="0"/>
        </c:dLbls>
        <c:axId val="1596755552"/>
        <c:axId val="1596761312"/>
      </c:areaChart>
      <c:barChart>
        <c:barDir val="col"/>
        <c:grouping val="clustered"/>
        <c:varyColors val="0"/>
        <c:ser>
          <c:idx val="1"/>
          <c:order val="0"/>
          <c:tx>
            <c:strRef>
              <c:f>'6. Charts'!$B$5</c:f>
              <c:strCache>
                <c:ptCount val="1"/>
                <c:pt idx="0">
                  <c:v>Data 1</c:v>
                </c:pt>
              </c:strCache>
            </c:strRef>
          </c:tx>
          <c:spPr>
            <a:solidFill>
              <a:schemeClr val="accent2"/>
            </a:solidFill>
            <a:ln>
              <a:noFill/>
            </a:ln>
            <a:effectLst/>
          </c:spPr>
          <c:invertIfNegative val="0"/>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Charts'!$B$6:$B$49</c:f>
              <c:numCache>
                <c:formatCode>#,##0.00</c:formatCode>
                <c:ptCount val="44"/>
                <c:pt idx="0">
                  <c:v>2</c:v>
                </c:pt>
                <c:pt idx="1">
                  <c:v>-1</c:v>
                </c:pt>
                <c:pt idx="2">
                  <c:v>4</c:v>
                </c:pt>
                <c:pt idx="3">
                  <c:v>-1</c:v>
                </c:pt>
                <c:pt idx="4">
                  <c:v>4</c:v>
                </c:pt>
                <c:pt idx="5">
                  <c:v>5</c:v>
                </c:pt>
                <c:pt idx="6">
                  <c:v>5</c:v>
                </c:pt>
                <c:pt idx="7">
                  <c:v>2</c:v>
                </c:pt>
                <c:pt idx="8">
                  <c:v>-2</c:v>
                </c:pt>
                <c:pt idx="9">
                  <c:v>-1</c:v>
                </c:pt>
                <c:pt idx="10">
                  <c:v>-2</c:v>
                </c:pt>
                <c:pt idx="11">
                  <c:v>1</c:v>
                </c:pt>
                <c:pt idx="12">
                  <c:v>0</c:v>
                </c:pt>
                <c:pt idx="13">
                  <c:v>-3</c:v>
                </c:pt>
                <c:pt idx="14">
                  <c:v>-2</c:v>
                </c:pt>
                <c:pt idx="15">
                  <c:v>4</c:v>
                </c:pt>
                <c:pt idx="16">
                  <c:v>0</c:v>
                </c:pt>
                <c:pt idx="17">
                  <c:v>-1</c:v>
                </c:pt>
                <c:pt idx="18">
                  <c:v>-4</c:v>
                </c:pt>
                <c:pt idx="19">
                  <c:v>0</c:v>
                </c:pt>
                <c:pt idx="20">
                  <c:v>-2</c:v>
                </c:pt>
                <c:pt idx="21">
                  <c:v>-2</c:v>
                </c:pt>
                <c:pt idx="22">
                  <c:v>5</c:v>
                </c:pt>
                <c:pt idx="23">
                  <c:v>2</c:v>
                </c:pt>
                <c:pt idx="24">
                  <c:v>2</c:v>
                </c:pt>
                <c:pt idx="25">
                  <c:v>1</c:v>
                </c:pt>
                <c:pt idx="26">
                  <c:v>-2</c:v>
                </c:pt>
                <c:pt idx="27">
                  <c:v>3</c:v>
                </c:pt>
                <c:pt idx="28">
                  <c:v>2</c:v>
                </c:pt>
                <c:pt idx="29">
                  <c:v>-5</c:v>
                </c:pt>
                <c:pt idx="30">
                  <c:v>0</c:v>
                </c:pt>
                <c:pt idx="31">
                  <c:v>5</c:v>
                </c:pt>
                <c:pt idx="32">
                  <c:v>-5</c:v>
                </c:pt>
                <c:pt idx="33">
                  <c:v>-2</c:v>
                </c:pt>
                <c:pt idx="34">
                  <c:v>-5</c:v>
                </c:pt>
                <c:pt idx="35">
                  <c:v>3</c:v>
                </c:pt>
                <c:pt idx="36">
                  <c:v>4</c:v>
                </c:pt>
                <c:pt idx="37">
                  <c:v>3</c:v>
                </c:pt>
                <c:pt idx="38">
                  <c:v>0</c:v>
                </c:pt>
                <c:pt idx="39">
                  <c:v>-4</c:v>
                </c:pt>
                <c:pt idx="40">
                  <c:v>5</c:v>
                </c:pt>
                <c:pt idx="41">
                  <c:v>-4</c:v>
                </c:pt>
                <c:pt idx="42">
                  <c:v>4</c:v>
                </c:pt>
                <c:pt idx="43">
                  <c:v>1</c:v>
                </c:pt>
              </c:numCache>
            </c:numRef>
          </c:val>
          <c:extLst>
            <c:ext xmlns:c16="http://schemas.microsoft.com/office/drawing/2014/chart" uri="{C3380CC4-5D6E-409C-BE32-E72D297353CC}">
              <c16:uniqueId val="{00000001-A873-4E4B-8925-6DFF14E978FC}"/>
            </c:ext>
          </c:extLst>
        </c:ser>
        <c:dLbls>
          <c:showLegendKey val="0"/>
          <c:showVal val="0"/>
          <c:showCatName val="0"/>
          <c:showSerName val="0"/>
          <c:showPercent val="0"/>
          <c:showBubbleSize val="0"/>
        </c:dLbls>
        <c:gapWidth val="150"/>
        <c:axId val="1596755552"/>
        <c:axId val="1596761312"/>
      </c:barChart>
      <c:lineChart>
        <c:grouping val="standard"/>
        <c:varyColors val="0"/>
        <c:ser>
          <c:idx val="3"/>
          <c:order val="2"/>
          <c:tx>
            <c:strRef>
              <c:f>'6. Charts'!$D$5</c:f>
              <c:strCache>
                <c:ptCount val="1"/>
                <c:pt idx="0">
                  <c:v>Data 3</c:v>
                </c:pt>
              </c:strCache>
            </c:strRef>
          </c:tx>
          <c:spPr>
            <a:ln w="28575" cap="rnd">
              <a:solidFill>
                <a:schemeClr val="accent4"/>
              </a:solidFill>
              <a:round/>
            </a:ln>
            <a:effectLst/>
          </c:spPr>
          <c:marker>
            <c:symbol val="none"/>
          </c:marker>
          <c:cat>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cat>
          <c:val>
            <c:numRef>
              <c:f>'6. Charts'!$D$6:$D$49</c:f>
              <c:numCache>
                <c:formatCode>#,##0.00</c:formatCode>
                <c:ptCount val="44"/>
                <c:pt idx="0">
                  <c:v>3.8142053619659535</c:v>
                </c:pt>
                <c:pt idx="1">
                  <c:v>7.8693798891939446</c:v>
                </c:pt>
                <c:pt idx="2">
                  <c:v>2.092017049945547</c:v>
                </c:pt>
                <c:pt idx="3">
                  <c:v>8.3200751839804798</c:v>
                </c:pt>
                <c:pt idx="4">
                  <c:v>6.211213271338865</c:v>
                </c:pt>
                <c:pt idx="5">
                  <c:v>0.89690823635206085</c:v>
                </c:pt>
                <c:pt idx="6">
                  <c:v>3.5676022907838592</c:v>
                </c:pt>
                <c:pt idx="7">
                  <c:v>0.15475364784804269</c:v>
                </c:pt>
                <c:pt idx="8">
                  <c:v>0.84632906110049366</c:v>
                </c:pt>
                <c:pt idx="9">
                  <c:v>3.8123899189198651</c:v>
                </c:pt>
                <c:pt idx="10">
                  <c:v>1.4016699417898049</c:v>
                </c:pt>
                <c:pt idx="11">
                  <c:v>5.912547565525359</c:v>
                </c:pt>
                <c:pt idx="12">
                  <c:v>4.6358807386385816</c:v>
                </c:pt>
                <c:pt idx="13">
                  <c:v>6.714489127724371</c:v>
                </c:pt>
                <c:pt idx="14">
                  <c:v>5.3358632489228484</c:v>
                </c:pt>
                <c:pt idx="15">
                  <c:v>6.7742326635337236</c:v>
                </c:pt>
                <c:pt idx="16">
                  <c:v>7.4212839803512924</c:v>
                </c:pt>
                <c:pt idx="17">
                  <c:v>2.5024349903241392</c:v>
                </c:pt>
                <c:pt idx="18">
                  <c:v>4.9238457073952988</c:v>
                </c:pt>
                <c:pt idx="19">
                  <c:v>2.4795234894810392</c:v>
                </c:pt>
                <c:pt idx="20">
                  <c:v>0.88527709558692602</c:v>
                </c:pt>
                <c:pt idx="21">
                  <c:v>3.4355207351112602</c:v>
                </c:pt>
                <c:pt idx="22">
                  <c:v>5.4516765151590931</c:v>
                </c:pt>
                <c:pt idx="23">
                  <c:v>4.1786254072598457</c:v>
                </c:pt>
                <c:pt idx="24">
                  <c:v>3.3850317199417468</c:v>
                </c:pt>
                <c:pt idx="25">
                  <c:v>9.0600681993983994</c:v>
                </c:pt>
                <c:pt idx="26">
                  <c:v>3.4948126228094898</c:v>
                </c:pt>
                <c:pt idx="27">
                  <c:v>2.7074059326877356</c:v>
                </c:pt>
                <c:pt idx="28">
                  <c:v>5.1237431334005894</c:v>
                </c:pt>
                <c:pt idx="29">
                  <c:v>3.7592166746530098</c:v>
                </c:pt>
                <c:pt idx="30">
                  <c:v>9.4280057220096154</c:v>
                </c:pt>
                <c:pt idx="31">
                  <c:v>2.5282354608785393</c:v>
                </c:pt>
                <c:pt idx="32">
                  <c:v>0.4332367863427744</c:v>
                </c:pt>
                <c:pt idx="33">
                  <c:v>5.3763937328217626</c:v>
                </c:pt>
                <c:pt idx="34">
                  <c:v>8.4434090802367123</c:v>
                </c:pt>
                <c:pt idx="35">
                  <c:v>8.3935336833090748</c:v>
                </c:pt>
                <c:pt idx="36">
                  <c:v>1.6434409096585889</c:v>
                </c:pt>
                <c:pt idx="37">
                  <c:v>0.47272517020168436</c:v>
                </c:pt>
                <c:pt idx="38">
                  <c:v>1.6735700189346414</c:v>
                </c:pt>
                <c:pt idx="39">
                  <c:v>4.8538296270728907</c:v>
                </c:pt>
                <c:pt idx="40">
                  <c:v>4.6698327346125108</c:v>
                </c:pt>
                <c:pt idx="41">
                  <c:v>8.2441451067236198</c:v>
                </c:pt>
                <c:pt idx="42">
                  <c:v>4.5020291525664913</c:v>
                </c:pt>
                <c:pt idx="43">
                  <c:v>6.6451210924288446</c:v>
                </c:pt>
              </c:numCache>
            </c:numRef>
          </c:val>
          <c:smooth val="0"/>
          <c:extLst>
            <c:ext xmlns:c16="http://schemas.microsoft.com/office/drawing/2014/chart" uri="{C3380CC4-5D6E-409C-BE32-E72D297353CC}">
              <c16:uniqueId val="{00000002-A873-4E4B-8925-6DFF14E978FC}"/>
            </c:ext>
          </c:extLst>
        </c:ser>
        <c:dLbls>
          <c:showLegendKey val="0"/>
          <c:showVal val="0"/>
          <c:showCatName val="0"/>
          <c:showSerName val="0"/>
          <c:showPercent val="0"/>
          <c:showBubbleSize val="0"/>
        </c:dLbls>
        <c:marker val="1"/>
        <c:smooth val="0"/>
        <c:axId val="1596755552"/>
        <c:axId val="1596761312"/>
      </c:lineChart>
      <c:scatterChart>
        <c:scatterStyle val="lineMarker"/>
        <c:varyColors val="0"/>
        <c:ser>
          <c:idx val="4"/>
          <c:order val="3"/>
          <c:tx>
            <c:strRef>
              <c:f>'6. Charts'!$E$5</c:f>
              <c:strCache>
                <c:ptCount val="1"/>
                <c:pt idx="0">
                  <c:v>Data 4</c:v>
                </c:pt>
              </c:strCache>
            </c:strRef>
          </c:tx>
          <c:spPr>
            <a:ln w="25400" cap="rnd">
              <a:noFill/>
              <a:round/>
            </a:ln>
            <a:effectLst/>
          </c:spPr>
          <c:marker>
            <c:symbol val="circle"/>
            <c:size val="5"/>
            <c:spPr>
              <a:solidFill>
                <a:schemeClr val="accent5"/>
              </a:solidFill>
              <a:ln w="9525">
                <a:solidFill>
                  <a:schemeClr val="accent5"/>
                </a:solidFill>
              </a:ln>
              <a:effectLst/>
            </c:spPr>
          </c:marker>
          <c:xVal>
            <c:numRef>
              <c:f>'6. Charts'!$A$6:$A$49</c:f>
              <c:numCache>
                <c:formatCode>#,##0</c:formatCode>
                <c:ptCount val="4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numCache>
            </c:numRef>
          </c:xVal>
          <c:yVal>
            <c:numRef>
              <c:f>'6. Charts'!$E$6:$E$49</c:f>
              <c:numCache>
                <c:formatCode>#,##0.00</c:formatCode>
                <c:ptCount val="44"/>
                <c:pt idx="0">
                  <c:v>1.0535863885888921</c:v>
                </c:pt>
                <c:pt idx="1">
                  <c:v>-1.0937479096589318</c:v>
                </c:pt>
                <c:pt idx="2">
                  <c:v>21.436142209616996</c:v>
                </c:pt>
                <c:pt idx="3">
                  <c:v>-0.81114673752533961</c:v>
                </c:pt>
                <c:pt idx="4">
                  <c:v>1.7427168115770999</c:v>
                </c:pt>
                <c:pt idx="5">
                  <c:v>9.7998375208759789</c:v>
                </c:pt>
                <c:pt idx="6">
                  <c:v>2.6383475194258241</c:v>
                </c:pt>
                <c:pt idx="7">
                  <c:v>1.9667171440659352</c:v>
                </c:pt>
                <c:pt idx="8">
                  <c:v>-1.6572157673278893</c:v>
                </c:pt>
                <c:pt idx="9">
                  <c:v>-1.0721601939677019</c:v>
                </c:pt>
                <c:pt idx="10">
                  <c:v>-1.3667979593696533</c:v>
                </c:pt>
                <c:pt idx="11">
                  <c:v>3.7543815003844063</c:v>
                </c:pt>
                <c:pt idx="12">
                  <c:v>0</c:v>
                </c:pt>
                <c:pt idx="13">
                  <c:v>-7.0581234960348986</c:v>
                </c:pt>
                <c:pt idx="14">
                  <c:v>-2.382027490382121</c:v>
                </c:pt>
                <c:pt idx="15">
                  <c:v>8.9091714761648007</c:v>
                </c:pt>
                <c:pt idx="16">
                  <c:v>0</c:v>
                </c:pt>
                <c:pt idx="17">
                  <c:v>-0.56835412136087005</c:v>
                </c:pt>
                <c:pt idx="18">
                  <c:v>-2.8761874412424495</c:v>
                </c:pt>
                <c:pt idx="19">
                  <c:v>0</c:v>
                </c:pt>
                <c:pt idx="20">
                  <c:v>-1.0641587757944062</c:v>
                </c:pt>
                <c:pt idx="21">
                  <c:v>-1.4771883087268423</c:v>
                </c:pt>
                <c:pt idx="22">
                  <c:v>4.8113779209706999</c:v>
                </c:pt>
                <c:pt idx="23">
                  <c:v>2.297296339337628</c:v>
                </c:pt>
                <c:pt idx="24">
                  <c:v>1.2602684623351494</c:v>
                </c:pt>
                <c:pt idx="25">
                  <c:v>1.0110366391300989</c:v>
                </c:pt>
                <c:pt idx="26">
                  <c:v>-5.8299167359071875</c:v>
                </c:pt>
                <c:pt idx="27">
                  <c:v>8.6896473619859993</c:v>
                </c:pt>
                <c:pt idx="28">
                  <c:v>3.3840281939889536</c:v>
                </c:pt>
                <c:pt idx="29">
                  <c:v>-3.1115125260320426</c:v>
                </c:pt>
                <c:pt idx="30">
                  <c:v>0</c:v>
                </c:pt>
                <c:pt idx="31">
                  <c:v>2.5432131685481982</c:v>
                </c:pt>
                <c:pt idx="32">
                  <c:v>-2.533567579017987</c:v>
                </c:pt>
                <c:pt idx="33">
                  <c:v>-2.9546624453981676</c:v>
                </c:pt>
                <c:pt idx="34">
                  <c:v>-0.91017341412450004</c:v>
                </c:pt>
                <c:pt idx="35">
                  <c:v>3.0839267191792028</c:v>
                </c:pt>
                <c:pt idx="36">
                  <c:v>2.143960764507022</c:v>
                </c:pt>
                <c:pt idx="37">
                  <c:v>2.6838478218474151</c:v>
                </c:pt>
                <c:pt idx="38">
                  <c:v>0</c:v>
                </c:pt>
                <c:pt idx="39">
                  <c:v>-7.9571479379693519</c:v>
                </c:pt>
                <c:pt idx="40">
                  <c:v>4.6465086136534381</c:v>
                </c:pt>
                <c:pt idx="41">
                  <c:v>-3.0194676687115347</c:v>
                </c:pt>
                <c:pt idx="42">
                  <c:v>2.2154595164630355</c:v>
                </c:pt>
                <c:pt idx="43">
                  <c:v>0.60138159504017319</c:v>
                </c:pt>
              </c:numCache>
            </c:numRef>
          </c:yVal>
          <c:smooth val="0"/>
          <c:extLst>
            <c:ext xmlns:c16="http://schemas.microsoft.com/office/drawing/2014/chart" uri="{C3380CC4-5D6E-409C-BE32-E72D297353CC}">
              <c16:uniqueId val="{00000003-A873-4E4B-8925-6DFF14E978FC}"/>
            </c:ext>
          </c:extLst>
        </c:ser>
        <c:dLbls>
          <c:showLegendKey val="0"/>
          <c:showVal val="0"/>
          <c:showCatName val="0"/>
          <c:showSerName val="0"/>
          <c:showPercent val="0"/>
          <c:showBubbleSize val="0"/>
        </c:dLbls>
        <c:axId val="1596755552"/>
        <c:axId val="1596761312"/>
      </c:scatterChart>
      <c:catAx>
        <c:axId val="1596755552"/>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61312"/>
        <c:crosses val="autoZero"/>
        <c:auto val="1"/>
        <c:lblAlgn val="ctr"/>
        <c:lblOffset val="100"/>
        <c:noMultiLvlLbl val="0"/>
      </c:catAx>
      <c:valAx>
        <c:axId val="15967613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7555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2</a:t>
            </a:r>
            <a:r>
              <a:rPr lang="en-GB" baseline="0"/>
              <a:t> y-axes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tx>
            <c:strRef>
              <c:f>'6. Charts'!$B$403</c:f>
              <c:strCache>
                <c:ptCount val="1"/>
                <c:pt idx="0">
                  <c:v>Data</c:v>
                </c:pt>
              </c:strCache>
            </c:strRef>
          </c:tx>
          <c:spPr>
            <a:ln w="28575" cap="rnd">
              <a:solidFill>
                <a:schemeClr val="accent1"/>
              </a:solidFill>
              <a:round/>
            </a:ln>
            <a:effectLst/>
          </c:spPr>
          <c:marker>
            <c:symbol val="none"/>
          </c:marker>
          <c:cat>
            <c:numRef>
              <c:f>'6. Charts'!$A$404:$A$419</c:f>
              <c:numCache>
                <c:formatCode>m/d/yyyy</c:formatCode>
                <c:ptCount val="16"/>
                <c:pt idx="0">
                  <c:v>45292</c:v>
                </c:pt>
                <c:pt idx="1">
                  <c:v>45293</c:v>
                </c:pt>
                <c:pt idx="2">
                  <c:v>45294</c:v>
                </c:pt>
                <c:pt idx="3">
                  <c:v>45295</c:v>
                </c:pt>
                <c:pt idx="4">
                  <c:v>45296</c:v>
                </c:pt>
                <c:pt idx="5">
                  <c:v>45297</c:v>
                </c:pt>
                <c:pt idx="6">
                  <c:v>45298</c:v>
                </c:pt>
                <c:pt idx="7">
                  <c:v>45299</c:v>
                </c:pt>
                <c:pt idx="8">
                  <c:v>45300</c:v>
                </c:pt>
                <c:pt idx="9">
                  <c:v>45301</c:v>
                </c:pt>
                <c:pt idx="10">
                  <c:v>45302</c:v>
                </c:pt>
                <c:pt idx="11">
                  <c:v>45303</c:v>
                </c:pt>
                <c:pt idx="12">
                  <c:v>45304</c:v>
                </c:pt>
                <c:pt idx="13">
                  <c:v>45305</c:v>
                </c:pt>
                <c:pt idx="14">
                  <c:v>45306</c:v>
                </c:pt>
                <c:pt idx="15">
                  <c:v>45307</c:v>
                </c:pt>
              </c:numCache>
            </c:numRef>
          </c:cat>
          <c:val>
            <c:numRef>
              <c:f>'6. Charts'!$B$404:$B$419</c:f>
              <c:numCache>
                <c:formatCode>#,##0.00</c:formatCode>
                <c:ptCount val="16"/>
                <c:pt idx="0">
                  <c:v>4.6358807386385816</c:v>
                </c:pt>
                <c:pt idx="1">
                  <c:v>6.714489127724371</c:v>
                </c:pt>
                <c:pt idx="2">
                  <c:v>5.3358632489228484</c:v>
                </c:pt>
                <c:pt idx="3">
                  <c:v>6.7742326635337236</c:v>
                </c:pt>
                <c:pt idx="4">
                  <c:v>7.4212839803512924</c:v>
                </c:pt>
                <c:pt idx="5">
                  <c:v>2.5024349903241392</c:v>
                </c:pt>
                <c:pt idx="6">
                  <c:v>4.9238457073952988</c:v>
                </c:pt>
                <c:pt idx="7">
                  <c:v>2.4795234894810392</c:v>
                </c:pt>
                <c:pt idx="8">
                  <c:v>0.88527709558692602</c:v>
                </c:pt>
                <c:pt idx="9">
                  <c:v>1.43552073511126</c:v>
                </c:pt>
                <c:pt idx="10">
                  <c:v>2.45167651515909</c:v>
                </c:pt>
                <c:pt idx="11">
                  <c:v>4.1786254072598457</c:v>
                </c:pt>
                <c:pt idx="12">
                  <c:v>3.3850317199417468</c:v>
                </c:pt>
                <c:pt idx="13">
                  <c:v>4.0600681993984002</c:v>
                </c:pt>
                <c:pt idx="14">
                  <c:v>3.4948126228094898</c:v>
                </c:pt>
                <c:pt idx="15">
                  <c:v>2.7074059326877356</c:v>
                </c:pt>
              </c:numCache>
            </c:numRef>
          </c:val>
          <c:smooth val="0"/>
          <c:extLst>
            <c:ext xmlns:c16="http://schemas.microsoft.com/office/drawing/2014/chart" uri="{C3380CC4-5D6E-409C-BE32-E72D297353CC}">
              <c16:uniqueId val="{00000000-E4A5-41B0-86A7-27CA20DCB587}"/>
            </c:ext>
          </c:extLst>
        </c:ser>
        <c:dLbls>
          <c:showLegendKey val="0"/>
          <c:showVal val="0"/>
          <c:showCatName val="0"/>
          <c:showSerName val="0"/>
          <c:showPercent val="0"/>
          <c:showBubbleSize val="0"/>
        </c:dLbls>
        <c:marker val="1"/>
        <c:smooth val="0"/>
        <c:axId val="231994335"/>
        <c:axId val="231994815"/>
      </c:lineChart>
      <c:lineChart>
        <c:grouping val="standard"/>
        <c:varyColors val="0"/>
        <c:ser>
          <c:idx val="1"/>
          <c:order val="1"/>
          <c:tx>
            <c:strRef>
              <c:f>'6. Charts'!$C$403</c:f>
              <c:strCache>
                <c:ptCount val="1"/>
                <c:pt idx="0">
                  <c:v>Change (%)</c:v>
                </c:pt>
              </c:strCache>
            </c:strRef>
          </c:tx>
          <c:spPr>
            <a:ln w="28575" cap="rnd">
              <a:solidFill>
                <a:schemeClr val="accent2"/>
              </a:solidFill>
              <a:round/>
            </a:ln>
            <a:effectLst/>
          </c:spPr>
          <c:marker>
            <c:symbol val="none"/>
          </c:marker>
          <c:cat>
            <c:numRef>
              <c:f>'6. Charts'!$A$404:$A$419</c:f>
              <c:numCache>
                <c:formatCode>m/d/yyyy</c:formatCode>
                <c:ptCount val="16"/>
                <c:pt idx="0">
                  <c:v>45292</c:v>
                </c:pt>
                <c:pt idx="1">
                  <c:v>45293</c:v>
                </c:pt>
                <c:pt idx="2">
                  <c:v>45294</c:v>
                </c:pt>
                <c:pt idx="3">
                  <c:v>45295</c:v>
                </c:pt>
                <c:pt idx="4">
                  <c:v>45296</c:v>
                </c:pt>
                <c:pt idx="5">
                  <c:v>45297</c:v>
                </c:pt>
                <c:pt idx="6">
                  <c:v>45298</c:v>
                </c:pt>
                <c:pt idx="7">
                  <c:v>45299</c:v>
                </c:pt>
                <c:pt idx="8">
                  <c:v>45300</c:v>
                </c:pt>
                <c:pt idx="9">
                  <c:v>45301</c:v>
                </c:pt>
                <c:pt idx="10">
                  <c:v>45302</c:v>
                </c:pt>
                <c:pt idx="11">
                  <c:v>45303</c:v>
                </c:pt>
                <c:pt idx="12">
                  <c:v>45304</c:v>
                </c:pt>
                <c:pt idx="13">
                  <c:v>45305</c:v>
                </c:pt>
                <c:pt idx="14">
                  <c:v>45306</c:v>
                </c:pt>
                <c:pt idx="15">
                  <c:v>45307</c:v>
                </c:pt>
              </c:numCache>
            </c:numRef>
          </c:cat>
          <c:val>
            <c:numRef>
              <c:f>'6. Charts'!$C$404:$C$419</c:f>
              <c:numCache>
                <c:formatCode>0%</c:formatCode>
                <c:ptCount val="16"/>
                <c:pt idx="1">
                  <c:v>0.44837399973671754</c:v>
                </c:pt>
                <c:pt idx="2">
                  <c:v>-0.20532103821705894</c:v>
                </c:pt>
                <c:pt idx="3">
                  <c:v>0.26956639394782833</c:v>
                </c:pt>
                <c:pt idx="4">
                  <c:v>9.5516547623275772E-2</c:v>
                </c:pt>
                <c:pt idx="5">
                  <c:v>-0.66280296011449968</c:v>
                </c:pt>
                <c:pt idx="6">
                  <c:v>0.96762182691407927</c:v>
                </c:pt>
                <c:pt idx="7">
                  <c:v>-0.4964254290590473</c:v>
                </c:pt>
                <c:pt idx="8">
                  <c:v>-0.64296482798305199</c:v>
                </c:pt>
                <c:pt idx="9">
                  <c:v>0.62154961680052323</c:v>
                </c:pt>
                <c:pt idx="10">
                  <c:v>0.70786562338932213</c:v>
                </c:pt>
                <c:pt idx="11">
                  <c:v>0.70439508696305042</c:v>
                </c:pt>
                <c:pt idx="12">
                  <c:v>-0.18991740344547947</c:v>
                </c:pt>
                <c:pt idx="13">
                  <c:v>0.19941806615279511</c:v>
                </c:pt>
                <c:pt idx="14">
                  <c:v>-0.1392231728207588</c:v>
                </c:pt>
                <c:pt idx="15">
                  <c:v>-0.22530726968954229</c:v>
                </c:pt>
              </c:numCache>
            </c:numRef>
          </c:val>
          <c:smooth val="0"/>
          <c:extLst>
            <c:ext xmlns:c16="http://schemas.microsoft.com/office/drawing/2014/chart" uri="{C3380CC4-5D6E-409C-BE32-E72D297353CC}">
              <c16:uniqueId val="{00000001-E4A5-41B0-86A7-27CA20DCB587}"/>
            </c:ext>
          </c:extLst>
        </c:ser>
        <c:dLbls>
          <c:showLegendKey val="0"/>
          <c:showVal val="0"/>
          <c:showCatName val="0"/>
          <c:showSerName val="0"/>
          <c:showPercent val="0"/>
          <c:showBubbleSize val="0"/>
        </c:dLbls>
        <c:marker val="1"/>
        <c:smooth val="0"/>
        <c:axId val="364191503"/>
        <c:axId val="364192943"/>
      </c:lineChart>
      <c:dateAx>
        <c:axId val="231994335"/>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94815"/>
        <c:crosses val="autoZero"/>
        <c:auto val="1"/>
        <c:lblOffset val="100"/>
        <c:baseTimeUnit val="days"/>
      </c:dateAx>
      <c:valAx>
        <c:axId val="23199481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94335"/>
        <c:crosses val="autoZero"/>
        <c:crossBetween val="between"/>
      </c:valAx>
      <c:valAx>
        <c:axId val="364192943"/>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4191503"/>
        <c:crosses val="max"/>
        <c:crossBetween val="between"/>
      </c:valAx>
      <c:dateAx>
        <c:axId val="364191503"/>
        <c:scaling>
          <c:orientation val="minMax"/>
        </c:scaling>
        <c:delete val="1"/>
        <c:axPos val="b"/>
        <c:numFmt formatCode="m/d/yyyy" sourceLinked="1"/>
        <c:majorTickMark val="out"/>
        <c:minorTickMark val="none"/>
        <c:tickLblPos val="nextTo"/>
        <c:crossAx val="364192943"/>
        <c:crosses val="autoZero"/>
        <c:auto val="1"/>
        <c:lblOffset val="100"/>
        <c:baseTimeUnit val="day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2</a:t>
            </a:r>
            <a:r>
              <a:rPr lang="en-GB" baseline="0"/>
              <a:t> y-axes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tx>
            <c:strRef>
              <c:f>'6. Charts'!$B$403</c:f>
              <c:strCache>
                <c:ptCount val="1"/>
                <c:pt idx="0">
                  <c:v>Data</c:v>
                </c:pt>
              </c:strCache>
            </c:strRef>
          </c:tx>
          <c:spPr>
            <a:ln w="28575" cap="rnd">
              <a:solidFill>
                <a:schemeClr val="accent1"/>
              </a:solidFill>
              <a:round/>
            </a:ln>
            <a:effectLst/>
          </c:spPr>
          <c:marker>
            <c:symbol val="none"/>
          </c:marker>
          <c:cat>
            <c:numRef>
              <c:f>'6. Charts'!$A$404:$A$419</c:f>
              <c:numCache>
                <c:formatCode>m/d/yyyy</c:formatCode>
                <c:ptCount val="16"/>
                <c:pt idx="0">
                  <c:v>45292</c:v>
                </c:pt>
                <c:pt idx="1">
                  <c:v>45293</c:v>
                </c:pt>
                <c:pt idx="2">
                  <c:v>45294</c:v>
                </c:pt>
                <c:pt idx="3">
                  <c:v>45295</c:v>
                </c:pt>
                <c:pt idx="4">
                  <c:v>45296</c:v>
                </c:pt>
                <c:pt idx="5">
                  <c:v>45297</c:v>
                </c:pt>
                <c:pt idx="6">
                  <c:v>45298</c:v>
                </c:pt>
                <c:pt idx="7">
                  <c:v>45299</c:v>
                </c:pt>
                <c:pt idx="8">
                  <c:v>45300</c:v>
                </c:pt>
                <c:pt idx="9">
                  <c:v>45301</c:v>
                </c:pt>
                <c:pt idx="10">
                  <c:v>45302</c:v>
                </c:pt>
                <c:pt idx="11">
                  <c:v>45303</c:v>
                </c:pt>
                <c:pt idx="12">
                  <c:v>45304</c:v>
                </c:pt>
                <c:pt idx="13">
                  <c:v>45305</c:v>
                </c:pt>
                <c:pt idx="14">
                  <c:v>45306</c:v>
                </c:pt>
                <c:pt idx="15">
                  <c:v>45307</c:v>
                </c:pt>
              </c:numCache>
            </c:numRef>
          </c:cat>
          <c:val>
            <c:numRef>
              <c:f>'6. Charts'!$B$404:$B$419</c:f>
              <c:numCache>
                <c:formatCode>#,##0.00</c:formatCode>
                <c:ptCount val="16"/>
                <c:pt idx="0">
                  <c:v>4.6358807386385816</c:v>
                </c:pt>
                <c:pt idx="1">
                  <c:v>6.714489127724371</c:v>
                </c:pt>
                <c:pt idx="2">
                  <c:v>5.3358632489228484</c:v>
                </c:pt>
                <c:pt idx="3">
                  <c:v>6.7742326635337236</c:v>
                </c:pt>
                <c:pt idx="4">
                  <c:v>7.4212839803512924</c:v>
                </c:pt>
                <c:pt idx="5">
                  <c:v>2.5024349903241392</c:v>
                </c:pt>
                <c:pt idx="6">
                  <c:v>4.9238457073952988</c:v>
                </c:pt>
                <c:pt idx="7">
                  <c:v>2.4795234894810392</c:v>
                </c:pt>
                <c:pt idx="8">
                  <c:v>0.88527709558692602</c:v>
                </c:pt>
                <c:pt idx="9">
                  <c:v>1.43552073511126</c:v>
                </c:pt>
                <c:pt idx="10">
                  <c:v>2.45167651515909</c:v>
                </c:pt>
                <c:pt idx="11">
                  <c:v>4.1786254072598457</c:v>
                </c:pt>
                <c:pt idx="12">
                  <c:v>3.3850317199417468</c:v>
                </c:pt>
                <c:pt idx="13">
                  <c:v>4.0600681993984002</c:v>
                </c:pt>
                <c:pt idx="14">
                  <c:v>3.4948126228094898</c:v>
                </c:pt>
                <c:pt idx="15">
                  <c:v>2.7074059326877356</c:v>
                </c:pt>
              </c:numCache>
            </c:numRef>
          </c:val>
          <c:smooth val="0"/>
          <c:extLst>
            <c:ext xmlns:c16="http://schemas.microsoft.com/office/drawing/2014/chart" uri="{C3380CC4-5D6E-409C-BE32-E72D297353CC}">
              <c16:uniqueId val="{00000000-0DD4-4AB2-84E4-2B9D3693202F}"/>
            </c:ext>
          </c:extLst>
        </c:ser>
        <c:dLbls>
          <c:showLegendKey val="0"/>
          <c:showVal val="0"/>
          <c:showCatName val="0"/>
          <c:showSerName val="0"/>
          <c:showPercent val="0"/>
          <c:showBubbleSize val="0"/>
        </c:dLbls>
        <c:smooth val="0"/>
        <c:axId val="231994335"/>
        <c:axId val="231994815"/>
      </c:lineChart>
      <c:dateAx>
        <c:axId val="231994335"/>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94815"/>
        <c:crosses val="autoZero"/>
        <c:auto val="1"/>
        <c:lblOffset val="100"/>
        <c:baseTimeUnit val="days"/>
      </c:dateAx>
      <c:valAx>
        <c:axId val="23199481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quot; !!!!&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994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"High" axis label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'6. Charts'!$K$476:$K$494</c:f>
              <c:numCache>
                <c:formatCode>#,##0</c:formatCode>
                <c:ptCount val="19"/>
                <c:pt idx="0">
                  <c:v>2</c:v>
                </c:pt>
                <c:pt idx="1">
                  <c:v>-1</c:v>
                </c:pt>
                <c:pt idx="2">
                  <c:v>4</c:v>
                </c:pt>
                <c:pt idx="3">
                  <c:v>-1</c:v>
                </c:pt>
                <c:pt idx="4">
                  <c:v>4</c:v>
                </c:pt>
                <c:pt idx="5">
                  <c:v>5</c:v>
                </c:pt>
                <c:pt idx="6">
                  <c:v>5</c:v>
                </c:pt>
                <c:pt idx="7">
                  <c:v>2</c:v>
                </c:pt>
                <c:pt idx="13">
                  <c:v>-3</c:v>
                </c:pt>
                <c:pt idx="14">
                  <c:v>-2</c:v>
                </c:pt>
                <c:pt idx="15">
                  <c:v>4</c:v>
                </c:pt>
                <c:pt idx="16">
                  <c:v>0</c:v>
                </c:pt>
                <c:pt idx="17">
                  <c:v>-1</c:v>
                </c:pt>
                <c:pt idx="18">
                  <c:v>-4</c:v>
                </c:pt>
              </c:numCache>
            </c:numRef>
          </c:val>
          <c:smooth val="0"/>
          <c:extLst>
            <c:ext xmlns:c16="http://schemas.microsoft.com/office/drawing/2014/chart" uri="{C3380CC4-5D6E-409C-BE32-E72D297353CC}">
              <c16:uniqueId val="{00000000-2430-47E3-84C8-8ED53C4F939B}"/>
            </c:ext>
          </c:extLst>
        </c:ser>
        <c:dLbls>
          <c:showLegendKey val="0"/>
          <c:showVal val="0"/>
          <c:showCatName val="0"/>
          <c:showSerName val="0"/>
          <c:showPercent val="0"/>
          <c:showBubbleSize val="0"/>
        </c:dLbls>
        <c:marker val="1"/>
        <c:smooth val="0"/>
        <c:axId val="1865452576"/>
        <c:axId val="1865449216"/>
      </c:lineChart>
      <c:catAx>
        <c:axId val="1865452576"/>
        <c:scaling>
          <c:orientation val="minMax"/>
        </c:scaling>
        <c:delete val="0"/>
        <c:axPos val="b"/>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49216"/>
        <c:crosses val="autoZero"/>
        <c:auto val="1"/>
        <c:lblAlgn val="ctr"/>
        <c:lblOffset val="100"/>
        <c:noMultiLvlLbl val="0"/>
      </c:catAx>
      <c:valAx>
        <c:axId val="186544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5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"Low" axis label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'6. Charts'!$K$476:$K$494</c:f>
              <c:numCache>
                <c:formatCode>#,##0</c:formatCode>
                <c:ptCount val="19"/>
                <c:pt idx="0">
                  <c:v>2</c:v>
                </c:pt>
                <c:pt idx="1">
                  <c:v>-1</c:v>
                </c:pt>
                <c:pt idx="2">
                  <c:v>4</c:v>
                </c:pt>
                <c:pt idx="3">
                  <c:v>-1</c:v>
                </c:pt>
                <c:pt idx="4">
                  <c:v>4</c:v>
                </c:pt>
                <c:pt idx="5">
                  <c:v>5</c:v>
                </c:pt>
                <c:pt idx="6">
                  <c:v>5</c:v>
                </c:pt>
                <c:pt idx="7">
                  <c:v>2</c:v>
                </c:pt>
                <c:pt idx="13">
                  <c:v>-3</c:v>
                </c:pt>
                <c:pt idx="14">
                  <c:v>-2</c:v>
                </c:pt>
                <c:pt idx="15">
                  <c:v>4</c:v>
                </c:pt>
                <c:pt idx="16">
                  <c:v>0</c:v>
                </c:pt>
                <c:pt idx="17">
                  <c:v>-1</c:v>
                </c:pt>
                <c:pt idx="18">
                  <c:v>-4</c:v>
                </c:pt>
              </c:numCache>
            </c:numRef>
          </c:val>
          <c:smooth val="0"/>
          <c:extLst>
            <c:ext xmlns:c16="http://schemas.microsoft.com/office/drawing/2014/chart" uri="{C3380CC4-5D6E-409C-BE32-E72D297353CC}">
              <c16:uniqueId val="{00000000-7E63-4FAF-B0C2-569A3109DD5C}"/>
            </c:ext>
          </c:extLst>
        </c:ser>
        <c:dLbls>
          <c:showLegendKey val="0"/>
          <c:showVal val="0"/>
          <c:showCatName val="0"/>
          <c:showSerName val="0"/>
          <c:showPercent val="0"/>
          <c:showBubbleSize val="0"/>
        </c:dLbls>
        <c:marker val="1"/>
        <c:smooth val="0"/>
        <c:axId val="1865452576"/>
        <c:axId val="1865449216"/>
      </c:lineChart>
      <c:catAx>
        <c:axId val="1865452576"/>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49216"/>
        <c:crosses val="autoZero"/>
        <c:auto val="1"/>
        <c:lblAlgn val="ctr"/>
        <c:lblOffset val="100"/>
        <c:noMultiLvlLbl val="0"/>
      </c:catAx>
      <c:valAx>
        <c:axId val="186544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5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Data labels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Charts'!$K$476:$K$494</c:f>
              <c:numCache>
                <c:formatCode>#,##0</c:formatCode>
                <c:ptCount val="19"/>
                <c:pt idx="0">
                  <c:v>2</c:v>
                </c:pt>
                <c:pt idx="1">
                  <c:v>-1</c:v>
                </c:pt>
                <c:pt idx="2">
                  <c:v>4</c:v>
                </c:pt>
                <c:pt idx="3">
                  <c:v>-1</c:v>
                </c:pt>
                <c:pt idx="4">
                  <c:v>4</c:v>
                </c:pt>
                <c:pt idx="5">
                  <c:v>5</c:v>
                </c:pt>
                <c:pt idx="6">
                  <c:v>5</c:v>
                </c:pt>
                <c:pt idx="7">
                  <c:v>2</c:v>
                </c:pt>
                <c:pt idx="13">
                  <c:v>-3</c:v>
                </c:pt>
                <c:pt idx="14">
                  <c:v>-2</c:v>
                </c:pt>
                <c:pt idx="15">
                  <c:v>4</c:v>
                </c:pt>
                <c:pt idx="16">
                  <c:v>0</c:v>
                </c:pt>
                <c:pt idx="17">
                  <c:v>-1</c:v>
                </c:pt>
                <c:pt idx="18">
                  <c:v>-4</c:v>
                </c:pt>
              </c:numCache>
            </c:numRef>
          </c:val>
          <c:smooth val="0"/>
          <c:extLst>
            <c:ext xmlns:c16="http://schemas.microsoft.com/office/drawing/2014/chart" uri="{C3380CC4-5D6E-409C-BE32-E72D297353CC}">
              <c16:uniqueId val="{00000000-9005-47E0-A4DC-E9CC762F7DD7}"/>
            </c:ext>
          </c:extLst>
        </c:ser>
        <c:dLbls>
          <c:dLblPos val="t"/>
          <c:showLegendKey val="0"/>
          <c:showVal val="1"/>
          <c:showCatName val="0"/>
          <c:showSerName val="0"/>
          <c:showPercent val="0"/>
          <c:showBubbleSize val="0"/>
        </c:dLbls>
        <c:marker val="1"/>
        <c:smooth val="0"/>
        <c:axId val="1865452576"/>
        <c:axId val="1865449216"/>
      </c:lineChart>
      <c:catAx>
        <c:axId val="186545257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49216"/>
        <c:crosses val="autoZero"/>
        <c:auto val="1"/>
        <c:lblAlgn val="ctr"/>
        <c:lblOffset val="100"/>
        <c:noMultiLvlLbl val="0"/>
      </c:catAx>
      <c:valAx>
        <c:axId val="186544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5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Skip</a:t>
            </a:r>
            <a:r>
              <a:rPr lang="en-GB" baseline="0"/>
              <a:t> empty rows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'6. Charts'!$K$476:$K$494</c:f>
              <c:numCache>
                <c:formatCode>#,##0</c:formatCode>
                <c:ptCount val="19"/>
                <c:pt idx="0">
                  <c:v>2</c:v>
                </c:pt>
                <c:pt idx="1">
                  <c:v>-1</c:v>
                </c:pt>
                <c:pt idx="2">
                  <c:v>4</c:v>
                </c:pt>
                <c:pt idx="3">
                  <c:v>-1</c:v>
                </c:pt>
                <c:pt idx="4">
                  <c:v>4</c:v>
                </c:pt>
                <c:pt idx="5">
                  <c:v>5</c:v>
                </c:pt>
                <c:pt idx="6">
                  <c:v>5</c:v>
                </c:pt>
                <c:pt idx="7">
                  <c:v>2</c:v>
                </c:pt>
                <c:pt idx="13">
                  <c:v>-3</c:v>
                </c:pt>
                <c:pt idx="14">
                  <c:v>-2</c:v>
                </c:pt>
                <c:pt idx="15">
                  <c:v>4</c:v>
                </c:pt>
                <c:pt idx="16">
                  <c:v>0</c:v>
                </c:pt>
                <c:pt idx="17">
                  <c:v>-1</c:v>
                </c:pt>
                <c:pt idx="18">
                  <c:v>-4</c:v>
                </c:pt>
              </c:numCache>
            </c:numRef>
          </c:val>
          <c:smooth val="0"/>
          <c:extLst>
            <c:ext xmlns:c16="http://schemas.microsoft.com/office/drawing/2014/chart" uri="{C3380CC4-5D6E-409C-BE32-E72D297353CC}">
              <c16:uniqueId val="{00000000-C01B-4987-AE0C-7037815762A8}"/>
            </c:ext>
          </c:extLst>
        </c:ser>
        <c:dLbls>
          <c:showLegendKey val="0"/>
          <c:showVal val="0"/>
          <c:showCatName val="0"/>
          <c:showSerName val="0"/>
          <c:showPercent val="0"/>
          <c:showBubbleSize val="0"/>
        </c:dLbls>
        <c:marker val="1"/>
        <c:smooth val="0"/>
        <c:axId val="1865452576"/>
        <c:axId val="1865449216"/>
      </c:lineChart>
      <c:catAx>
        <c:axId val="186545257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49216"/>
        <c:crosses val="autoZero"/>
        <c:auto val="1"/>
        <c:lblAlgn val="ctr"/>
        <c:lblOffset val="100"/>
        <c:noMultiLvlLbl val="0"/>
      </c:catAx>
      <c:valAx>
        <c:axId val="186544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5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Skip</a:t>
            </a:r>
            <a:r>
              <a:rPr lang="en-GB" baseline="0"/>
              <a:t> rows with errors</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'6. Charts'!$L$476:$L$494</c:f>
              <c:numCache>
                <c:formatCode>#,##0</c:formatCode>
                <c:ptCount val="19"/>
                <c:pt idx="0">
                  <c:v>2</c:v>
                </c:pt>
                <c:pt idx="1">
                  <c:v>-1</c:v>
                </c:pt>
                <c:pt idx="2">
                  <c:v>4</c:v>
                </c:pt>
                <c:pt idx="3">
                  <c:v>-1</c:v>
                </c:pt>
                <c:pt idx="4">
                  <c:v>4</c:v>
                </c:pt>
                <c:pt idx="5">
                  <c:v>5</c:v>
                </c:pt>
                <c:pt idx="6">
                  <c:v>5</c:v>
                </c:pt>
                <c:pt idx="7">
                  <c:v>2</c:v>
                </c:pt>
                <c:pt idx="8">
                  <c:v>#N/A</c:v>
                </c:pt>
                <c:pt idx="9">
                  <c:v>#N/A</c:v>
                </c:pt>
                <c:pt idx="10">
                  <c:v>#N/A</c:v>
                </c:pt>
                <c:pt idx="11">
                  <c:v>#N/A</c:v>
                </c:pt>
                <c:pt idx="12">
                  <c:v>#N/A</c:v>
                </c:pt>
                <c:pt idx="13">
                  <c:v>-3</c:v>
                </c:pt>
                <c:pt idx="14">
                  <c:v>-2</c:v>
                </c:pt>
                <c:pt idx="15">
                  <c:v>4</c:v>
                </c:pt>
                <c:pt idx="16">
                  <c:v>0</c:v>
                </c:pt>
                <c:pt idx="17">
                  <c:v>-1</c:v>
                </c:pt>
                <c:pt idx="18">
                  <c:v>-4</c:v>
                </c:pt>
              </c:numCache>
            </c:numRef>
          </c:val>
          <c:smooth val="0"/>
          <c:extLst>
            <c:ext xmlns:c16="http://schemas.microsoft.com/office/drawing/2014/chart" uri="{C3380CC4-5D6E-409C-BE32-E72D297353CC}">
              <c16:uniqueId val="{00000000-CEBA-4887-9C8B-A8C13F45D079}"/>
            </c:ext>
          </c:extLst>
        </c:ser>
        <c:dLbls>
          <c:showLegendKey val="0"/>
          <c:showVal val="0"/>
          <c:showCatName val="0"/>
          <c:showSerName val="0"/>
          <c:showPercent val="0"/>
          <c:showBubbleSize val="0"/>
        </c:dLbls>
        <c:marker val="1"/>
        <c:smooth val="0"/>
        <c:axId val="1865452576"/>
        <c:axId val="1865449216"/>
      </c:lineChart>
      <c:catAx>
        <c:axId val="186545257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49216"/>
        <c:crosses val="autoZero"/>
        <c:auto val="1"/>
        <c:lblAlgn val="ctr"/>
        <c:lblOffset val="100"/>
        <c:noMultiLvlLbl val="0"/>
      </c:catAx>
      <c:valAx>
        <c:axId val="18654492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5452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_xlchart.v1.31</cx:f>
      </cx:numDim>
    </cx:data>
  </cx:chartData>
  <cx:chart>
    <cx:title pos="t" align="ctr" overlay="0">
      <cx:tx>
        <cx:txData>
          <cx:v>Histogram</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Histogram</a:t>
          </a:r>
        </a:p>
      </cx:txPr>
    </cx:title>
    <cx:plotArea>
      <cx:plotAreaRegion>
        <cx:series layoutId="clusteredColumn" uniqueId="{F558AB00-372F-441C-A6A5-431CACEC9CA4}">
          <cx:tx>
            <cx:txData>
              <cx:f>_xlchart.v1.30</cx:f>
              <cx:v>Data 3</cx:v>
            </cx:txData>
          </cx:tx>
          <cx:dataId val="0"/>
          <cx:layoutPr>
            <cx:binning intervalClosed="r"/>
          </cx:layoutPr>
          <cx:axisId val="1"/>
        </cx:series>
        <cx:series layoutId="paretoLine" ownerIdx="0" uniqueId="{DCEB6611-352B-4126-9241-B32FC34A0C26}">
          <cx:axisId val="2"/>
        </cx:series>
      </cx:plotAreaRegion>
      <cx:axis id="0">
        <cx:catScaling gapWidth="0"/>
        <cx:tickLabels/>
      </cx:axis>
      <cx:axis id="1">
        <cx:valScaling/>
        <cx:majorGridlines/>
        <cx:tickLabels/>
      </cx:axis>
      <cx:axis id="2">
        <cx:valScaling max="1" min="0"/>
        <cx:units unit="percentage"/>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_xlchart.v2.26</cx:f>
      </cx:numDim>
    </cx:data>
  </cx:chartData>
  <cx:chart>
    <cx:title pos="t" align="ctr" overlay="0">
      <cx:tx>
        <cx:txData>
          <cx:v>Funnel</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Funnel</a:t>
          </a:r>
        </a:p>
      </cx:txPr>
    </cx:title>
    <cx:plotArea>
      <cx:plotAreaRegion>
        <cx:series layoutId="funnel" uniqueId="{330BAE36-8A10-43D8-B858-89FE0F8490F2}">
          <cx:tx>
            <cx:txData>
              <cx:f>_xlchart.v2.25</cx:f>
              <cx:v>Data 3</cx:v>
            </cx:txData>
          </cx:tx>
          <cx:dataLabels>
            <cx:visibility seriesName="0" categoryName="0" value="1"/>
          </cx:dataLabels>
          <cx:dataId val="0"/>
        </cx:series>
      </cx:plotAreaRegion>
      <cx:axis id="0">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_xlchart.v1.18</cx:f>
      </cx:numDim>
    </cx:data>
    <cx:data id="1">
      <cx:numDim type="val">
        <cx:f>_xlchart.v1.20</cx:f>
      </cx:numDim>
    </cx:data>
    <cx:data id="2">
      <cx:numDim type="val">
        <cx:f>_xlchart.v1.22</cx:f>
      </cx:numDim>
    </cx:data>
    <cx:data id="3">
      <cx:numDim type="val">
        <cx:f>_xlchart.v1.24</cx:f>
      </cx:numDim>
    </cx:data>
  </cx:chartData>
  <cx:chart>
    <cx:title pos="t" align="ctr" overlay="0">
      <cx:tx>
        <cx:txData>
          <cx:v>Box &amp; Whisker</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Box &amp; Whisker</a:t>
          </a:r>
        </a:p>
      </cx:txPr>
    </cx:title>
    <cx:plotArea>
      <cx:plotAreaRegion>
        <cx:series layoutId="boxWhisker" uniqueId="{D65AFA21-CD5F-4652-8A42-946C96E37A59}">
          <cx:tx>
            <cx:txData>
              <cx:f>_xlchart.v1.17</cx:f>
              <cx:v>Data 1</cx:v>
            </cx:txData>
          </cx:tx>
          <cx:dataId val="0"/>
          <cx:layoutPr>
            <cx:visibility meanLine="0" meanMarker="1" nonoutliers="0" outliers="1"/>
            <cx:statistics quartileMethod="exclusive"/>
          </cx:layoutPr>
        </cx:series>
        <cx:series layoutId="boxWhisker" uniqueId="{5FC87B87-ADEA-4D53-A6AE-89073E6B5EFE}">
          <cx:tx>
            <cx:txData>
              <cx:f>_xlchart.v1.19</cx:f>
              <cx:v>Data 2</cx:v>
            </cx:txData>
          </cx:tx>
          <cx:dataId val="1"/>
          <cx:layoutPr>
            <cx:visibility meanLine="0" meanMarker="1" nonoutliers="0" outliers="1"/>
            <cx:statistics quartileMethod="exclusive"/>
          </cx:layoutPr>
        </cx:series>
        <cx:series layoutId="boxWhisker" uniqueId="{5C40956A-182E-43BD-AC57-C8CD8A57406E}">
          <cx:tx>
            <cx:txData>
              <cx:f>_xlchart.v1.21</cx:f>
              <cx:v>Data 3</cx:v>
            </cx:txData>
          </cx:tx>
          <cx:dataId val="2"/>
          <cx:layoutPr>
            <cx:visibility meanLine="0" meanMarker="1" nonoutliers="0" outliers="1"/>
            <cx:statistics quartileMethod="exclusive"/>
          </cx:layoutPr>
        </cx:series>
        <cx:series layoutId="boxWhisker" uniqueId="{0B48F426-1BD4-4B1D-AAB5-DD1271EFB389}">
          <cx:tx>
            <cx:txData>
              <cx:f>_xlchart.v1.23</cx:f>
              <cx:v>Data 4</cx:v>
            </cx:txData>
          </cx:tx>
          <cx:dataId val="3"/>
          <cx:layoutPr>
            <cx:visibility meanLine="0" meanMarker="1" nonoutliers="0" outliers="1"/>
            <cx:statistics quartileMethod="exclusive"/>
          </cx:layoutPr>
        </cx:series>
      </cx:plotAreaRegion>
      <cx:axis id="0" hidden="1">
        <cx:catScaling gapWidth="1"/>
        <cx:tickLabels/>
      </cx:axis>
      <cx:axis id="1">
        <cx:valScaling/>
        <cx:majorGridlines/>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Sunburst</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Sunburst</a:t>
          </a:r>
        </a:p>
      </cx:txPr>
    </cx:title>
    <cx:plotArea>
      <cx:plotAreaRegion>
        <cx:series layoutId="sunburst" uniqueId="{527BBB0D-63DB-4202-9DC3-F6B906ADB344}">
          <cx:dataLabels pos="ctr">
            <cx:visibility seriesName="0" categoryName="1" value="0"/>
          </cx:dataLabels>
          <cx:dataId val="0"/>
        </cx:series>
      </cx:plotAreaRegion>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_xlchart.v1.27</cx:f>
      </cx:strDim>
      <cx:numDim type="size">
        <cx:f>_xlchart.v1.29</cx:f>
      </cx:numDim>
    </cx:data>
  </cx:chartData>
  <cx:chart>
    <cx:title pos="t" align="ctr" overlay="0">
      <cx:tx>
        <cx:txData>
          <cx:v>Tree Map</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Tree Map</a:t>
          </a:r>
        </a:p>
      </cx:txPr>
    </cx:title>
    <cx:plotArea>
      <cx:plotAreaRegion>
        <cx:series layoutId="treemap" uniqueId="{7EB8801A-4C9B-43C6-9DC2-C7529D0A0899}">
          <cx:tx>
            <cx:txData>
              <cx:f>_xlchart.v1.28</cx:f>
              <cx:v>Sales</cx:v>
            </cx:txData>
          </cx:tx>
          <cx:dataLabels pos="inEnd">
            <cx:visibility seriesName="0" categoryName="1" value="0"/>
          </cx:dataLabels>
          <cx:dataId val="0"/>
          <cx:layoutPr>
            <cx:parentLabelLayout val="overlapping"/>
          </cx:layoutPr>
        </cx:series>
      </cx:plotAreaRegion>
    </cx:plotArea>
    <cx:legend pos="t" align="ctr" overlay="0"/>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_xlchart.v5.3</cx:f>
        <cx:nf>_xlchart.v5.2</cx:nf>
      </cx:strDim>
      <cx:numDim type="colorVal">
        <cx:f>_xlchart.v5.5</cx:f>
        <cx:nf>_xlchart.v5.4</cx:nf>
      </cx:numDim>
    </cx:data>
  </cx:chartData>
  <cx:chart>
    <cx:title pos="t" align="ctr" overlay="0">
      <cx:tx>
        <cx:txData>
          <cx:v>Map of Europe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Map of Europe</a:t>
          </a:r>
        </a:p>
      </cx:txPr>
    </cx:title>
    <cx:plotArea>
      <cx:plotAreaRegion>
        <cx:series layoutId="regionMap" uniqueId="{760ACC29-0A3C-43ED-9006-56325790BC49}">
          <cx:dataId val="0"/>
          <cx:layoutPr>
            <cx:geography cultureLanguage="en-US" cultureRegion="GB" attribution="Powered by Bing">
              <cx:geoCache provider="{E9337A44-BEBE-4D9F-B70C-5C5E7DAFC167}">
                <cx:binary>xHrZkqW4suWvlNVzU6UBDRw7dR8E7CnmKacXLDIiUgIEYhAg+Pr2qOFYVmR1Zl/ra9bxEGGx2UKS
y3358uX691P415N9eRx+Co1tx389hd9+Nt53//r11/HJvDSP4y9N+TS40X3xvzy55lf35Uv59PLr
8/C4lK3+lSAc//pkHgf/En7+r3/D2/SLO3dPj7507c30Mqy3L+Nk/fidZ//46KcnN7X+dbiGN/32
8/5laB7b9eefXlpf+vV+7V5++/lv3/n5p1/fvumbWX+ysDA/PcNYhn9BCU6k4Cj5/Uf8/JN1rf7z
MUa/UIkkElKi33/wX1NfPjYw/P9iPb+v5vH5eXgZx5/+/PvVwL8t/qvPy9Glf+w9da8LzfLfd/br
3237X/9+8wHs9c0nX5n/rWF+9Oit9XfDY/v08pcF/t+NH/NfOIklSsjfrU5+iZmkgkvxx5kkyV9z
/mH1H6/jn43+17g3Nv/r47cm393+/zf50T/a/0F3j+kvjDDGkIz/489fuzv5BfPXB396O3rj7j9c
zT/b/c9hb8z+56dvrX68/5+w+v85CP6DBtmjf8x/h5Gv4uD7T/8KoDdDv4dGfwDV8fm3n5P4K2x6
fcOfw/4RSf4a8PI4+t9+xuwXRAUglKSSMC4p//mn5eX1CftFcsZJwgVFKMYMwSStG7yBRzCIY8oF
onGCCUYQRaObXh/F4hcimJCCMsowjGf/Qe1rZ1ft2v/Y4c//f2qn5tqVrR9/+xmCtfvjW6+rFAgj
wiWOYRIumGQUltA9Pd5CYoAv4/+1iaLpqN/KtFgLLbQaebto5eMCVVkZBzZc8ISFJxza8fiVif5h
ZvntzGAVIhG4NOc0Jn+fWSxjXUXalOk4Nk2hhEHoc899IXJNu3XKkoUn/jhJX7+MzdQ49f3pMfpm
fkp4zCgFBOMJoq/Pv9q5j8du7Hjl0kQIh9RW2Zimko9u78aQPPgV25eYrC3JonrDaek77PZ+RPH+
+wuB439zApTHKCZJzFlMOXljh27plm2OxiqtmyKe72WxyozVRRVdeErADrNj4fr7U7JvpxQES04Q
7B888vVovtr6jJzt+zWq0qra2BmitfkQ02k5TSZE5Q/s/K2DUUEIixMSI0yZeONgY1iCn1BVp36z
S6m6MbD6aP2cNMqXUdgPoUTdpdhG9Pm/v8mYc/BwxpOE0lcjfLXJseViJR2u06gtBn7JQ1VUJxoi
O6hIj/V/f5sQxxA/WMQwHXtj0m7yVK41bdI6cHY2V6HO9YxRZnX13Aw4Odavpv7+Dl9N9/fYpYlI
COaxBLvG4o0Hhw1N3NK+STvE0GeGHRxeBXjxg2m+DVTIN4ySREqIk/gbb1nLZgr1YNPaWnY2NuNz
FU9+2m2hVXTG9S5at0FVdmnbH0DEt34aIwHYyQSHZXMBGe3rI2zpSCTpgk0XBvCgotqMqmin7Xlr
TTP84AQx+caccHAwDWMxYK98CwgiwnXbE+LSuYqrd2JuuE4bjKY9xuU05qHjcZ15a0ytqolGq1q8
9zJdRYjy3rUMqca0S/+DZX1rA4EIoCTBGEECwW/ip5ZIO1+sLp1MT9czVDRr2vqkXi7K0iQ/wKJ/
moxiQEQEGUHEbyfbVhSboC1gYrewM9+jcs80NUaN8dJ9/O9672tywzGSgAwxZZDhvj5cDmhXgSO5
dCmnZE+rBby36Trdpd+f51v3FRhQnicYw6ki9saAvsABcqN26bC080W1Rna/LQvL7NZPTnGW6CcU
hea+KaK5+sHc32K7wOC+sUwgtUKyeYNBvh21Dx3s0QgC2W0qt1WRjZc65aQi9cXUEUg939/vt6gg
BIljIgCP5LdB02OpeVvwJjVkC9fRZu07QF6ZfX+Wb2CdoxgoPmQtwAaoA16ff4Wuk6i2aoMdq3bA
0bWMq+Ki6GV8qsupSEMsuzsMwXv1/UkxfRuiAEBCSE5fAxVmfbX3V7O6IZojOocplTYxyVlBtTzY
JnSqHs0mD5HdVr2fa2mXvHUTONRquX4u26Y9jGjekmOFRE0P9VTh7QdH/Xts/A2N4aB5IjiVlMTf
8hnq6sSvc7SmG+vcXhJUzfuKM20UJrNUohXVmQ+tuS4anaRrtbXHsZo1hPFWv5Qi6eeUBda7XNKp
/FFcfxMEAr1WwZSQV4zj8RvDzaHcZEWbLfW4ku8HPzeftkRinvPVljdb1UboorQROCbwRKCBeBsC
ydeNCNUCQXzPxNIeyCRmkSV6JichimXJ42ESOhvtENas2zqA5JoRHvKhmuZeTckSVwqOkYds7dr6
2Q3gTOlM6nnbrUH6Zbe0DenSLoqBAMbdOo4K6YAuFh7ky9zgNhzGglfVLrjeLruOSPgeWUkicoJq
e9JrMpU7/RpbA6p0pToTYBHJ5G/DgMtrRIt2R5qyNgotwT4JbNcULUtjUxkao9MYbFKoMprDtau3
aFImUHlGdNy3au5mYF9+a2T9seJVuCwRDT7/vke/PRdAdeDxyatEgRMMv//u0MHWwTSza9Po0s67
pk2pzePM8ekHoAAVw5uIjWMK7ycC6H5CMZPxGxyswjT4ZDBSkbjk5jEiUTIoHFY3pgSVs1PbMBo1
t7jMN1R1Pqs8vS7KQasCFfOoRj/Qcx40u+St7tpM88Rcb+O2s7U5p4FEKiac12pZqjiFnFbcbnWz
9RmFwDO5aTafbm1j92RpiBJFsQ27xZefNjJHkWq2okvHpeS56xabl6FDj8u4Hlzoqw9oqPWgZFEv
d2U8t1oB1ZJKgjXH1HRkVuOKtyrjfX/zConlrndFfCgK0V33G5HzeVnWVdpJx4d95VERlJcGsF9P
BT0BHojMtPEQVCFEu6W2rBeUF4sUN0s3sIvampTUEeK7yURoyIok6rt9VHd8b8wadrFgg1N4wtt7
qstjF3d0e4RDx2k8ckay3gQ77iNK41iNkHmGXWSb+R5hkahim8Z07GqhJr9WN3juqFEeVrHmuOcR
PySbjE6o2VxWMTveFGjtbvtY1HeEmOYlHqexUYnpR6GwZSNOdVeFfTHpqynperofrBw6hcYx+TJ0
eHAQahH7UMxtWFOHN6lVSYNIPR3ppAYRpmtUFv0NZrM9gvpTnrd9wU6Rpzs+JHI30EDPwPjosl3j
Ie3iqNqXchppGmHmh1y3fewPCLMXU6yfosqsUEpOS/JhAI+6NRHrlJumvlauXJyyC6YfPerxYUnk
plpbvGPtQq4HhEc1b+QZV7rNq1LKRcktwkvq1nndJYNNkNKxIBdrw6uzpmHstkvwMqht0tyruaK1
gsmGL2EVTqYuAlK8n+WE60tbdE/C8LuyGqWaBrKs+zk0G1XxZjerJMXvuqVu9b7QhOy6qkM3pIq1
qhALWaQ7qnS5PQ3LDHyMVTod53JTXU2nW2E7n9s66fdF0mx1BrWU28eukikHR/QZoNbI0noCC1ZR
xPMxivwJxE3f5G1RF0ValoO4x7q6N6Tw+gRFiz3WA6Ima9py3JOkY1W++dW+H4PfwJI1s4AYWkMa
iWKbBuum62aL0N6GBWUTjrcLPfFwgjKbQ3CXH2dqWuWq4a6g1itvF9VPdGfQ9m6o2LsKqlQFVmVq
iNrjGoqQL5DH1QLApYhZuoxHTb2z/YRZvs0JeyZVsvVp4zy22UjbcNW5cS7UZvSqQk3LVLNly0sb
erXVYcjnWMc3pjf8QRrp0oJoms7MPLSM4aNI9F3X+/5mWvvy2cy8ObbOnld+vE9KpjPeEHBR9tiF
7bEWg63U2NbzJ2A6z0kMiS1E8+ch9PGHat0E+HIcH8NG6nSem9uQ6Ktode0Z6uPofVVsVyyIJa11
+RFvz0NbPkidPJsFh3ST62lF+gIASisxzbnw477fcJ8lvG/zMMYftU7m1DJyhaOxTD3rdlW7PVDh
Q9qgcKZ5uGh1YSGTugcdYbpna/1lWlnWSfIxYd1nZMqHhC1Mce542ky9TEcdHlEipkrV3foE3O42
0O1eohrtohG0D4KjWrGua1PXNr2qRn3egX9ZU6h5wLd9oWVqIOmeu4aqAXdekTnwdHCVzgzHVzZe
4XS2OaSm0udAPa0qrAOJp+MkW9waXTY+XtTULFbhWFKYAbFT4AZlRC5UNY2LlWmjtNfUXbY4qZTo
i0V52gmog+ghautItbS61wvfA83ZgBywPg8QI1NpkbKdviMU4ke27qpeUZr4pQEWXL5IY+IjMDcm
s6En8agqzJ5rIB2dqpooPHvL/AfmcXsqIMbOY7d1adzWO9yVsPQQJYeom6/qEUfpHJFwF0eDT3HT
PqB1PtvEMORD8lpg6HJKCetV6LYjMImLbZxrlfQg1W24y+ySxLklzdmMxw9tXZzGwRb7MrStiuIp
9zEIRSDzJSljgWZ6KE3ezXK8tMI+COh/NGmMERxMI+77bYuydpweKo93EdM3FriXAoUiKMuWm7qS
T5qvcwr4qs+jnvm8i8zTSHSZzQTQsG3FqsSgm7SNRpYlpNYXVdc9ETOcelPLU+KpU8G2X2Q0GQVz
l1+gNDRpbAuUy9WZZ19s7dlgWbOTcWLvYubtw1b0cCjEJMBsoi1HXdsBOGOT1brebTXaA2PedwtZ
FfjEC2mSDbwOqv5pXMuLsmnlcejWW4PjA17mu6btzv3U3bZjqD6E0N+UumRpZMSakk4+4dXq3BlL
j9s8EBCW1irnZVEr3A95YcOgjC8vN0Dm26GfbxFzRiVL2FMokKItXNG+N+Dv8YOrobCQiVay19dV
bU59xM63MN8Q0wPITfMlievLWnT3xTYD2wSt5FAv8xe3eadct54bjQE32vZ8JhNTizZOxRH6wsek
W+FQCD0raeuApi5ntRu5cg0hKbHLuRz1vm9cq4BhiGMxhhvagvfvMBhS2dcDb/xHoecxEyHeRwA4
vYpaU18ivTSKIq5I0rYPiW+eoKoxKh7GJVI1cVM2gAIHvrjFk9JivezH9eSHZMvplHwE8GZpV26f
irksR4U1JHDKK+AokT7HJUEXcbCdIpalrO2/6DoCwWL+0hjRp0sDDgoSRqPW2q7KlIVT7VzMath8
lBm3FmlbVLs5KfMe1XsjTUrjFb7jy9uaJENKW/0lIX5MlygRab21z6iMvAJVINnJySsZt0Y1sRnU
ONOrFvh0uizFPW/7c24rEGcId6pJuke94LNZJ+GqLurpwHSMs8p0S0YJhDHqr+aOlxe2WUU6dcWl
c02RYxAbbFMfkb0vhD4Uy5qtc5fHPT4rkbkQpsqRHCAzt+2ULkWEVF/3LvMFzWfbP5ezeeKiPOpX
Wxu+3TM0tGrdYnFc2FCnYzPAiAZ0q4FYnNWmk6rf+L4z5T5abLVjA7mWGLwO3fUsLnahH/ecRu8K
qOCWakobSq7xYk5NxwcV110G6sYzsfNpLN3ZhqL9gIhR0VQnamTRTtfrbhbyGhTmB9QUz1Ub75hn
OahIeTyVuXPibmHN1TYyq7am/iiGLevp8uBkCVAO2XZ0OI/nON55MtQ7Ku01aKl2F6bZ5aShS9pT
y0EPKwtgn3AkCcOZa6vxsqoWIO98VK0BvKfFckgCeELZ0r1h86r0Mtz1/ZgPUdTtJGhrEHKwiMbp
98hLrkRA5zZCt0SLy7gB6YmH6Aw7X+UW1f7EV2rBrWKjnNVnUVy2e8e2KcU+ahsV8eRTCcpPXtTr
8JoaWBaS9Xpdq7NNtuc1D/Pl3LonsbIoFUtVnTsJ7ByY9XvZ9NdCLu3VtHFzYKSEKJKQyptNDSQq
D3QtoocSKpR7LZPPfOpAOhLHGfW3kkf3rIhSP4JYGHj8pRRyhpKUQhknxCeUVIMqedeoRfRYTXS7
KCVpUwJJAej2/BF078fJS6GKQXQ5b+U9XzBRBpOda+22D1uoTrKh97WWd8ZEAiSO/gZ6OTdCB3eJ
CBvSzW2f4iU6Db4jqeGTyQYqbnFdfBFjUeSN7q6jurTpWAQLMq04Al/brxUbd0kYGPQ/mM1AP78q
i1mko+P9DjovN66vPtfDxNUamSvXWaBePtig5Nh/ibG9aUYMuQAkJYV4925EpEn7tXt2dLnBXRIf
O7nShwj7RpHFs9QWek0nPIbTvGxXXjCfRUTPO6arplb92gglTf9YNdM5sd1FCfns1G9RkVEogDJI
XyVSIAvWF+B221ko54++tTxtmxVgD9jJBoh6LpLSFVmDeXsojHuKfB1O3ic+Faa86n1x1Y7laZmn
SXVNlew75yEJrSLKo3ipUzx0i8LSkNTVuFKIbENeUV5k1VBjlVTNu34bD0IGQDQAF4V6ka9N1J5b
Vm0KJJBsm9oH10QvG+vlNdKjuUCyX09O9GTXlHDKweEot3zRF3Tud6gujmYhe+gRRR/nFibmNton
jYAAkkuxb210Xcl2J8f1nZ79O5eUAJCrPgox7KM1ypBPSjUGeu78eOMmYhXp+nO6FXnCVp/Wa8sg
lwHnqRtzOyXi3lUhTtk2XPeIfVjb5CqZ6GFqED4OEswUSRkyOy15pceHeIsecNmjs166m0Xq2x67
22ZaS1Vv5Uc093vaQthtLD6frQupG8lpYMlp20Iu++4ioAEqFChmIHPvjA8AUU7s4mnYLyHkIGkc
7eYx5JmxvZTMEZxy2a7nZGBz3s/JsWyKGxy3Op1FqEE8KY5J1+xos7xrbCMzbXEeMNS3oZZQNOMv
vguvodthZZDgubCiS5TF0GNTQ0EQlK9uphLKVVK7rK+Whe+iZRimtGZL8gC1o79LUGFs2qOobrIo
dAZApaqKziqK0XbJLPDpW14OkLVXn9jxwOrZXPRjVN8E7fovo5sB+6JhBAbZ05JeEjs4ELZKH0en
IoD8k2rHyDOIOuxdNDfhECGzXHrKtd8vfgrvesfcVVdKVKQIl5HdlWwi10UXFZC78Vzwo6PW5p6R
WmYQUrLP0LhMeTfhezebCZ9PzIt73nlzTUBgzia9Xm2kuE/keoNB7P8cQoizXj4C3HVptX6mw3a1
iIGqsifVievVQuo3VWV30PD3HwMYCDxspCopHIfi18w3jDTTToC0FY1QO1Tmooj0fYix2lpYdwj2
toA62m7TNdHJDWjCbboOC+SxhF0FY0EFWV11QUJUF6kuxuIzM1V9Zaoud5Wo08qhtNgqma19/Lkf
pMgbUixHC/1igHa3xDBoYymKwHdTNkCSGRZ92mil85YHd+Xa4Wye5vc13CFQY4+m+0GQj63s3glR
gia69iYLqNmbYgSNpHX1oQosglqkwAqaZttZmXioAIR5b2rWgyI5oPnQAKgoO7J3dpX2run0B9JA
5IKTOKZq2FwcOZoJ66kCNthvqnCtlyAmYChGdW9oZuZhyRrdHsQ4HyPa35YTvfKbKzMTSHEGLffP
rq7cXpdruDNd1MznU5jaR6jX9Oe+HeS17ep+F0ppb3VHQO0tQ1quPmLQX1huQbTMVi1PZuHbdZjh
nlA06HXvJg7AVmGosCpTnaNWszuI9MdxCNclsPyrNhkqp2Ti6rxqQ/TgrAcVtoBmz93qh+0I6XFQ
AyTY+66B2s9uW3UtxLSexJa831AbnSQW15pW72M4kDMXty43ItneRbwBjwACN+bjKNGDdVDlT6Y2
+WJ885BsICrwsmF3WGvYAsdmU9ACPAbfJ1lgfLnutsQ8SbiE9cRmNr+bLKPK+vhdj5E8M2Vjryod
AT9nobqwspiBUkBnXZUVUlUfgkoEtJiXZkpDx5iSy5gjg6GxP4anSowXcCzQVVuGR2g922xg3c3S
u+WxM6BIQejsmpD0oL/F5gxaJm0+9F1znFs/HaWzzaGci+7gOjY/0LAWVTok/APBnuQ9kOsUKBXe
yXUGmkhCtUPOJTegKckUTZPEqa+K+q6DwmJv1/pJug5uQURw+6GKnFZc1A+dibJ620Teh06nfQPU
rTSUZtatY7WH93J3pwfURFlD+HDhuw2kKkpn9BCzArIA6cpO6aT6COrICkoKRyGFWwD4jJQB7RNJ
QDiL1ik1frpeKVBny7g9znXRZp6hxKp+CPNuRt14WDsmstAseAAwt9HRrby6HBrenUodR4tyZnU7
x6lOV6n1nUA1u2ir6TxqSJNxyuxH60vzsR0rFhQelxV6bQI9ElMPuwQU4xeZILAIpmFWky6HR1n3
UIdB79waVQ0jfupe1WWok/oqc8UEjARiQ8dpIKYCh1tZItUKnA9oYVg7TnfdNs0gGknhnQXsiiNx
41DZtomaYnC4wzoMoFBEoFRD/C5sSrWvkscNzSsHaXEzCTBrqbvihE05uONceNOCMg167gl7XMYv
3i8zRKefhkLxZmuHTxW8c/lAkwFAH9ee6s8JactwjjbPyyP44KhzBK2Ed2Pjf+9EwC22fBohfFRF
ZIdSyAbQf1yB3Xvg1Ajv+76g7IiD4A7KHa7LO9TE/LNuNL/uodDXB/F7C2Ho67E6Ag1dY2AO7XiY
UNnJGzsDmzvFySzorvBjvRycb/x7xy02aVtz+CDMgVZerQHuFIAAIqLqZEhYh9SsE6UmHUmIw2kZ
Vttc0j4O13adqmFHJ0QPZp55kg7MFFBHgdYIGvbQrOhz0zcobRok3Ysn0RhfrTOPm7xiTcygPcaQ
znq9RGE3BDf1B5DimzkNhqMoh4ZlkyhIUREoPHOX1CdaFl7mFSip2RCRDMrsPd6imzUOoMLK/nMj
xJ6SZZ8s3W1Y6uWDq0ByTvBTtFQgDo5XQ93t5mHkoAV3ACcJ7g8zyMo3G0ismRwNPoPT/miAvpp5
epEebXktlu3jaMsslqBArqN0wHZAs4PKCnSGfF2gwvFh4dlagdDyWrybXew6ASXlp8Esg04Rj6BV
pEe8g+q9aNRMtzrVw3OZyMMcLZ+w9vzS8RmpOgk7Pev+CobEdyCT1/c0mdg7hLvqMLHwWfoYcrTZ
xKEHWp3PmzWTsj0RJwdrVVUtJBwxyJP5ONAWdLp6ThK7j5F3/GaxVoqsSmYAgjDwdT/GszSq7dYA
IcL7hp5PArWfdbzoPq2rco5P/bg0FDSG1xbrDi+kWg7VWELxHrN6kFlrPBQATlAoQ6A+nCZQdWyy
d06u8XnZV6vL+06yJDVDV7Y5XXouztoyGq1yLWmbHTiMHHd0ngM6E80YsatimgU/EFdGIo8juFZQ
tBurL/CsET9bOkTdEY633A54JmTLiuBh3UL0AJZwQwU6r3CDQy8713tS3wA1Dvre29XS8zoggAI+
R/B7BQCSCiGX+Ix2I9LAVIrzIU4KvwttMpqdYXGHAF2klsoNtaPnDd5WelfTZcBniWejPaDSbstB
NqzuevUHTMyymppPM+d9eR2PtGou6h5aORlaprGrFO30uKmENyi6SHhHygO8uQCxYjD2DHvJQMUc
+isdD1BKEVGvJ+YaSHlxPV6BD29+N8zURzmFywnLuylpk5wOoStVEpnx0ERQ7lkLMsZ1jbrhAHfH
ltc+z7vej1iqohuTbFigY6mBYF5uuv3flJzZkp061q2fSH8ICQG6ORew+pW9007bN4TTDY1AgEBI
4unPWN7V7NoVf9U5EY6MSGe3FoipOcf4hpoz/LdfMt3esGVimkKnfZ0MD4+o28u1iZOrXrPu1Ncy
OQJRuNEeDroNF8uxZ8O2r7d6KGZi4iKaJHofHbtzPZM6NzfDPXh4WYVILP9hs5Yc4JOXn0vN5ugm
p9Wf+7mp3WF2oHUwzRvTniA9o4lczRLutBlrdG8N1oKY+XTtUg7Rp+4S+dD74E+syWZMV7IVmDd0
uS8HFdod1jJa9H7W8+vNSjlYiU3YGyWxzHmmv09Ehb014q4qlXr3VRSeSSTZ8zo3rjm6TJkiJVt1
3ij9YJkG5yNocwCSkUCw6dIGWtdcFmGS84FUll0alIjp4jF5HZntfnYVaXdKltMHZhjGFwhxMd5J
2BzmPPNV4qZ9qGGZfFWNdjvayXm36FgXXSq6KKcDwTUNzYi2NUDK2gyNT9vMm4uOSv+UYiR9SrHu
Csn4W6w31hRwZ9l7B7UAZlm6sB1cjfBRwVz9VCs+PKso/cwdBBwX9dm+92v5XJZ29HuVhScSjeLI
DXC4lOnxPjMmhUi/ZI9KWldCtsN9oqFTcCRntZ6NXLpjlij57kDoH8fVDXeR0/MDL6nNUyiTGLMF
y5P6Vu2m+lNES35NR/tuFOv2QAnPaVP6u+CnZIcdY3mQS8ovQIpGuEpm/JY2qil30cTCXhl900Zb
vg4HOIh834mpbHYi5fG7JXVlCyL1FO1n1WOFKZeEb1OqWpe3JWGY79vmScKs+1zHYfnsugzbBKfP
BL/pnkdb8mg53CD0Fnq7ULjFchdgkz04dCGHmej1Ryym+Vlv9fxEjL20UQp9KEpceoJyAGtOGA5B
KGpFXBdq2PiXetqyfAnZtOdD0A9zXNGTSeH95xnoxq2IbKuOfUu7fQI4p0Lh2eqvdZlkB1IPtMwX
eNmwXccRdTWzgLdGD324Zgs4M3bdamiDkUwY9JCeucKNgpJdO8YxkIBafrDG8l0ArHmE/yjh4dUl
O9Ydw1yeko4WldPbYYvpdF+R1bynoeUPrVp/WqrlhHloO2NcqYp0KJdmx3tCz7of/HlKIJoJJcU1
aiBXlRsVx3hyDcmXrYyfPUvdl3EemdyV6xTumaTiRVcOTYcZu/226ewBIk2Wq6E8rWI7YUZrDjO1
Kh+pfwECQl5DopdnAyMMTWszHLD0QUNI2h6mruFvcyQwndFS8HMlsAhz74f0pWxg+GdD252lWeVp
bG15sm0KEa6RuzajwwVP61npevsCeA5CdgV5kbaJeSZxOe9qdPSYWudWfbDcRZ+dYNWDUM2KbZnV
0GoS9si8/KSSm4Qa9X17tCJqdnQASgD6ri6kkj3GtpmdVLPxY1kr+7SNtkOH0ZVY+rX8yV05/+iV
/tm12hVmsvbb2rL0YRriac5HC+A0nS3+Dmw8eNu+oHDAi8yxGj1N211COh+yLlpzeNmHeCInX+r1
LJJqgyAqLoy5qeBpMxZyCF9m1rZ7cCMf+159FwuokoH0GGrHOBea3g1CTjE6BeCBJSNoh6ZEteCA
+uVA+ltrQ0i300GPBbQTf6cwcc/55usXqN366mn3sqJpXrO+SXbDjCGCWDiQHJTtZfAU61QETMNV
T0J9nc3UHOS6VldgHQtuBMqhdBJ7bw+dqlu3Dxt1w06hfu5XV0VF52aQU1TuKxu/prR974GHHUQW
VTt4gHu0XdHHJVInqOntpZfh6zhH8z7DtflJBmxFDXdNXCQ8fNyy0UX52DgQgv28hT5vfFZfyNbL
t7Ive4iSaWjwE1GLMrn2c7vLSswE1mETyyehybUjmJiH1ZFXP4/LhVkXrhV25tzUVp0kFDPo7H5+
nKcMolHamQLOcH3NVKqLGlzmQ9aNkMmhLAeEVY7QDTF/YNgqdMYB+smVFu3Uj68NJaCTUE/3uuvF
YcAGeIg31u4D6dPdCH3lvooSyL20h+zXRHMRzam8LtpgAxSVeKFlGu62YKePosR82kON/EwScg6B
XIZgKdut7TDcQagu6GK+Nlb0T9YKeU3avrmwSESnyZD5Y5nF0dVMNLsbqmn64buVXhsyVdco0mte
8sYCT27pI4AuUu5RymAswBl7dhAtCrG0/WkMYAZldmsXh63BA8rVPnRaHhgjYoE1IZYnm2jykDVw
JirM9K8jGbOnEoDpvougd7Fq81uxhm54oWz8lvFZ380ddsLDHNbhlI5Dsm/i0BaLD8u7XGDqd2Co
c8x1qMw9uyYeU9d9gJT9UrkaZvDWV1NUrJBzL2SFnHjrFt/WcVj35RSpXUlTf4QcEl1S15G8LvEO
tAFv1TqolwfVzfMl8V6OuQkhuwxqaW6+9vA1oNL4E55q+cEMqquKduz9rk7nOcC8JMMp+Ag1oOmW
fQCddurTsOyBIuBpa4Qxb6VBdwlZI5Nmt9JVzTnUOXr1hsSXCnIJK7id0o9xxeivOgvytBi0Y2uo
Y/pxFMn87OKYfNSNZfdGp+ayLdtbO2X9vcd09cxbYS59mQwvpA99nY9Vz89JOlkDqZxtfeHgge24
XjHPUx/uId93e4GZkOYrpPrh3CUaVT5ZqwgadWXWeEeWyhRJslBbDGLU3wPXtd1LtpUf62lRv7gq
JWwTgr0gy+AmLAvFspnl2mLJNwOV+Tg07Ssbg4hzQHAs2zXDJND+RvN1mWd1REFDu9aJDcgXRkYH
wjeNDvOypVARNnCbCVRkFezwRGoMCq+9Q/VLAkA4qCM8e5zGOm3By0Qm+hQDo0Df1CbVJdO6LDCM
J/zENOQFOvbNkvt6gK0R+1UMeb2OUSii2FY/6dKusEJTUFljrS6M6+idz266LHJDfRDcw6ng290o
YfNV3arvB0fKN7Zt77WHfiME7G4lUMdc09wplfoH7qk6pCNxI9y/24AcDz/izJ0XOpb5JNv7IbVf
GixyCIW+YUUz1Cs4JJFB3IkVZppx7PsCkJV+FACkqj2YM1Q9NNqnqCRT3rAGHIzl7VRUrByOUdVP
TZ6EfsB7SkgK4iiL8zVJv0Ohaw5m0sdZCLevrZ7vu3Y1hekUhUOFRAII7CSnEYCW1gh5qIPpzwzz
QsF99l2mFbgGsJPHfoqWt5ZE1VkOZTXvumUyJ8vYhAcI7APmXJKHyVdPuN7AhoDfXZVvPVBTN6yH
Dbmbg6oDBOINN4nUy7jb4FSQq6Rb/7oOGDt3Se+yCF/U91scbU+ZHDmU91CR7YK6Chs2hUmM5glS
FyzQGIZP3mPxZXvfLO15rjTac3yN7mcUafjE/USLzoJKwSxSndaEc7MT1K37CizJAcoesYV28YuD
k3hArAAeUBqDufLi68qFINj8b6uPifSE4Wr5vOnGnSI+dmgcMu1yPZPxM7cCduU4xOlnIwjQwNSE
/n4pRXt11ON1oN8r4WthVK4sXXdkpU+42ijO89DiHuphOzfQVv8rYwlY808EMAhLgDkJAngpzzD2
Zn+hvQfkt+LVDH+j57fMBA9LPknaHOI7OJ4YLQJq1m3gXNLyHFy2fIMnn8LrXWaDPIzEAHxyZdlh
xXoNnhXV0D9JmI7oxlqvVb4t3LLd2C01+dkvAQaMskPv/sCF/5are/rjNf+REvsOBsI0Vf23eO8/
Pv0/r0OPf78Dqf/8z1s6+J+f3f89Vvwfv+v4c7il5Oa/ftPt1fzjd+HF/O3V3cJ1//LJv8X8/pcg
3x8p5f/li/9vKb8MTOw/Esj/lvL7e9T0n6nA2/f/EfKT/4PeS8YSxDumWypvIZk/Qn5E/E/E0wxM
MrIHQNcjDqj97yk/BJhBZQt06dj/kfZj/0z5Rf/DBUT1DCh5xGMEYP5/Un7/mkMQMWbeDJ57AvKb
4rPshiH/iZtXkyhNOWK0TurJqxP2zO0T+gR50aafUT8t1NA/XZq/raA/5wr/7S8KPA3IezGE6ygu
zV/yAdDEx2UGDph32oBqrgX8v825iBYDzKzxAItwe/7Pf/IvBD7el0D0OELKIpa3f+ktPfCnd4lt
Dr4zhSXskw0YeLsGwN2zL1u4QWyDZ1+N6T5JkxIgQ9NVnyGZkjgPVfzLc9O9O4zTQ1Fx7t9AWKEl
/s8v71/569urQwJFUoosXMxRIf4SZuLwgMB1cnShQ9gAuOo5CZg85uTxj+TW75CGFugl/0tU4y+p
CfxljDNYQ1HMsNKQUPgL+d3YJG1rQ2CXrgK00EAzfqw6jtDWONSWntE2WBg2CTOPthqhtE1I5ExF
F88kKkyF2QXbDCi+FwFRnfyXqhn9a+bo96sTEi8OZBaTeDrwDPz5rsU+RgFLhiEfy8GznPAoeTLx
DIXTQA7NzdQ32AwMyfROJCYkR5bWw68BbfTNUCfzV3itzXNvASDe13NTkV1ICDrJ/3z3IvgV/1re
GZRKRhlM6zTCBkKTv7D6fdYkEo4Y0l+iFOcGU8oe76a9KtXRU0rNjwGK7T6KpflUYySHW9hib4q7
dHk0me7uQluJL8lSx5Ax9Do/E59yeL+dYrnNzJScp7USnzmGgXo3NnUUdvMqom/WSEAErVuhQamg
6uNUyQ7eaUaW7ckF2fnnWDbR+wZnOD6NrLSwnkZrtHraWgZansiB8+cWVDKDcLnwRgP1yVqWs6Ye
IEag44TL1EVg6J/qxDX+WKVat3lZqRhaGYpbJfJ1SdLlQwp/DgNf6bP3lFgKv66ZyHy2HVkOaxC9
Pi7rCHGrXEiKnjNKR1cI2GkFAY5nzsaOM4MZoctw3hJkSCC/LQQmtYF5WCTpSgx2A+e/VWC0wTRo
iYchAbjQ3IVGQNCDiK/2KDj4jRuACrDedI1HiKw9ezZzqNAiKdEXmKab+3hLY3MPdBqzBqMeH4nv
WFUQBakaBIBSKqcmxqVcBiB9x0n6pUIHzAaT92sDjj4QRJLbPrP37Vq+Ly2rWiDNcDK7boQfD0d4
uoxlBa5iQSCxe13nZb5ms+Mkd6puwyMUN4Gx/+Y4RWk8Z8jOyOxHB0DZ3fSsGvFC60ENyy19p8FA
oE/HNuvg73f+KYkXlOqtpOKKkcqjZSc14Gyazahq45DR75mplTq0Upb3UMzjQxJGAPd9tfJ4T4TO
dvMgt2Kzbln3PlT2HG9gCEPLLC3cjdHNy9bWz1vGsx/N4EAnhiYBK4jobD73UfQswAKaS9kqBzus
FdK/2niFN2r4ACCwr+GhVtAEn0Tltckntug3guKynkpeJx9G5KD8WRDIGOBiK/ecqbgJ+eorcDyR
AdW912YdzhO4ZuQplujCu+xb35Pe5wkZ1LcNwAb7PialgYSl2h+ApcDvkkShWkEw99FeWD3twaba
a9huRsWy/Yg6aHmTBbXNG7Z+B9HS3lPT0td0ocDEkX3UeA2bX04wnfkDusb+XCV2fhM3RY8vwL4h
gPS7wUNoRAs6gNpb8f6Dh9kPM6faAyia+hzc5XqQqu7bXIsYyzcegfv6fimRlszATWgH03SrMgPE
rCnZWwSJUOTImDpeDGtrTkYItL8ltooD0jw/kwXsP2lj+WsCFByKBT8vEY7v0KfBgYmQekmbS2Q8
KYKCpxRrPu7FNo8f2pgEeMWLbt/UQNWuMdla7R0cKlQa3G6Wj0FVdE8rKaDTzChhmwvbJQ1WfIi3
Vrw3PuhH45kvEKIpEYzR6XlqFhwTMyQJgXYohusoGArLMCV8LYZFtcshabUwh87G4yFMEfk5YMq+
n1K/7W00jr7QQ1lfXBxqUN+DVb+GGecMbCUH7hdqskoQG0Q9eQOa7+jTQezmxmwvVMGHR0otvioo
hoVv4W3cA7Cw8goxBMPTehPp7ALzeGbU7EfXzLLQFJsXJF4I6STFxgZz+PPIUyzWMoECzeY6PcwW
DHGGgNOxVYqqnMCS3a9iYc+q2pYdrgw/pXMWF0ilik+TxCQNtKMB3FUPZEPwhK0R5kA2HOzUZqe2
rsDJWBc3F8hC4UgnkOpQdbr4zDUNx7Ye2JhrsiKl1Gn7AZt/954lDb9vI4OwV+/L8nmJNlfvuMzM
ChyVTS89hX99Ipu1z0ACalogkZNcxSozdV0XXe/X4Lcnoj1gZ+qQPsloh3JWz1OBVbx95dUMrFgP
cXLYMEpiA6qGOHu+jQnkGba1Hc+Nk5s8YU8m5XnFo9Dv3Ozrw4QVi2dbxQ9ziuAEzl+A2ckoWFLY
C0AwWrsDjz5ffCeeVkzWwERe4dWxO7WGcHBkOTLFjlMafe+77WWk8uccjS/RIPeJYu+hqh7NdhPd
micwxfFZmHl6jLkBctvNmc25rVBT6+hDNyb3C2jgw4xpM2NeXFtZD/jFGjEdIGb7CA/yx9LBt52Y
SA56lO1pDXO0uxEVZ+xzKaI6TfuzHKMadmY1HbH80r1K3PK+xpMH4w/nBnsPZC6T4RLGGZ8+QQsp
KXQacqrD5ucDNVkC24EvugFQF2DEIXg0XhEdRW7A0G6EcQP/CXqb/QbU6IAjMmhzn/TKul1EanpI
G2eAceFaltU3IjDrFlmZkQ9jU1UHlOa6OjdtwtFo8b4TyKtVNLuHHQZJQop6fh0o6ilrIZocnOr3
DmZg+aInvsFxAtSbY/2NBYz2srqAOGDodBdxB2d9O6RL4+cjGg1XSOMFKO/G+QflWliTGYwmc8cD
DKlmpchSJBxJ1R3ipzfJPorXU5QZ8TAlE5r3wOMxLYBnJ3URfBpoTpdte2lLXHNUQMERcqt78WWy
aS33rK/rYpvoFuE0gIqtB5x7knzE4zrdtYEGhzxDlgJRWHWya0M/PoFiEgd4EkHv17nqfmTwSG/X
CEDnb+UK54BAxZpughaMEmhbyIzMcRE4DINjdhPBUgJ5uWul+jVGFfk42bGxe9U1yNbWVVXttxju
okrTuZCVYh99wmFQsbi3l2mQ4FXbpYmH89LAT8unNbhjDT7kFN8UO3/T7nQzmceh73V9wkbSPWZE
+i+W9eNLfNP+wk0FXPHle+T93uBDz8gTxuweeGD1iQXkACwMpeirwBB4lUkiYch00a925unHykJf
MkBpvuPKii9LVMKNXxqsGLy90ux6SMlL0XTCvCXTEKk88RuHXG27XdDm3bPB77eb+on02XiamTIB
4SGoo3js0QB0MeHuZMFnfh1vcmoGQ/YSTUM65tmK16n+UF7jdcEjjwDqNtQgArn3l6Sf16OdnNq5
3wLuTcptU/R925hkCCPelN509LiTVvJwiImAZO0j5e6g91ybql2hiUItLrcEH6hL3wO1bZHdVGVb
2nMJRvAYZ1sQe5Qt9zBE/OpuWjTQMrcVoeLrGWxqtZ9uqrUTS/SqaqGv/RJNDyEdAZOPfbzk203z
Vm7Q+xKaJSA3fyZhVV8xmAKbkdDM5U09z34L6Wkfb4811wgzjPAsJ8ExD2FinH5oFpfgDFao8jd9
nt+U+jbEE6yPpb5nbqiA6apr1c6P6VbqO5xNA7Ef7f+lSslZ33yA5OYIiNIOHy36nGPXJc9UNUf0
b9BB62E+InEy5Vm6dnfGihnndcBkqG92QzRF9n67WRDiZkYg+wqK4mZQdDerov1tWtzsC+4woQ83
SyPczA12szmQao2OLox3iEVFe1kt9kHebBF3M0jYzSpZfpsmN/uEK0DODlA6yiwclnDzWuAmk1d0
WxGoOzgx629TRt78GTdOpkVwtU53wcTsU6gm2NB83K4448PttBXvNbBctCB22jvZr/seZt5Rlfzn
FJtBHqza+n1TxuV1Ilub1/UsEUYI7BE6+fAa1bO+7zVNPDanJt37mqORDsTnm1XukKX1cg1jmiDT
F8JJpQTROWLDtY+BGNSb+iVdBqvPSbWrVi+hLDMAI2nDXN7ART+OVdsdO7oQNPu1lrtED3d93f8I
5VAiw1rra5xsAwrzooB+TPyr4mVAdBYMAJrw+QF2H0G2YYAlRxOEMTjSA4lG01FuOFJgTVrc4kaB
5FHbM84nYq9pXLcnP6360LkJSYxRT/LetqBOtDVbMbcT1gFc/wNF3f0u0RT+RIIRZvgaYZ8pS3bu
55Lc47wDdQxznH2UcYnJaUFE80q60e7rtfuUbRVqrhBwhTvdFKtk5g2hDDgGONdmGWS25o4nGKxA
7RjwSRT2m3RImJlV3Bpium8mv92VYxId3FKBiZA+r8FH70owuKA23KesFICEg+/OPtCnGYrwnhPs
z9Ggw6Hr02MdbkBRs/RjMY1YImsyhB2OLkF56cN60K5BOcLxC3mEveW1aRqOcN7QnCHd4mJqzb93
Ce0h/LoXvowiYC+Q9RsyRk8dcrUHSLY/Exw3ccHdjvYZtpazbJqjHG0A+Lk8BISjrqgFGNwc6T+g
VdtOKl46HHXBsJf65o5ZEQKOLIgzuBXIU+7l1CHiS+CmUontvcLjfYLwVR7QF3/pU1cfZSL5Ww8z
+34KtwTZUCfwcDew1c6ijoC9mGX2gcG8KMayBZo4Rsi6RN1wSFg4ETxAORRtfgcAvv2hu869uR5m
ae4r78+ZMzkPm37q2g72gktV+qEMI4C4Je0tsEWKpgb83kls2+dG1NthxklMmMOERU6nqnow+PDn
N54lIF594uO8txbRNrWsuIUTWCBkdjEwxROmgzyr0HzQTr+Xy/DWeZ/9mMLSXvGD/SPM7zo5l5MV
93E1tjqvjYk/V3aIL8k6rA8EXP03RSLz5KIRIjoCWNOJCvENTFayIBVgxnswVvG3LqYjYk20vQAi
iO8N0xzYVR/DA8dk4aKGPmOWFJcyU/o4ajteeBTD5qpIHZ216eyFIFdxvzTGPyMiaB6mRuLTHpFw
awn/sPSeQNiI3VcTr9F775Z+RwkMxyPi4YjKq1kFOMNa8XyG3gWLPp3xAUMAmCWHo3iG5OOYbvRH
SYAiSJuFHxwr/OhEBuIxHWBZz3XUXftSz4UgdjwiUIMWRJbIk8GOiKNlR5MU+BLxvpnAVfX8Y8rA
9AB4Emg64aK8DVsHpjztqfi5ktkuhS2n6Xkeu/YT3/CXgIqs9rlMSbh4k0IGVcp8LycvTyqK+Odh
cMOl0uIHoGd9iYOcCyBy6Ss69g/dKpq7CScwbHnCN2Q+OH1DhhdnKIzeniil9buKM/VzHEfUN5ag
zTLLcejofFn7Td4tBnxOWNT4mq1T9kxTgxQ9Fs1JtpTuXKuq3I/tWmi7sOMAr+eFOf0MaLfexcI+
W2RAvnezrwreD+5ere4LjqfrODYsutB88GR8lzRe6REVySCkM1QLsoVEABtpfHnqLSwaJJomsPyK
IA7dquV2wcfcIlfdw1bfIV+j4ai1bXKBV4t4se97yDjoYuNDmXVY74sHHCM5wpxLMKF8GUFoq9PK
5UIOm/H+CPQ++ZmCst9PkWvvx2r40PPSD98RcYlXsBNM6Oi56lPk3QYoGo+r6kS5d2JyUeENjS6R
NeBCUruxbG9QWOJ9FeE0jk8TtCcEkJKRvkdyTMKh7Jz9KtF4KWCsE9hIGM9YhekGHxxy9POqDMSl
LPRQzgLsYsnyasSpJ8iPh1Y1J27SCt7XipOjih4H0mRXMa2lK5DqC9lJ6hLH3AG3lOxuZBWEtIGU
K0NQVrAWaZMI1NGSYcCKXFcBss1AGA1OAn/RWqtv0+KQ/5tV0iAqhUUrPrsao9BDrdYu+QX9TY3w
x8KK4+xwwRcUz5x0sS2R4EHLnasEwOtjnMBtRWFZ5/bQomv5sUa8f2UYCKSQnX2R2KrLaxq77tPS
m+4TpqcJAXKg0F83oxJ7bHQmtge6Dqw5NgIQIZzP+MHiKcNk3jJR7yaPqADA3QaHEgzBz+ceSmKA
aFHOT4aVpb6kzC7TjVBtdiTW/Z3uRpyxJRFHQ7s5dF4fdVbf6Ii1eq4FsuAAAKAQY2nhtJBC67H7
JS0U112EQxPFx0imYOeGxqCmI8eHuE7FRuiGLIuWaT875FbzhcRIs0fU6w730yBEt0GWVCc+JfAP
QBPi+/WGhMdx7iXck22e/NO6rXi8kyqJ15e6YQt79DPCpXmKtlMXCireK7xkhhu20oDolZud2Stk
rHD+SVXHa5GWBgoegihoJpYSSvXoyik+DNVNGGkZ8fdJO6dbUUWpfYPd4U6rqjvxkgwESapSEHBI
okQIFUMixmUByPIeXXmNKAXsBwANONpmNyC9RAsgLIIWDbrPtGgrhXRdamOk5KJM1cjkuxYaOk7i
0zi0IVKb3XV+AeAEtLHeSZzRkT5vvIlTjbNXmuTM1waJKj1y91SJiuDK6GnJ+2RTukhwrgpYMTRt
EJuQYHltaxwlsWtwRBSiFED6l2KNG5+cN+3KZVeChELgZhh/1KBu+8Ji4P7iTFk/zZzrH0va2U8J
cxIK+Dg/xjNFkokNadfkYvNl3ureu6PlJexSkSDmdAaj6rPzYAzk3NrEg8tXJ+a7eQLiWaOtemKM
B1HYVXefuvl2BmANuXrajdMoOTbTQXwUNNAOARKfYl+2dfptm5w8EGjk2KEBHSR5NuJQuLdm0QiA
Z/2cNr9WuUKsj+oUrNLsYrT7UJ5BWEN9meVdhb32KIWpx7wBKeiRZXH824qjM5ackzLDag+i2Vuk
CxB1VcxdjN+az2wbzGtWAdaMcPDNERoDlgvNcLTNDnhEVZ2WRWzqugVFcSTKWDXZbuBV3+G8zh6P
cbv1nB17T9FUERKxJzGlPb+CEMK7XhLBujNhDTLUZJ1SbNpl5ctdCh0+FHXUyytO+oRInwWCorYo
kK9dWMTFNgvvLzRBh7jHnIaF7Vr0+rtEWPq1EbeWs6G9+xAjpcGLerB4IiiGdjxvtgclNa8o8w7M
7bc4lLiUAw6vw0pZcOLPXCczWtXSm/6EJIJ6mLNFskcO65RBjIjQVo0hwZlNyNjjLRg8kWuR4NAo
HHLxe63TrKp/AvlhyT7GiPfA8Cb5blzhb2aIx1aFt2b4OgvH53xyCSjvcl66D5Bxs28NoJqvAeis
P7ZgHz4xNJwjHlTFPyE1BbTGakDafZUiHjsufn3M8OjdDP3Uv0XAdd1uxll87Zk2wHIv6vfSSnum
kn2NDJfI26pskb3lFX2IjRbv5Qq9uUeElha2WnDr6sjT+pg6gXwj4P8IU4GWSBTxuNQQuAMfDyob
0Ln+X/bObDluJMu2P9QoAxyjv0YgJs6USFHUC4zUgBlwBxzj1/eCVH07U1Wdefvxmt2XtEylyIhA
AO5+zt57nUJb9Q3q5aJiicX5zpOajzZUtk1oscO4HyRgZeAppm6ca5AS3O1OYi62EP10apzWnU+2
v+It6DuyJfFIhLs6YIRb+n09qqmFXsOyiP14rUjF1EKTSpOsd2zAQ0yPY06OFDd1czMU03TTe1At
Yh2acP1MuKT9uoT4pOFewEy99qmN5sc+a1KOpiT09H7BHjjFXdTq58lgMCNN1SJvACGNxg8/9aul
xvh5sdfcczHgZc5720/ybiywURz7WUQNlbtI0WtxdH8sC4IIBDk2ghkPGwn2bMA/6i1hTi0amQ8y
p2dyiWD+tYdcpt97iXPbbVPOc23uyQtRExz8GDTNJ99P1jnuhs5dgerUPu1tzTa3A2Y03SQa8M5R
9Y08+VZEb9/Q3G/OY0+E65QFVQpGCrhE4ogmuS4jWQffhrDPlodCGp3edYHh4fXreTU39jxqnkCa
JOK6LwHondvRICJSO7vVxZcmWWMsgmTnMIN0P7rWSskCr1b5SbnaXq6nuRTJK/jAVZPQmZPq4vZO
Z97s3C7XTyLZTgaRM4XRgUAsgYOI/oT+6CUFFqDMKQ/KMXLYB22UeTHdnzxugp6ez5ho9gu0kzy7
wI7LKS0nNZRmX4fsEu/emuXrupunrh4eaMYX/SPGJ/G8DmsbHnot3ZlgXU94MNL+4N8PWFs5yQEz
iXA2lo0jPuD5Lo8dbcGXsCrXr2luJ7f+2jqUvr5/jTtlffH8Nud03fcfwnRtsThikvHTABHHBAA9
OCrda5F3sVCOreImWcMbDnK8klD2EKPHhh89NzBfyzpMuX1kHp7sLNMPKNjVd0d1449+Teecp2pJ
4rUayX0WqpDX01BH14HSQQfld5ryvSWk3E9psryE9pyfe+KwRkg82iUBoC8zYZXX3g7ls8WxNw4N
twIRXB1DMva/13mNBUy6kKnGpTCXcGzs+8wj1H/OcC2IqykBKgw7RHWY8gpzZjHwz5RUID5ok7Tv
KlMBC/iwRbMWG3hBMOjszV29ArThTPUfTfhJXW++8vFt7APHkldkLxAM5zK8y6QSB4x6mI7JYSQl
tjvfs9A/EudUV9n6McstnFoEvW1vl3Y0t6LVm88V3cE3YfpsD5GsvOcJUlYcZhUHyjDrh6+TKyt6
hihQyN1jcWPwmYl9SQtFI0jn5PlSqlygIlqWhzass/uVXitkMdUjqvrp0uw8R43pTuik/ghoIvuB
is1i54xUa1lt28WedrJy911N9j4bMzPtiOB55FKL5moyyu1jXeJK19XQ8rVioCvwUF4WCayoiKLh
NVghUA166G5wCKYXp63QxJzkBeB1w94DGaLYh07bAk8opu5lIaYe5V5xp4bxOfQxJVojwduFbtYN
sulyT+a8nPeW1+UfWgMqNOwicHF0PAmYJr1/ZbZMKmyQ4SnDdfy2VFssA3PFA41Ubvx10s3R9jub
AK3m3pBpLrbwe04ooa2Ig8tWJJcqtAFOJ4TRjmGggjaWta2z99rtIb757T4aO9XtrSLvTtk69cQS
eMEYS2MR7CYqY0jD/kd7juobPCTtDq06CqFEFN4Z0oNCpKbIf/CGZZl2yp/aWwh78kJxXBHc9+vY
lIOgwdZkKPRJlLt7b5LyumiG9gsuP/bZacna50lF4V2+FssrPDlxkBHaEilL56VxrIluLuQ4AEQd
zQq3tPPsOIAMQ0Kuq2sfWNgd9OwgPaa26OLJUj+sUIxnv1Gmijdz0P4/QG4tfNUJBmJL0hMdPKK7
XHYoQn7ecV5Lk/aqyGlIYbhP9xVwkL8BMP7ZlRMK5GgRUAvgRRAgWjc4+x/dJx3rpd2ojDUXm3gC
AM71r1ficF/JKCCz2XV4X0yCU+Vf20n+bI/6+bI+ThJMXzYc7tD/7WWbIZ/9dTHo2I0VRru6Wrwk
ruh3s6TWEYVBSAjsb14TO/fvDhYZ2QEp3RBNxw5Bcv/2YXuI6nWF6GxGb+tkkvFHg7JZvGA3+qY7
ZvM0PM0JJLPG4TyNDSIqzmj9VHtjGazmkC2B/Q6cQI4UT7lN4Rr2s3rxhfGtS2DRLacuDMgqvQVw
LZuvyveKHzUwogLNO8Kf4tsN54OlcMzXULbIPwNQVYedWTb12WfcwWNBSwPOWLW6d6OjhueICnfa
1/iP3ccWMzsGIHtQ5pwN9QiYq5gWsktTEurYMT7SXEFRpN/l4m3eEUuVrKI8dLTJCDg/yXxAONWF
sS52soAsM9Ok1T4MxvXiu03wgTBuxaNFnfA+zRN7XTZH9F85Wh1di8MlADTP9WIi7yvHQqsmR4j/
CjYKDhe7fln6ZrkEFVSE3QzVjnWTwPqVUwYatYSq+gXUkm5i5bf4N5so55QxzwRo0any16BqhH/K
izEyBy9xlq9VBBwdgsA8aEKlc28fCtLCzk4TToqNov9M7djOPPz0xMgdFO6gL1VtVEkdU9IulmHX
Xcu1ZIOJ1qmocA11mFzSsF3KWCnZUYVZ8HtSohnujvi4S0o4MAPO6CmDiVQ4JegtgVXG3y3V0F2B
nLHlUc8LDDW52PP/N57+cov+23kr/20kdTzcgP+z8/QmN9nw1uRv/zVKZZvd8PNnfrlPRfCPiPBP
iLDH4TFyGAnxT/epsP+BEVIK7P0OBjbatf9tPg3+4XmI/KGzGQNDfur/mE999x/RRo+WDBvZ/sf/
asKE2IyNf7BF2w5uTA5fwgnwRgesd39edbzEr9iLfBVj+FIyVo3jtTu78cSbheBbxm09Li+VysYn
GntfaGNCXVnzEChdTpP1sFBe9zGhlvqa/hT0kbWvETHd1oqsgxhTQ0GaQ6p5wDC99Nfz7FhLTNx8
/vSHS/5vHK14NH/7IHR+kWhFRCM2EL743UUb9ZEbrsgpcTARATyvAEUGmqCZt15pvET0+1Cev+Wi
k8Sqbf09VzIK9qnGVrHPUf2rXRfmrsd2vNI1GIVKn6kz8ocg8WoXAXaormc8tUVs5tR8sCkP8Qvh
Oc4vs79E5VG7NcomdKAqPVthMGtUX7PoHdogK3gxpZDKFt1Wn5Nhsq+mesR6hB2tQPTr2MQeJGC6
T96Sz+FO9jb6YLbqTu/gy1fQHVivD1MazlWcVQs80ol2PjGs3IByLqi/MNHSy8WzNUWcOHOUVtqZ
uDU1ipjrEEUvUV/38ILVQ+aaCbciay+guHCM1LFPE8j4JV/yzRya6DGIqjzFzV/byPW9CKb9yOGf
ll5NTuUcyJRT0cCx8oYzGYEgn7SxOjm9WMm6Ind+i+hAAqYiJ1l0SD1lUTTdpfLH7rUIi86j1Zm6
XCRLU3FFmdOENJPletbdkL5iJDQPnDLd4VjNIidCG0XjXbSGg7OzhwY7jqDqCg4OJ7QURFUyrzsL
+xyNrMQp7ut8hF80ymb9lpAWogOWTe4PTbas50NU0xMOtNHC1JGJ7ym0DFxkZZcfDEezOyfDRXjf
zo2gfAkmxJwKK1XMcW5Xu5BE9ios7Hoz9qxPJYX89IFcPTpA3teLe5y1398j60nceNMawl9zRxod
rs59aIW+4+wJVkVtHDEuJT06ned/aloRfc2pO4J9kI1yvgQF9RXoSRuHA79DfAkp7CVfW7akB9l0
8z1WxglVsbELHa/sRd6NZUUSh9YWYiGpXqw/JjVzG8uE7vfeLmXbH7kFbSqbfiCT66Ekv00KIuGB
Y4h8pfmHkabyVjTXZiSZSqNdTSlKhO99FGY8CfZPMJvlAg8ihM+EFyipghX1dYOa2EuiLei4S3Xh
xlt6Dr+lfwLKaZewmq222FdrMr0AvO6mQ4db80FqZwPvjMa8JIUTfQBqsk5PruiLz0XVhgHduHn6
4ukRjEJmWWpGsO04DftNE2QXdGhambJVnFdh3X4l+2zoCGXNcq5VG0WndI2qHw1kr9s6LNunQHBe
6Acoi8A4xMbGmVPGNHTTO4Tx4Mqvabie0qhNoIlFrwZzfn9esyV5WozmW86Idu6mVpmvlbI5ocuB
VgkPNraxK6GKwI57EkzdAaCB8w76Y3ROFmHIzxL2JYegbMaeJskuTTspR5i7xPnDA6iREfwO9LVw
7/jJRJ/Iwmh4KDmCLJelU9shgmY2q5NjhT8Y/+YUl5HrHUdZ0OZHBA5D0tsfoii2u64FysmiTeIS
rLfa9a0GOE2V1ycHDLT9u/BL/JNNipbpVjbGiLHRZK9t+g8kpjzTxmOVpj01mCOeDON0xG4JpmGI
QwSPdG/ChcCYmMLlvUzE5ueYq0PBQJn0sXWdvjw4vF65n/oWZKnyQSCDEu68BVAPN01M0Ma8lKyp
cl+KnK5glgwzRHU/gz9mchqP13ZY14c+n+VVyn/TfA+S8iVfJms5BiQwEaBmXfu4pqv0QyYJp5Ee
z1HAnJ5YG3mpBdZE5iO0o7PKhMwl8SF/j616oLALZrjpQeDkzkOaOF56zGrOeDvbIct0DEpVrDgm
Ri88mtKpier6Jr3D6KgNrnaPVvIQ0rO5qamlqx1w6+lNiC57IpTpQYCtyuCbGKQHqm2swN0ErOT1
tyDP1n3Gw00ndU2M4MVcGu1VJ+R6ZaEp4kEtgtqLFW7X63QCnB9PkT2/lVHp3ObzVh+yIntffU+Q
queuxuCaSNaqNg96AFHSiI8yD8z1hH7+nEF8ZPxL3zePjBmM7sOsFI8imfsfNPTE+wRPvDuWJQOr
djy9tI6SvkefoTMqJE+Yy+NvEhN0h4oVewt9Zuk9ZEH2iHbyGw+3r+PtSiDGzk1EbORtYSRCeGgG
CToscheK004pQta5Cc0zgkTB6bpffW72MfSXc2JxGOdX5YPeaE/mi87sAhEdpFZBNLzMZ8h0fvk1
830o3hRWYJZ12yekkXXlPeUJKdMdx+YxujLDAkLJ4/l4CFx66DSh8BvTNV4iugTCDADAlT9mWGTn
Jg4n6nLybjlOj5FwSgk2r5UPU2fMEwHRzMQbu+Nh6TQgw9IFDwCzA4bYrxr2fxXX+r/LYt2r781H
033/bm7f1P8DgSxnOyz+z+fiP420+3km3v7+P8euRf9ghM02noSGGJV2wPH2VyKLwYUogByWPZvg
VRg49AT+GchitpotfTIewqEt53sBQ2l6YnuMXXP9f2ADxU/AZrRNk2Ii3H9lzf4UqGN45r85TP7W
drAdkFtkxRizg/NPEHH885m4RXvCRRCBGM3NdF1A4gokwnRlhHvGCIZj2CcS/Idr829ek8X095cl
jUVICs1QuKBQhPjtKI7xsew8BxVfYX1en9VEL/tSWwhbsUwKiSjAETu4aTeLChjZqA3v1ylxiMx6
XqPpDkHVv3ITgIpHd+wiIK99CDQdH2m+XvDm4sbm2n5zUuHA6yRByxPeZbI9FhXm0deoaqFWUXZS
E9t9XrckfQvVHEI9zjFFJuwSVZKe3RVKqJc0HZZvzOTBIbv2dh6npS01fvl+/DyWRTYecV6vsJpl
NnUPGEzVR0aFlElM+3oNQOvTet9BbklcCJfS+4zTY01PVhRkC2+NRgdM7shjU+yly2doihziqy4D
hgBh5rQYxCAXlJ09Jr58iRmIkofXG3Cro3mFua7cCfwz5IuTeq4/9BKLf9ymozyR6RhoYjjOvUhT
CMs2mbxXYFz3Fhp4T58gnW5V3jfHrAvGAIvHFH6uG3ytWI96r31IprCtjxUsT+sjaujiHszkDhUQ
s8SGRsIkkuLk0AR9nZwmeEHmSw6N6AKgP6pWr5GKunsbf8370Hvwo32/jJI4yVc+KCukVHR5F1G/
07KvJ+DKPh+ao2pW7CJLONHeAIxzzjY+IHY2N5PxYNXKB0tp47xZl5SjRCLcj2NShv7RbSpX7THY
m0OqPHMgasI8Mk5yUg8P+bKM40e6Wbwm44j06wb53gd6WcgD9q5X0rUOV7p7pr1jayGQH7V1jpeu
dfIj5FNafQAGiq82alnEjku671BalQhOM96xbg99DSPSbqmbEpapBT5V7jQaf/LYFdY4fYuANDnu
lZQaPD9Gw9VWVxhR2ZMNczPQnDVDIB5qu1VQVAv+tbQ8vnsM4l5/xIcrKFDGMG/be1560cWxw6VQ
HqxQJt0DnB63fNDuYMpTstQzVmLBbJ/iZIzL/eX4td0/zqg5KYMamDyALWtCgp4ebD00xXOtRFbd
YAOZuQsDIkucOFu7H1w2nF9/GIGsHM+zFAUsIFvymxGpwrCMuzIKGLgBTz9ClnGmxB/XOJcknS9M
DQyDLx5HKtDZaR30R/T4zHrpNC2105qN3M1uvqrXMadkO1h6QuVapoFP3ZC+J9ykVPTYKNQ3mlW9
7l8Xf/aaOAnyNuZJIaExRaGZD8NC7GePfsjPW0Nn7FMbYgDG6t3xqNhqpt1HhgIvVGiyrnyYAvxf
T8wbrnE8Q+Dllu4JUXPGQ20lXlD0T7mnrfyil6JYYr0QdfnKJCOo5xDoO/uU9G3wzfRW/qPqHPnB
iFb5r1nD1JBiaB1zpPa5KkuH0Soczj+5hVfKI/q/95TqPLxrB8fG3Feds7TeaZvjG5roPts8rmJc
PAYOhKe8B8gsBm/H6IZCYf9hvl3qP7tLScc65bsyaMGuhkBhxiGklG6rB+3b1h4BCSZygEnk2i2d
5NO4RgN+D2Hl4WMgmqfGrX8wj4YEUUvP92RXxrkM64hsAlWCyw+qMGM1JnUvvekjLlPQv7lov4ka
EOqGT3uENX8GWdAdw9R/GQvO+02DhDes5OYh/NV80bchkzPizHPOoBT706JVcgmb4b0xNTo6gQJh
KGvtxPpoFdA6pj5cYrl9M5L2gbEifdUtMtbW/DzlYKaMnR2x1WT7CA/I7dgnhvsBTzigRWvJ8Rr3
OD6Dob0jJ8jKChyUGgpq5B0nyE9gsoGHrAzSSYU5hG2U7Mhxqs9O6riYQz813nJNTiPY2056Rb14
CuwM8AMKXBeUHqqOxvyc3GDLopT02AzcYb1O2746ps5an7yk4g5xzbWLOxaSevGB3QtlueVxTb2a
mokltFijI8uU/7KGyxOU9GjznukfWCDPPqknJAuMsMn4Ra04fJDl053Wm52AgRwktKZoLyW81XRw
TwOJOCZlxS7Y/lS430QkL2iK5yan1FOU5a9JiZS2TzK+lowymEhic1SOdYNg8eTK4sheD79cLmgc
c2eWXQLm3IuXvMgoadZsONr0Ex61LSFTuEZjzgyuUoAnd0PiP9qYtPcZFshdIoeXcQwfIf1au6HP
b4z0z2MEoYlO753IE5bqWYI29opTqhi3gKFkuTj+8pmlc9rbPhKsafT86PdsSlYJh85S8r0YmdC5
8wxSGzDBAJ6hzVoIgmadHmU0b2DoaD34U/XodIxriFODk70zvQEYGS3N20QehPaICrEsqHlkdNO6
oU8L4iSg7qvpNDqNf56aoHhe7GSqeZPUwsT/AHfs8Mh9lsua8hSsYBwtii4VZ2Ior7pkVk+NCZ03
qev0i7SUooMR0tU+AFm6YZVY7rseKFVb+dHnkFDXlYcP6Q2fZ+eQTFzWeKgxHh4WxdUiYhanoV+e
06AE+9AVrioOgxbRU68GQJcZFQkp0tWDfznJ9pCwN9xmKZOfuKvXNEa571/nzDjnzs7CL8zH0PD7
GZxWclJkSyjHkTpygXHmyDfb1xXaO9aync7bqjw5TtoG70C9jHMjgaHSlBvSFPWAg4G9A1SvTioY
hx3oaerxFc67dtL5h0RlRylsS71nPkuOmKlWCtykCPYaFg5QacenVCtxKOTIBW4wxn2QkAsQdkXW
hq8xerGLytzVeQoZuRGZHR0bJsrgijTzFFt2w4cWTFLAW9IzAGbNAo5XqgtP2KTw1o5ddl9bsL0T
SnMsnyNpVJvGYgRvhaG5qXvoemOYcJoV1T6YmUsJZHdWxCcrzTIbMNaGe/QxVH7PIIZhdeMARre+
dfDY7KtsDDV2ix4UQFdq5hEs6xmdjQk1UYJzAyspnAuKf3b4NB2/EsleTm5fOJ+1clzUXuYarvvG
mzPN5KghO6ewwj73QzAeyhpjK0hPS/Y7rAr2p3CSpHtJ4uY1RXfiQVuxmdQDXsNieaEQZJQGge1b
p9DhVSrq9mM0hy85G0/c9yOKvT32zAxUzV0OY2pvmuDUswQCziHwBuXfcp66PhEHtlP0IbJRhKDw
p4EDcB/zysvPHmvl2WhRXHK3rY7MGcNQtdLdVWx916G2ulMzuLTY3Gq8mG5grmpeBo8j5+rHoRvA
nhDCvza+/2O20UIVTPV5p6MxoWzF2nSglm4Re9rUuS1gOVwF9OHuMpFX8NNh8qH5J3X9VUf4FA9F
PzaXSI7N3ToT1Gi75BSC/itpBg89j7ZryvCDsbo129PuTU4OwtaGfrM22S9jFltP39iXqrqEYGyS
czg6gKJVFYHDxKO1dkF73dP+Bvc8Zd/ZPntnF5HGxOI0E5jKKCAiuux7d9ran4s/PbL0DPDzs9wn
faWWjbjXDWdiDBXG/XWI9qrH+UEOnRqaHs5VUpXWsRCreTaua9F8K6zlzLwixiumpFJrMbmvOKjY
Gr02Cey9MAFI7BH5kilBpBwUKTfvqACzEJPwGB60W8LEfIwwS9/i1SXSNlTjB6pHBomsVjidtvF3
+ywCLr/rq4FlevFW5sKgVMxPk+2MpBSHKPuBmZ9buqgX8QWikr/vuyCFmL9Id49TTtHQtjbP+DjZ
zDxoUiKPeBajeNR1udfuuLyriYbflikeM5BVYr4PJityr8C/5N05MD4Du5in1IbX9D4eKzCEPmO2
ZNudurELrzIHz66L4kPatO6vhtKdr5i3h0GWsP+hCouvjNeCIocTdbzxW2lZ2Dcy/WjNy3RV0GCn
+cT0QYG/cUc6NrXAsE8ODMM+KffuuGV/LWYPQA1YCmZIJMCfDyMnm/Q+4+tPdxPpsP1CjoJChqbL
zvUgN+BexAaacGeeXbx//dguH2grVeWRMYEMN+LYZfaeUdXtlGDVMKzUN0NG7mIY809JkOXXrOrO
dVSv/t2Ydw7WggDYYcQkh3Hwk1uPVfzenxoGQka5xZ6f5s8+9ot9SDTi0C4iux0pp2PkTe9rNKxI
1YHd38xdNT5asEIYehQ9F26lL/biljeka5rnjskvx1XN9OwZHkGnuWnPCT259MgapOISSQKHE+M2
dgz0wiBvwENmi7TbQwuMytcrdzM9PRYnPX9Yxzkgt2BzxMhb7HOIK0k/XPsUj4jpeoxdz0EmZmqq
f5qFHi/gvFy8YijOx62zAVcrMCVzyQPrrIlIHN2uYfoHwUrFi27ZZKwz5JTdLbIcbOHlpKHGpstv
YsAYgk187bcKkgBhAnTpRM4+fUjmIDjW9P5uK92En7A7rT+Kn8Fps2Woa8LUFIskKjTv9iCrkT7/
z9h1uSWw559h7KTgWGgFprWvo6gp2HCIbK9beLvbYtymK3xAq5ziT9VEzDsIWxLflpdicrahbs67
FLy7i23aya4GHDTzngGE6wHFxDDeByFNt4xBrIctXZ7lHtMiazrxx+ZXAP1XGH3LpU+0T4mob2l1
y5BbXzY+gg5Q8Rl4Zu49Zh2/B1vSnSYzVKuf8Xd4JwxOywdvOdg/A/IpxQQx724LzuOKKOMZy+aL
m5b61a9SA6zOc9ERiLv5S5pcBGGbq+ZnKh+/d/00/MzqB83sMRCgbOUPerzFEx6M73U6s+uOKefd
TPQjoxKQB/1dvxEBGBSAQifwnX7tbBMCH2CD4xiA8N7NGWajkRDHdbaK8tJ3+Xi0up/ggY1BoLVN
uC0v8gmsJowCXhkg2sYtEBvBwNtYBuQy+xc2t/qCA929w2Ntzp2laeajMwAtnqem+iixhd9WbpU/
1cFS3nmQYnfjxlHQbXQd8rWAf2D6kP6JW0h+ohcC1ng2io3IUPVVfxxpgLpfoZWXbxWOCL7YJXzP
zTJfIfqqU9E07cXuNtxDyJQDwjdlCQYi34gQpktCwBZZWM8X7BH+R8gYWITURpIwI1/6Hm6AezOV
NnYVKmey2iyAYM4WbVfHtTKSGWAlWTwMvDrfQi/5YyEofxhRIYIvlZNWDLwgXYKmt6oeoha+vOoc
ipLBAJXpw3cMTpO+KQmehvuI3LcLSzlr3qpm0W+2Rc58toe1hCTMtFQeI86lXL3M6m4nr1kYilKW
NaCCcpmOdRExqyJQHH7YQ+313HHi/MHhbONuh5nApZFbOSQCOx1AefKIzW7tvNKJQmU0wESuEYeT
F80EOfZvxC0bwePbBB082yugsT531tK/ldh6rqasofROfvay/Grk32vmuX1lXxizy2SB2meS5ahi
VsvuOWfcMd0qYozZHsd3i/qkV8KhuRqvrGjVB4I901MOsuUATI1mAEyMVN4MKqquCniRMID4gzej
kBswwf4M22Jbo7EwT1imLxuZ7WUMBKnVbHVopVkmpA1QLhkZXgdUo9nBU8JCNTM0gyQIqzo9iQwg
0N7UTo6psmKH6QYs4btMYhjFXJ+BohAdBhrWvxLSpW58652f5tTPbFJIoGWlXoGgJddNrxIUQ6so
VXmgbOOXKOBSCwgAbYO1UeEGiFl65uqSUXuOnB4IiKf5azyULnevHAHLpG6NTfvXnxc/m0z+1igR
OUDHKEphRTbpwvChAPd8nvg2Cng5dWzXaML1YCtA9wyAPVe9mEsI0Snoy/s6LbgYAtaWzSw2bLv1
dSXHKdxwHBM9JjdkDt8xrElJkaoCbvsQwCuFjSFn9dp4GCVj5Up+xRQxwxwkBqMc0KLYaJ4Zo9aL
iHrXrZ47Z+H774yKQJqAc2oPVlEtvMF50m552xMs0u91E9Jv+TXi/FffhmYVF0ngnyroYXR5dZMV
Vu7HjQ6T9iCZL1acSVkysQKLfzE/zolWryT+eYPCL7h8vxo5wNV5VxaoSERglMryEKiUDxe4M39H
tpMu0RFBq54WFDr6W1MnuVBD2fGRTO/y+zHD80tnhlu295Zj8/3TVXNqpGZd96/VJhoiuiQrc9TI
QsyPrJdpcept6ZW3eDS5KYFT80nrZSaUz/yLYijv4Gyr+mYcyuGFk39vPjGUJumenR7kwXFqw3bb
0dLEnAbbC/W+i3BT3cKw5Y12E8zKO/nzo0bgEoILPT9CNw3AvT17OoOSCjKBODh4DzPhSihKNLFc
enRYRxJvj9WxGQ550PIR58rj7QsxTDMnJMbX5QMozA5t78bCq7tjCIb3CWquoEzFa1f7zrFswrV+
8pJxCnb/YRMqorfm+buWx5Jp3MjhuL5oXap7b8LVzxyU3n/9a6XgX92JiKsRPC5bCmaF/8uo6CkV
0s5d7lrhkgKY3dzBmTGS15Z22OVH1xlq8zfAOPEvL8rPSkE2w+EkiFfpN22C0zRCDKcnDB6WeqVV
B7o34W743lHfxWJYfXKSvSZ6M1pQraqhsazjQpcFD1+pH6upBoEK79c/QL2CgMJwoePiav+LhrM4
xX62UYr1qsDhLAbqLJWLiZ69wBo/htrJjpIsPjlqArCxBCD6d3TI7e3/wQXFpbRl5AZexFhq4SL8
/FnxWS2s6+wf20qQZtcNTpBLmpU67l1/fugmb7p1mbHO2KVUP/0vv82Nqma7RIQ9G3/Y715TnCnO
mDckdsBhc7Isq+BCizj7nvmKCkIiNxV/813+RpzD3oqvzIGBCdcC74/t4Tr7k6sW6tYADBh7K3ju
u5Wh3XrnY1afi5UZ0DqR6N2lDu8tf1RXTdRJHEozLil7iHrraJkto5tlrhj+5o1tr/vnLyFy6B0j
8G18ThH+brvVnSg1OzoxOjE/RCB4HiDjcV78NT7+r6/79o3+/mIe/jnhRihtPE9/vgiSnFPb9kwf
/ZWwyyrlDns5p97lr1/n9w+FzIeoFoLy5c6SXPY/v84yrkXBM9XycOJQ40CL/g9YhITLnl4Ge8Nf
v9zvNzIvJ7iPhIscStP/d7Jjszg5Dj4WMfKb/PJ8xjFwXBa6QCdGtLPoV/2ydaHYGOgirxyy4r9+
A8wb/u3KOtxTKLjCw1hoB7/+/x9Aj/lE+KZEBCLZa/TwkvXVah0KzzMBcqOVEnVnysrB6lOFNJD1
5WuyAv6lyaMBYAwhUZSYfjAtE4OCeNczEzZhjmYYbVkP6HCQtgpABomBIQzzNsFKUxrWD7y/U06R
AUzyjE94CqmIcSjR+21wOyx2K+yzSklexf5gWPt/aTD+aNhoEQ22Qyh50/ZeGGYv0P73OtDV1tx/
idLFy68bTrKCCSF+oGKrCkBfdJWxzUM1zVxn2c9O+0xxwYaKTIMUqBmYhlI12vziCPYQno8hIXw4
2/m29U4J/2xBH5QHPFfMGAnd8DGVC3+q/dBnzPfkhsMOBqYDRsT2t524yDgNCIaYMUewMxBMXMNX
ybqWvqVqVskxx091VXc9nWDPhMNNEZXyh+1mbOBc45wzQIKkcDWYIEleGplseb0syz6tnVkfCcMb
NlPmHjNltUqQoASt9+om7yB2nKpw5BBiImtezxkUh+G7D2mAkJTMBuvjXLhk2ZZ2ZLvvwarTnVBu
ATp+jXLylm7E73FzWkkHsWoIb57kSMXAu4xTVOlGXCgaNUx6nQuuZYJys56TnrT1BdoAG3QNJBfx
7ud5xNelzK/m9j+ZO5PdyJE1S79Ko/cscDBOi66FO32WXHNIig2hCEVwJs04GIen74+R1YXMuFV5
cWvVyEQCOcld7qTxH875jsCFkzk9s9QOkbZ57K3RrC6TD9IXoptifj2ECIN2+tdPGDLBiwwsY8jH
6kZFymSSZeGRRd6vD2ENvcMcyqvDWefNLhT5OXhgnXb3+Enke7fk5CzZcooZNeM8zdzQf7Wdlqsm
B6x8no1RXeO+r6tdLAsQgLERfMTFdNvlNWsFr87nq+UJOsiyy4HS/1GlTWMO1BRFk9gYSoNsYbT5
02rQ78xg+PABBb5wo7iqFxIQlCRJ8u9v1t8UB4h+OSoooSDi4nLwVpHxn58EoVcUiGlqGwljRk2f
sEB84HfknAoEGb7oYdJrHgx8BX//ur8fvpbnCx6zPq9vU078Xk0Q1mCWcTCy3C5DzvfEWD0cDe3t
/d+/zu9VC+JmFCEopREJeH7gr7//n44idk9paDM+3NQiyC9r0MnCzbuueAHfvmvkZtY/Of7W4/zP
jxWEC8zQLF448C0TQcdfX5FRLsymHEilIADqSxpa1Y/cdFp1TPMQOIxdw8Qi9hE70CVerOat5zb8
+fe/9D88cUAdI1sIAfu66EiC39Qr2NPyCZclCs00C+8I3oMZlEzOj3Buuan//rX+4QLitVw+48C1
UGNYv0N9U8yDaP18HIhLU3zDq4mDU6Ql/yDUjQT9HUyff8gb/vXX9TxKBOGElAq/Spw/fbFLONvE
GaNCNcdgum9mmiMmeP6DZVvoShx3/qySlS/896/KDfnb12uboCEItwmEQ8konN+/3rTBlhmTFMlI
qLwzza47z8JsIb7g4JY7W7AJRxw//QR2bH26Rg8X1s6D7qOD5dPvjGBWnzYsO3v3Cx2KuY+NuozD
8sGvtPMia7+6CZHvgoNA7vAlZB/8UREr3q+5WwFZf0zdeAJi2ZeIbonsJh5Yf5RZsMpmshDrITcD
eYpjOH84ru4UFjVD5Tccmqx+lNd8G3t4+YfFsqcT+og6uJ8sn6fIjDQ8e4NTVPX9NoVXg/HeM7Cm
H8iw5PmRDXVKAkkgoXeYugKQ3jOrGn6EANSA28XBIs9jQ543a65aG0dELxymqch78t0HI8Ph86ut
JwmHf17/GvoYDuU+zBH2wfdCz/yEpCQT7Uo0W/xY+InFYhU1uFmdgTPnwQ7nuUTBM1QVrajdVfxM
QpFsnmfhcp90zoK0IxAIRhYAvTBdtL5VGs3xPltWkGw95sZdx4r+iRSu9c0lZO+W7FI/c+CcTL6y
0Lzr3KrnF0EqswrteXaHeTAd3KIUcB1qtDXAgX+WpeNiXCp0wvN4DsxuRTl45k3n5kySXaBHkWzl
II6NrOdw6xlu/Jqlde3v52oIj9OSOG8dwSxfXFzBlAeG58oz2ajupW4TQUhkmgfZrg6D7tDm66Xd
o4g7skDGsABEmyfTnItebBFKI/ruCpCKoRxR2/86qqFv8NuRBWwUN3/ManJSwLt3iZ+PryoMeFTD
JaBM+uO/Z0MToInOcKFgdWmRlPuMEt8mdw1rDbxJQnlZQi8iB8R4N9ibPAukLgx1hBlDtOzGgobJ
aEjxkwZQkp7q8+DOobsHfzz2ZJxNcYVnZBji27yGUrpvq75TO4QYVXWbjYSabMvJI4PeRWRjbJH+
cTH/IUFZ2pm3XNd9Ig9eFTBJLsFu2oylZWrifhC6YjO2frk5qZLLVnooPIm7nP7D+gTk/r9WBP7j
fQ8tEXOMiRgQs87vXVqNJi7spxw7RsjwA4WyLIyHppdL/e3XEfMvqUUh+/Pn7wLQPwP5//2/FZT+
f8jtX5+B/71KdJ/V5Uf9+Wfv1Po//CETdax/czFgmhDqsYF6yDf+n0wU65SLWRUgMErRwAVl/58y
Ud9EJmpDPfICk6PaXx+A/yETdcN/Y7cXriEAFB60Jv+STNT63TtFnCkoe3pIHn2hR0zNXx/2gyiY
WvQhDKDad79k7IFBX3SCkWo+WuR8ISlZXuY5Y8zN9Q+qrcFWTdbZYjavycjv/c+eT//FG/Lo+rhZ
+KgcZKR/fUNMhgL2qb4RWUobrHtTz3hMYJVAIENm8jFD5NBQNWmHt7EMiOj2XKd5jc24+KjM3tb/
g/fjY2r1Q4Yc/CX4raOXHdtL1nKEsBtu/80iPmeKkPiz7F+zY/L9UKrlqy/tQG1MB/s7PN7JgmAg
aLISkJ7in0wYfqvOmHeYzM3ojbk+1lHWb1MssyUxN3HYbPIAgODODgvMhO2NsCU8xAlkW9NLrLaA
IGD7XDTWrg1jcsf/dIHf/1EN/q96qO6brO67//O/f2uQeRe2GzB3sThMLEJs18PmT8VL19qdgxLU
ifpeq1dBtlpH3Cwu9u2M+jNkxzQmTzw00mxf1iPEo3/15Zl74NtlTMD9AQTrry/fI3GcQ4HgowYj
Rh+soEFtBcsuOzIHz75N9bL669G7atIlK11Ef//6v7qKP9XIJpZuoiAo3RwGtPzx27cA39ghJ80n
SJYP6SPIfTgICg8/bXTbj29BpgPEI9lsr9ZfGCubePDlM4sACFSIwDsUkiZO93/yrn6/d3hXLtUy
VzyfTsDX8tePxZ0Sf6UWm7sR/8RbYTatvR1l7/EQrKA9RIma1TfYAw67rnG9PgawVbdQwDvQSj4J
mv/kDVFa/n6hMIgM1gvW9znlGKk4f31LbPI8v+8k0b740NHFmS1EKJhRo3kzUPjqB86BxEL26SQP
kzlXTwzZEYBNngHlJ2Dt/80ZKwRcYB0FsGSpcXOgZ3BhrC1Z9zWda0QWLL4N64nTCYmwHggfOyeU
0wm86t76EoDtRyueD6DDRqRpI3Q434C7M9gp1jw78wAke6HxPo1V8dPUsCi3IwlcMJ84fBHnuYgg
o25m+hNplMcFZbonRQ4taCxfvQqlKgQGlRvAF5te387MJpKdFygXoC2rJ9LIxgUgRo3sUx7HYiyx
toOJURGKfNPYJMoZ7ajKBv+pCtsg2IpydhmVrPL9TY0829rY6+iDZS1S8B14oM88jMMH0gd6EHpl
yrrebAZpvFqG7bMPCsb8p1kOsRchbrQSlkUBb70X8N/31HszAfNx8zRMTqOixsOQyNu3O/DkjY6R
qWeMQKCSE0K4yRbd1VSreQV4oWfxizwlI9Owz5YJEKOLSB072IjJexlwnh7DbDKJWR8QqaMgY2WP
Qolc+rhgTXKJZ4HbZsT+1UWawCCIDk5H7a5s3HZ4eGZ7byMArRgyaXuIUs8JOqTgQids68NC4MKz
8NLoDEXv7EDhi0giROnn8m+tSIPFVruktbN7sEZ1tVXeJH4wPg6pvxcS2lqHQHFEZN+XyRZnR/V+
/gn99lwjPjbuF2LedxLPskaHrOCDAJScwI9MkFBPSVWHNl9I0sr7kvhrFMXxEtsbgPw2wrPcpvlg
mkP0ut3hUGJlxAUDemc8DQMzzBvIo98Xfvg7HX6rdowyO6gpyK83cTOoLXuQR6bFDqEE3mpim+zJ
7p8YTZV7lGBXJta7BmXk+8J6n+wtTA8MfF0u4HbwzMcUs16K9tcf3I+Epf9bQeAwd4qZ/Ci8uY7a
xMnMaFbT3RSQ5xRZY0HGbkmdiJzVcTTZ0ajMQBiEENmT6qgZMGzCoXuW8Nnp1ko/Rm1L9JoZy2e7
mDqqZKXUxCo2x94XlA6w18lhrc3srCYGzg+PaL7W51C+dl6SZw/ibP9O+AXdUV8atxyXATiRtDow
nn8p0yok0KCUJ+kCfqW619gEWEAm19HCeZaMxWMoOuu1Mhnun11DTMVhsuAEb2VpH7kNDuZoI6Wv
UVMy18AuZX5Z8+5mv1o+OOWqh5EMEShG/szUuK4wU4y5XKISbdajnoQzI7QLvD083zdZmvMR+N1w
mInRPCOIQMwtnNumIGFvDSH215oIF3zlbFh0cC4gGdhhUAD2DCqbn1Q26+Ha4ZeWVT9gJs2Sk6/m
NyCMxB8W9mLGkNzS22kp3pt4qnfKHvddDnc1LKujsmcAvWN/rER3jFN50WzGdHxSMZEaJfrfI+xJ
1Z5i/Jsc8FN3b8dpcGFaXZAT4ZpYH0ztb3rTxg+QVZVxWwRV0W0XL89e5ADPZ9P5LVxvQ1VPTTFF
KlaIbGQN3AF/9jUmqNUCp989iMLvjrRY8U0jfP2VdBfnw09s70UPaCnow+/DQZzC0j9ltK6cDjfr
zrpPxDM+m9VZUc2v5BWwQ17PirS0PngyHdKcE890V2Uy/P0kThH8poRBV9O8lWhVlsq/dkb1PTTs
g6lT+Wan+cKqNF3GndkKwa8rUEBPL9pZuYZTHPRbmtfhnlzegEs0wIATyiij/dwINzuPMo6Pc8xM
uUFf1o1Q+XNrRp7IhGAko9fJMAhBAGga+6ZrQprcytPufVgmSLCIYZ4J6g1gaj6Yunlt4kY8ob9o
l2dLSv+KvqX+7ozGRx1PyZ1SHAYuYRjZbR+QvftZomSoL+yLwvQK66m030oHLw4q74ZnIKrcwgLr
ZBuPEiwT8LkhIVIhSzsC8hxvsgHmzOja2UN7xQ8+5+HG4iKQWGyL6aosDf4eEc/sR8zX9WvoN6o6
+HzgDDfGLt0t2vJR7QDuCjqdviRemF6YZ1UD0T9G52BAGPsD2Nox35N0nnVRLsblyDjePBJ7ajq3
o1dVP6t48KqI8R9yXun1aiu6WX6YzCHw0DJr3SdZwj60woEvjamPz14iTRAMXhY8oh+tH13DmXC/
IrAKYD5VbjTj2/jpDT4RMAYu5Re4uwyYTLwjCPW5/O5TsgVgocBrsDZVqyWQwhQlrtMAmMYsuuxb
3Um5EbMlk7POTUAhwTK84VZgprUoE6289sf8guINfS7iJdfeDkHi0UskXXdxRIbWZJqTHtQaO5fH
tgaNHCkTyOWAXvEEviwoog4kV7gPeiyZx9G0QRTw0FTFFhTvRGRkXSmezjQcsrliIY7fljiALQWi
O/E2uqfCi9zetVCy9nV5JZfYiwlzhvHUoNT8BCDg9JuiHV5hYJLJ0xfOQyvmdRCAAEnklmovzKQM
U3FTlNaBh+DqTiPmdKbhwW6w5LumzwycHHFRmZHS6Wjcd0U7d3vRmWZykMZY7FTr5T9yhKxbSIQD
MbdLSCbJsNT7FbjoqPG4jB411goJFUCzS8/dACwotjb4WdcRJw7vmSt/Jb+COTy1ZXWfkHQQw+ey
D8ha/HBvybo4SpbNN6UxDdaWUY/U/r6JtcQJwKJ9n/rr8wlOThjpHAnllOTelejRG1t9LYljP8DT
qV7YOtiX1DZ2cLkG5IqYzhpPX3KUHl1ggKkq/WdUbh/hAG9nYiI1Vtbe9ryjYzV3aIjkrhz1zTC5
uzEEBjcty6O3MO7LUm2iZ56cCLef/Vgwt4raAD3Xkn94DsCByED5WF64weyr7eTmq5eoJY88ytDq
VEqRIBXvCnOn0cKnZ9XnaNYA1uQcPIZa/GXa5tiIqVDHACNwcpshaWseU8y6471Zm1X4Gbo1kBsy
BLDS/0Ranpp3ZWmZ+pXYzyTd5dAF1J6NDJEBe6+ucJa0nTeWuwFGBAlgM765TdcniP1QKFqzejPx
TixrWZk6xd7oDD1MV7Sgajz0+BO5NYh3yn+A720QQA/x3D+2M2yeNeueTZGfZbi65QoLLoy0fIyF
/8bjDXsEVwHj2jR5baYJRShQhRtoDuYeCWyHBrbIn2XnU1XHfcwJlaESzeJiTyQ1sMXSU3fdOMnP
GN3ttgrVN9Xb1eckS45duYL4iVA+edoPH+C2hrchdKGNr9FGl/GIHH1SZGs1M9d9Gk8oJDus0qEY
fhATm/JroZU1hBgmbtmpfxWpxwSrC5qnUBJvtSz2NcsFhAcmFJu5ZvVYo3Y6YogbExxsIK/NcbK/
SMG6bEgJC51c4oLpGcuLrvrxrkzjeleNhEK79ZQ9ZYlgYVknRJya5o0jFvOOE9p9QGWExwk6PGwE
Q90NZCATCIDmKWqkPT14rkEuCeFsfd1lW0pNvUMLKkGcT32ELqjBMYWtCJBIFw3gX+7aEQ8LfPaj
LJLswBFlvLf+eOU4mDlaEBURzUNTEgF5puuJK5m+crpepl55WygIxJAKmVWUvv23YUIk3zEkyXFM
7XCwBPvUxsxaQ3Layrn4kLV8kXku1oCFq0KOS6VmwuJM3OAxD+oETQRfiCcb/0C+uhi2nZe9xiq+
B8OW76YQnLvVpI+ON/q72XafeR6le9+2kwfWtnNUMk7F4ye6j9KsVzd8qg6hqYpPIrnqc5ratL3g
tNCmwMjX+cIjYZRnZvT1pSx7I+IHQVvogvZHM5IAKGFvvaBInQ4DIOoCtcY1gOL6MdUraUI31h3L
iPIbddfPIbd3jcg43oLl4jBfjuAtdJe0w65YQmnMhGjekyZ9cS3SGLIhvy0TtoVW34mnKrBimkfA
JIx5zQZ1CJiIAibFBcV5eiOWlfbVJPMtbn+xsezhAhl23ANDYjkGrj+D/6A1McJlXnyzchE1Jr0j
mNrnth6e20A192HQ9M/pBNdrZLN0ri3nwxYjJqWsvHXS7E4jVN63GFRuOAsxEOKGxi0wLIduASzo
mF/oFwG8oA0nlwVVuMzXbyZyM/EGqRelUei8wM9E9dvcenGYvdalOIYhCb8xQ+wbZYl3NfXtNsjb
5LZO0jLy54nKS6Lc5a3tVknPBgINAfPtTAJ8zbIDPx6G3Mb/rIVAueLIVzVpTIPpNsTSRKK9sEH1
8GlirSVnDmkeA7nygfVFtpusao4cKS5EJD43Ndw7QGnlPpRmfO9ZlMHeOJ3gQasnu4yB4XZA2QhD
Xokp9iHGa7KZVYy9aZjZOmkDFT47c5CXVbPTbdHf1WZzy34D08UCCAPCobos7U+H374Z/a9wHj6L
ELk0YZJoL4IzqgzcRzq3oLUALZv0Eu+wZOqvqT9mO9cSn5KEIhaY1ykB8IOWnb1YIMBsTyoim4qC
tT4vgN4CtTzERJc7dRGBJz5lgbq47mAP+6R1aDyJyLkUiFmjcCyI9xlGmA4duo7BYNtUGW19D1k9
3MZZ7b20jYvYr7TbA2jUSxAm4MJ5lhIaXxEnlihc7bcL5hS2kjyHE1AoRmyw3Icf+HMOpupYkia6
mdP21CgtL6Lt+r2TqfBC1NQDc7v6VGI76qHVbfshS+6RyG+HHn+gVczcFOHWdWBy9FnhbiezvDXn
5m4Zpjs/6R8Uw4NNgB3kPJGxdciK1Dk7M2l0dcr1aCvzkVCP5cFrlq9L432Bincky/F5TvWdZ/Yc
UvWM+NDqj+yLw43rLcGdlVY7t7N+2st8X8h516GJyBu1tcdlOEzgSC1g7TQVN7bvUGggM3lgW7rt
tDoX3uRuYQ08lO2XNimvPTBRVb7MzXSLuXY39vleih/ObHwYdkPP11FbG7eKPoQV3Z2bFaeWWMPU
qHb+aHC8YCwd7Grb1Hq1qh8wMsAonPrPJQ3eq4IktHU/Ga5rIHK1F+di5MstWnXrCweV8aiYCtoQ
7xadXBOQv+lnuGgnvmtV4RrPDE/AlEvDKWtCvgOYx+hpiWzPBmI79pjt3flGIhMRpw6GtH1kTJtN
Rz6YXh4SguIIi8Tq49f7OM5zTDVTW4Xes5Kzp0jTq/AT0Lo5TAgglM+SLBEB/vlWgkHHDdLIkVAA
21+ghWIeAovz5s6ukq++kk18lyAMtd/iePKrFzMpwPVsDBe/2UWPsMCZAk59Twi5V12Jj7TBzqoC
9SCorICXg6lZS5qIxMh+kLhzCpHl4AFXdsSq7Itwh0+ugu1aQ0/L+KKJXtvETlxFcZ04HxOeLZ6q
1VidGMpY1I5UFNEEY+BDzv7ZNEd5YEgCsiWGtVhBwPnJxLVDLxJDde1yHFJdyrKwqtqH3pu9/YxX
kII5ZradgXlXZXgrnHS84862MTF75Z1k7gkpydiZqYnO3krq53DKEoxzeQEW10rAo5LkJYxAfLUp
fXLz25KlE0d7+oRiiZQGMAqgqhHYGEHWf/WS/DFnEwqnnF/ckt25BeiwDyzvQdTkAARAD7YkzZ9Q
+0aGXx9J/KpwVucfEht0VCWBDWuXcRFrt/t4weId5b38CbzsdqQ0fESpj3q+F5393HrhCTj3sq/J
jUdnTPhAPy7q2PhOz7Qr22W5SewwAfesmYsxCntRHLOAjDjP65nKIAFl/Fe5kJnQmWKj8c9lPxhn
iAyUWMl3g4uM1QItc+7dZwukiG3cLt0GrB6OljUAMfeCN3MoQNoOLU+Q8Zhb1ntfLAUQ3qydyEfN
i0vmtVVUOfV950p54geyBcpnu9v0GI96o/bh8Qb3IEKyJ6820Ikb1WsyUOtA2oHmWjAwJdB1r+v+
XhrIN4WGi1vIaquhHXOsh+D/J74Hh9kFsaDGcG7KbolCmkSGkYYiTpMww1EX8T6t0wxHpJ294Tgw
j3bQP4sVQNmm03BajH6+tUbnSKs7HSzJ5NYiRjdixuPf+yPSGVTtSCZLVP3XGb/BRxrY6Q6/Jaub
mdI0b7RDzhmiPjyArnUoOgapcchDPizIFlJz9prrSkM6d7FjwXdDcNbbXxsfVJJw6ZbV3J0W330s
nRzjt+MaMHht/9mhOqn5wGnhe1G/lEGYHrm1OJMX/WikmtMvW3Oh0kAczT4AF9cw4y1JqJKUXFGY
Ya2zEGtsipQAlSbu3L3rAkZr0nc4/cHNFI/NkYFnt4XymeI71tTv8VScPbRah24m1zZQgqA8FPNX
gh7UoUhK44brEDv2WAp3q+xkemln/6kPrYSRnCeoeJbyI+vshz5s99BEVs/bCCXYHKvgSDzfcLQn
8dWl5RxNB1mjFwbYEcr8FQ8vvajOrhhXxzNiDoafvgALLYsb+LfGuxU75Z7VNVL89A4o3U7Xw13K
OG47SHc8wLm5ABBjzJ+I5iDt6skdbecqK6PeDv4adoxTZtPX1PVz3uD/MKwaQ4YRR9NcvqOmc896
mJEjhk25JdHhCSpKBOnNPgItSba5x51O/m5ydMPuupj1D2X3097nScugXwGC5OrIiupbkIv0FGec
P7TiNx7aUf6uxKYZ0IwwGyou64B+O0vvw50FI2HXv9RZdp2b/KhCjbSmS2AjYOkGjcpu6wZs6n5h
EcJ4MiFEor6tggXOtRgJuqpqi36Ilhbdwqua2ztsDV8cOXoTCSBxdoEUkjVbDXAGRmS7mVjAHOpc
kG6bqpc41K/zxJo2MA1imPzxPqQ2Y0I5A3Yktq/blnFCpppBPjQ+w++6njvIhHH5zWxTcgOIY4k8
O9A7oA0AZGSzrmJiazeYag/3Oz8ICP9Hj4HqbTUs4a7zeCgTPHNxZCUOZY3H2Mv9jZcRQabBPB/1
2IeICscXYav3NPCf7QY0teHjD8/y5WHW7U4TN3vghqUA6iwssd5IQJ7nH4Xw3DekCvl93xBGRoDd
QQ3LVyIjw10li0+vdpGYzvNhEla1N0gUuBVTJxmRwwFEgH5glmZelR+aUDmI8MQ+7L9ZrWXsWYv7
W5RS1k46PvkB0j94UKK/hPRWuLnAkDi1MO8LuPvMFO4mY7Gw+mqPMAOz3YcEaGyrMsQWa7zniVXi
zh6Yc8Txl6HqyKIg7DN5abR71zFa2qkhGw+WE6uXoG0JtkondoVukoA1447bK7y3h0JzNLsBMqHa
mPka4hakTur0D31lA08I9Y9W4x4GJJRtB5KKNkpSH+V1qZ5xOPcUE/bPQnlAR3r0mr7II791YG72
tXnBgPPSgOHQhr4f4vhGNqPDGiUwrogCfsAcbi9S+C92umBdb898B0DvZX+qCMR66sr+p2NlaI89
g2ZlEFEnXXZqYeBSLGTjAEdk+WowBdzUS0LIKnvvDej9CU/JnN4i8Or2UxBX59Fz8YYjVb6O5BMV
KnucQRbt+gFHEtOA7Bh7iuKSzZHFQgryKhzQhSymugvPKNSLY5jMw5ZICGsLsoirR/XdTLaI5jAD
9JRw1TovpBo495TB4osYAOdNDC7O1Mhj5FDVXGD3tCoSmAV2rqZrZ8WjLja2YOY4jE0rN70pTI4F
ax7KlzxDz10SkuZiY7vi5Hu0Jtui5XHazdLMOpp6q911TQaIBB1heGRUdKYzAS07aYaYfKE7z8EU
m9lQSoZpWfcUgXe1Ja3S6MS7biKnwx1mMsIN4vvskmopxPl4KYfeJ8GWB6NJURJhMcLb0JRHospz
LIrmU+xbyQ/darVNDE2VPJVUnHZSf+IP8S/+3L0EiNdXHjzz8hJ8EAwLqLgEiG1QOl0LZskRFRkD
tNIs77htkkcnd/baMP3jzEue8dQezKJL7j3RaNbIdDSCa2Xrayc1I5MUIasx1XlilEot5j4MC8Gh
pSHg+5iUMhSeWwqFM1J00pzzj96a7yx/YnNB8PrktlTwtNKTzj7Zf7rEkKYXYRLNGY21Qw/GfuLg
OuF3v4d+OQzl3kx49vozZAg7B7RKFBH5By3G89wzRi4BDKq495f2o0zc+KAd77YJ5G3iNd6RBqd5
qRRLVQ6q7yXky90SEJYL9ru4ncP6MYh5pNcgSIgTSS8Z/TSgcsM+tWA9rMJKImb7b7oG50M7NZ+a
ulAPDKjbaxPOwHCGotmUBhIRoXpoNoKj2yXWJxpywVLRV8lmKAw6UIc4Xai6wzWgS7r6eXL0edcn
DXHjJAV1oXCCn7FNIC52FqA2gMeotnH/GyV4g9TN1GmJibpyjMD6nqOrSAFrzOmeLAaSPszirhFV
zijO6Z5BnIQkQOUvVCbOdtSBvLPynIHWKrdH21tumdqBsMQtso0HTrfBRWLLwV9sKnSWNwaC2FPL
KbSx1jtxWHzSsdzUOWYagy9cXce6gZVMhmLSDDd66QqbkIGqYyvdZCpqtShYlsUjXKfQKxkV4CEb
fxBKh1sF8+R0U0B/AgJeOsMTsplhZYlauHQAIEJaqcx5JaXMfXi/5F5SY33t2WoxQtNPvV9lT7nO
ZUnduE443darGIhgaHiGR0r3lTsDGrwOICjqb5Ew74orbPt0lOzO1qd58waWOPtuGkb4FSmPeg08
KpM10joMtkQa4YJjlUk5xcQhpKU1nS9U7dNbN6O82QwWLAY0qQXhbm0IuuG212SKbXx3IECJAV1b
fnbMK8a7glnxJxQxzqkeZAARbYFfmpeuLaCfGLlD+Q3luLEYEsXsEx0zrh9wMPeahsl2j+4MWYPQ
bDdkKNVlWbBNUTm9M83RzH3Ie8ZsjGafmEE2wChhRmDvfj23X6bF415p3DRNLmVOLDyTX5k2Oxv1
5J12/OlrWBEEReNdS73qrKBpZbZhOXtjZMZ+gTRTvDuUlc2xUir4VpdeBW50SZrXQetlQAWQpp8S
EMj3pNHkBtY9Wm5uEi8Pt2Htt8CeWhp9OLOfgsUX10tRqR/kojsPLM7Kr6WRclX6fklES9Hh4zo5
7UL+tSoUuGHqPfmdsFkOrippUZGS1GAD1RmDAitMUqxSMLOZMvZcRf6TeAu/PHsKm8o+WfrgaNIg
CALqpFs9Bc0sDgXu79OUYKiEY1v09yEZM2O0MED8sGyEFaziB4cpdQsmbSMThsG7pWaWeilRQbsb
ApFIzkzztN4MsjMCosAcx99onjkvIz6K+ciyIqZgTGMUPVaPKWDrur5meyQHrhc+U/XkqlXsWoua
dW43B2o4hXWprd1SIh+SKcqQLXNPuFB0xTONPhOJadd7demyA0NbERF3ZL+YoAxIUWnrEWcS6Kz6
BDOG0s1vRbNslFVB1c6qqSCxuvO3LZkUX5EokKIUp6EONllYoWlI8rH7lpT5APUZfAdSh04wmkjQ
SzMimbtuO9uW+1hnJa1Sgsm039ql1xIuN00qf0RSVvBmTa+96nARAXYbxryOnRNAMA1ySiKjQtq6
cWAklbs0LbxHvKDcXqTId9dgdltYy6OVv2Nv1q+pz1Lc1C5s85REdU7o1AWKOgFhIw5LpCmR5jxE
z8IkO3G3+oAo7YEJJxF46rTcjq0bfpFKWe91Rg+zCZECJftFFc1PKTMHXz0o9XfXQeTI/U/AQxU4
nDv8xz5srKZ9bis2gfiufDzfOSiejtY5Xq9YBnK4dqose52WGgJc2faq2MN1dJ+tqdUXH48+aq/R
dTpCwVTTRp6vkLTbie+HN+y8MxYxyAmX21y2lY0UJkNY4UKPeqrpmK5FKGyC5qoQ7qs2oaXsclAh
n1bvKJadyTBiM+/zluNyHH7tLo2sQwiTEk+OTd88aUkWIfjdZGa7ngGy5enhWt/aNTtrVzdOxwAS
KaU+kFtGIIeTjCnMvBigAQrFDhqUtRIaYSFxvW8mgO7fs0B39k62YetGy1RZ/ia2IVGjmilGJsMW
WrsIKhEKCyrKWHENWEQClyXDMrzqoPY4eWv7maGJQRhg7Tl3DR9LyDyqIBV79C3yl7tJs3zSEyxe
GEad+KzpIs55F5eR/gUs4g1CsoDXYp0LuisfKvLIpomfhu+oikvSxUan8xyo07P6kmltESK3hCXA
XuXPbDqJYXnP2njIIuIs6uUgfDk8CpHn3zpFpJpiZAG0MgP4sku8Hsqgv1Cksl8ktmS3EGL20RQm
2CtSBPOdZzbk+y29NFxOoaLy+RwJNYRW6noBN1zu4SOmJAM/n5vcBG3I/xMM7CvTurDeGODCOyPx
uvF2ADsJ4aM7Z7fCkhhFfO0P0F4GeD/cOY3yqq0Rt/nXomILvGlym+8edQnXItZVosW72eNrtIL2
ee6ysojMsuIVPGtgVddJJpkNVqAHI8HxcI5rUk730EyanIDiRuiNT2aLdVqAR5EikGRUvwzAzIFr
KWwNtoQ2033X/r/Undd23EqapV+oUAsmAgHcps9k0otON1iiSMKbgAeefj6UmZGo09Kq6Zvuu1qn
Dk9mwkb8e+9vR0KxnQ3kjIQO+GejSCp8tbQfuiwwtUFFqx+y23Qsi88jdwjif84bn1qbKGUckXHW
mw2cAB6EQeanr2CLAkTehI5ULELTwqar2Y4LzNCY7uwC5d9vpVMf+HXTkuxXCe3JhhveUgRgEHSC
8xlv0UlVfhg5n/dJ7Q3BxkssZoKJhg66+htIzqlqJn9C9koD6gew2u9aBbgLKGxRkWUPzP7F9PIy
2hEfCwRHznK+E7rhxyrLoZaQxCA7Dbdv6ML7gyXTxN/4o1GUQ2EpYlu2CfJR2p/DrENRUQqOBL6l
qWjC0GD4RYlpT7gsSB1/RFEBgMYYKi0526pethumUi2bbhU9/P67fHYO81X4Fri9hU1lB9VUP1sx
4bSqDEW53gZ4JPy1CUSELp1cK3ttFnoxGNaz5a8KWbcSKbWEx9rbofMvR/V/FA/4LSb6f21KYCkm
+a9TAqt3Ksa7/MeUwPIH/0wJUJXCFMD9Rz5g8Vb/34wAEQHiGr6Ps9a0sHtj6f0XSloSLDAFmQJJ
PNYjYoBT/l8ZAeGDpsatrhwuOuESlv/voKRNkgs0rJDE86RLt9wnr7cpErbIOd4QZp4m0m6BU7R7
6jJxEfR1u7Pn5g/m8uUw/HTT/OMTXcuDEWEKwv2fPjEuw3IA9iRXOA8ehJV+i3GLJkbypQm6e9vv
bllZwVwZnCe/k9/JJt7B/3yd8mVFbji7upOwB+Q5bemN1c1z6bASaXpcuaLxrn44h39lhPc/f1nL
5obyhIMbX3IS5SfTNajawDUD5vt1OPDmzul8aNBsrngpR/WKc1rsXBElB5og2RZTqXS78ITqqB72
yUy2gjgeIwby2mhJ8Vr0dYMbgvgxHpvmCnLyi4x5tJJOntaNo52vXudjFqKVw0W6YQhinxDZ6Ght
tzp1dngwBI8TWCx9F/YPuCRZUCs02TKID2AVkn4bhNMrDtOrsecBCIGIF8LCpOAFb4DESZi/GeOd
XVdi3SFt7mefN29tj+F5qODl4q+vWVqWXzGqgPOmQKdHoqEej0c/ZaMysW5Zixu3YRC6O98u6COg
0ffQzR4MVMyaiz1z6xvtFclaGKq5xoSNm995D1IjfW9KQaQixNnU2vO4kh0yjgcaBRzWPe6AjOqD
4ilq6dfkmfs8i+qeFdUK+lu7bsYsPaWMR/YJcKM9fLb5bNIrckyG4NEaw35ljv640iMHyPSpcca1
buy7Oq52Jn0TW3iOJ9p2HwhdmlDVqmGbQ9HdWkZvXPqTecJaUzxhSQGUPDl7zqF/oOyuuw4p1Vtn
SACXcS6OeZS8DbGR32TUOFD2Z3bWpvCdaE90nIhlHqXUwMb7fhqYArfalEdJzUm8MvxAXHgTCx6G
ptE9XkJsDQEoRB0ldJAZNM7g9IQN7K24CwXMpXyfTKl/BK/xrfARZKwSZ/ZU8E6ZbSLcVubcyDmu
t107F+wOWU3EUV1eSaNiBkXKf0sBCeNZeo+ICXbVZTaBxiy84CNxo/AtHIHpTVCD+z5jqBC7UXuo
3Ly8nYM8QdQiwG9gml8lnlVuNHNGij4YONZ9FO7IFX8HMUPpo2c8UvPlXDtNnJ7nCNSnjUJ6EVnh
N5Zd2bN2eaenUz2ytVUA5BjdsH5wQnEJX4zyJUW1GJ5KyAiFqgqgrdUVO+7qqx4RnqEqR1SehPmm
oSfliPGs2BgT2wT6/QYKHdzrCGwFVGiVcHCWVtyamp5Kl8lVELS03ma+fFVUQG0NTXWzCcV1x6rh
BjgPWGGJpsDqnJGeSMIHbY53pTkn3KQh6b92OmRlcIjZ/q0I7EEHxk+yCeqKEvAwOtR1Pm49PQR3
mbDTK4mMsbcLUV4Zpj+/TLYaXro5ELfZxPRwqKM8Xk19FOztuMpXOKQa3FgXtTtB3ZLTcCmwULCg
irxNRhJ833bwX1YMTV6zUV67bAcxQtdbXur0DtsTeUT1ICbnTTiNOPukb/YAGjs6W02kPjtp29ue
Guc1KhesPw/3tIuneRgU5BvHshtqTARtpN2o3/rR8NdhLdyXIGge86mND1NUYEWMK/aosorByQ5B
+Yjf4dts51g1UxQres6fEjaEDzp0m9vG6YIrKCXhJY8hyFU9KjzAyWLbkGW5LlofPjIYxRtvHr2v
k1EkkLLr7rbSVXUmSZvdACin0ryMNNqxnLZ2nKZrcDPM4oPqWzLkzb5MyvYjiDSJ40mF11JUJmEx
xYDPbktwrtHXKR85ll17106mtY8aKS5yyUSpM8zrNhy+sAB8GqX5iCieu+yyqvAyzXR0SAX0JwaO
vXW3kBtOMrOtIxN6DPQ8JN8ZoKgLwnoBDkh2UCtVWTUEpYoud1g4OAdzBRm57rv4Ak55wKQa2jic
yor7usnpK1812jmQzJn25EeIiWr4JoCY4CRcV1oifuOLqzalrroX1dZg67OgE+z02Rdjtwpa8wvs
95EjWxcfouqot6bfYWtagUrOhI/3rWKxzDbqzW4nytK1V16wFS/Bvi/zOV8F6lUCD6Z5MKbWwPcj
ezWCEN3mrYMGIGvEhsxF8ixDeekxYL8N6iy9Flk2HcJRGMcwcLAPYaz8PsexHhmTd8GXhp4rwtbI
mJtyqoarAD391M5NcRsmHebyqT5anp+k9L1UuOgl9cuGWUJMiUaouq7Tl0zhldzkPtCVFhTsDXkC
vRyx7MTudkOXK1ORSLrM8kpv10d2cplWMAiWjc5NjcMIWyoWL8wQsK87Y+656umdtvFThxCBF92A
uQ8AuiD6GIzGfyxR9LcG7/lvjBnLC7sTDFg0bsILoh1pRY2rW+2HLMmZM1v0oM95n19XSSBejYmt
YuDgnB5Ff2/rIjhhye4uQuyzWyBa87byu/cox7zSjHiYXAXxtMkoYlfUDiUO46jGFv6OzPYTNUjL
vKKsKEPyy+gwxYW5DrOMOuLRw7aGr3czFb3LY2LCMomRx7wt8Sdv09EYwxWBvxbnFSh+BPfxRWIl
yqCQrLvM3/m5ZgM5x1fpMLRHhPOzxxvoktUBMcYRJukq63lRdrzjNlmdDfeVyissgQzIaVmemysC
OHdtvkRcahIBBpv0J4e1x5r0cHEtEZMPUycPBO3qCC8Ykt+2JeBxwJPlnRlIW8eUutyPToEC93hj
XBhNVKNlVPUBqegjBit0jCVgX21l/mPccJHyyAY1H22abtL1yUyqfrwjPZZRAx2a7Ql0kHeY2rFj
fk3vDdmIRuwYtSYbymrHS6FphrLdD4pEABFE5ezvMlhME6RovcosfBmgVy/ryKK3MrOxTroQto08
geuSdrzVKgnl1nTlFQMmvck6o3oGwB8c9FyWh0YMAQ7BoD6H/Zg8YYyZd0TcNMpsH13UOIqYvfjd
uPM0Ul8xGtWryGJUxNRt3o0xCPLVkIfMYxkSXw7h5O7Ji9d3wh1u26FjlFuE90NjFceeLNd6FiZm
a6egNTzIcf8M0kTJwpbu8fhBdYLLr+ghuiipFLn2BvL1XuuIs3C95lT4U7ufpbqJA8snol6uE+Gl
71LoYCeN1DyoqDiknkMhF4CDFekcf13UEzegNZWbzhkmtANNGzndJVfWmD2lvYzPkQju5qJWX5DW
cfSggZ9Eb78VJTBPHBIkcnPnser79jbsQRYida5Ls36rQ4bSM4hdwHPpQgBmCR8lQHt6scU03t12
XofXz5k974o3afLYd7w8GycseTpqfUFia5WYQ3guwCS+B05TXTZjbT/Gceg/eW1ADTqpUFz+bO03
FaOIm8guhpuBigVsXuEYbWbCSSSYh26ZACbVhWQUzNgkeVZ1wALShpjgeJo4rZPVVxYxrW1oZAnP
boj/FsS8xmjALRbMJ3Ui904nTzZ1Bfdp5V5qSKUMUEB4KgNQkDM9Y2sH4+P62ZFpRb+jWbZc+wAj
ZaXuedLF61zFaJC0rq37KPmo6g6Li+e8pZ37LQ/aL1NZ3c7sxy6z1Pteuc63iTzWF2BFAch8e8n1
fKlYaJ/yOHrOxAiaim+2iX2L0dDgxWufkZZi4FC9Dk1D8g+57ZjEzO0kM/h1lskOz0krd/lEKoxx
U7pWeqyu53y+J7tHsoMqQUg/ZLyYvXK8xA1nEvD+VF9WmVndVTZdkVPOGxTDPrPOMngzXJhFVTMy
PmK5OXm4VoF0NlvCaOhSvMAYrk7ZJnQC3OtwNb+4IkVudQMDk0e6Cy0XSXxBFMMRv8xklh/DqmxW
c0fbmQNck8WoZ9+YIM8xQUViN/yDTTK3h9BSwy6pyKMg1sq7xYfu0JWHC4QG5AR1vzWTHtWR2M/g
Oqce7NWVRR3GCru9s1WhIsFtNIexjsdrkcenZMjaXZjgKC4q0eF+JAh2njLglQPVok5Dc3SaYSyd
lEV7Bs/I0hUbJQxxrmonv4kAo6MEIPZi5WtPDdlab2cQF3tqG5BERMbO6Th6b8D6n+aseDX1jDqt
2eSsHEi1q8E2+9cQ19UK9S67t9uQ5Ejm2VyoKKeHoiJofcQZL7AyEpWcspYBWyscoIQy7A6d9g84
1A9TgXNjpUh4dqs8GQDhU0O4os7tg6YjubV8m8dxXOI0mlvJO7E3ll5T80U3H0M4jsee3soMFOT4
Mgw9GB4c5VjIMPq1dTmsS1ZIQMNQaegfGHdjWub7WIq7JnchblckWlL/tajN+6yNwpMouRsoYcDR
hqsIOaU92NKxnkcGwHvNtnzM3YcWtzSx0vhrnunpylyedMrH9RwlwbgHsIBDMBe0ceLcyKcVS/3y
7OfW0ZuITyW2KjY+vSag6fP7dMk0NoU09/CgrzNuvg1vlnlV1jI9YtTA1hzzzXTnn/hOL+70mE3h
tAN3ec2G3b6ryQcM1CXPK5Jpd7JU+Y7UYvNS2ngIYYG5+y5Io73ZMtMTybLdHCEC/MMsVc/sl/h+
/c4clsPkccNW1VIFQ7qRG48fsK3D5FTlKfxI3CdulKR7f2QJbI5nqsCTHeoqc+ngzp9STILM2leU
ukPgIn1XquwgEMc2wP/mczyze51NrCAez8W5N8S9U0bGI2tuVFnHnbBa58F3NbJnpxG1O9HVspmr
tHmq0+6kUhx9VRlNa+UDSinZo8N0xpefuAn4ZuFU5kMT0x4B19ug3j2wj21vNTuFgRm0QB69z85U
fZ8dnAt1oqd/psf/o0Hhf4cj8tMccf9eXn3L35vPSJL/gbCRBSX2X48Rj/X7Z9jI8gf/HCMa8u/Q
rBSwEXBWmDEgW/17kgjYllo6D5aF5biWCWSAv/r3KFH+HYSkdJQH0IE/VfzVv3Ej1t8BmDNLJG7t
Kv7+P6pq/hlmJoWroL0CrhBMZwj+L1/hR2yERXqsaWgHXWvbfnEtORMMKO1tMue8AQBH/QnTsMze
/t/0/Z+fxzeHGOUtM8VlRPrj56U2u8oi4vMaIM9YmYM5XyOZkSpgMrVr3b7d+wGVA8qRQFlTJhK1
N7H8a0V5rGhaP7XDeDfKKj0BQLE2BgsS8lpNkfwBlLCM3j99T4laJiE3EImX8hNkxPfLeS6SDCCW
qr9qqtFPkUPbaDxpffrhYvmLeeWvZ0ABj3H5NGAmyvkHJPcHcIfVNRZjANrNep+IzjBSHmAnntr2
iVd+VSM7q99/3q9nAL6F4sJhdO1Z8G5+PgOxnUEktMt6baeDDfNpZl1NNdDaidLpsht4H8XYWf5w
3v/iR7oL4gg2CVNZ2/kEtckS+imoRalJJCkDaS8nKgwUflOzlzjQ6/3x+99oL5fRz6ePa8vhg3AL
Aq0zP82r24aQfRbToyPoNmZTH6f9AwV6TkHnWtE8J7ZFkp4LyLhn709QKwCLca8zT74ps0S6HKgL
6qHa11axxfRZLhErE8w3v2EeN4kVGw+Nb9Xfo6Ewv1LGTOysQpq9T/LS0off/5i/OnZcII7ienRt
YS6X6g8XSB2zBZNRpcnKmN65IJq0z1nRnfMwLWlMtd3t7z/v10vfcyEZ+csFojAwfLpFZVJWAOjR
YaUZ6wujDNSRV6C5rTXkt99/1HIafj5NnjLZeLvSZetGt8XPP823stFr8hL3wpSwz/D95AB6vfjD
p3xCKvHQ4RGL0uYINu6Ch+enq09KAptZzceYrk+UscLzayWB9zr2DqOvEpcOPXrUxEaS3ivqufcd
PRKr1g7cP2gTv9x7QFq5tDDbg4lyCPX8/HtD5dZGJ1lzGH3gQLXmAq2KQl5kY11tKLpBQwh96/j7
g7zc0D8dZD6U7k96qXDBIDQugugP14/C1aHjmtYzxNmENkA4btRrs5poQ1Zkthvu+8XSntFX//9x
4JFYeYjKhQZqep9+L7RgHPYxvzeCekhjcYAjIWEcElA5eQbbi3EBPvhV4tb2BSHCER1Z4ZGGvfGH
589fHXiuMQQ7DrqFI+LnY2B1gYGgCy08zTFtQA485wvQPmoaOo9C3zjNplf/4b799bjDEgOCw+PW
NHm5fwLtuIXHHFGDuFYyq/ZTb1Nq2pryVCQhsTNVNmuvBC8X9WHxhzP+Fxe8FPbyNpece3z6ny54
aIyMOeG6rEtXwXzJ6+qiBcazd4owfsSulm6mFJ88vdwR0HoE6LAT9LTVdrj//bX3y7MElpntL8sV
Vjosfj59kRFYcA4sseQ812RAimFcy14362QgSPL7j/rlWcJHIfkhIGGrUdJcTscPl3k26N5upSrX
aeGlB40vZQuVafrDw/HXT+Eq4nYSlq9YfvmfftCE3YvQM9R2bZo1c788vhsN7f7hcv31sEHRYrtL
sQd6svl5VQZ2ePRC5rNroBYew4g83UeCDLKJr/EPP+jXO4N3CihbodBMYcF8ujMCavuizuGj2FCb
3XaohEEVqudu88Tt1/5M6xO1jk36h2biX28OXmgI5cCkyHQilv98tmJ6UpvChlPcKIPEOv7tizEL
inNvDdO5aW2chiXmfZfqzN9fJrDA+E//9DzEWWOaLHY9C+MGq5KfP3qWLo6ujOxpY6jmFIQJxV6e
tqmvjel52aRWE+/Ljj063KMxPLpO5jz30HguMLJ1nAOROwmtOV4vV8mcFHQaerg2QTS4MVma0J22
pJBZdGi/mN4dXM7PuhMGkxMRRpdRQw6eDi9bNPuKOs4Tfu6EWr3JKh65/0jvRtKLwLJgGs9odpTy
Eopb2WxV0dqnyqnD24QwCdZb5cZEEEBj0DVD9zKPTWItd2M3o1Q0vflNexPjlMrKcBNNlKSQnZka
/66dJdeQ09IOsLVLugnXvTlSLDKKVj/6sOdqZMg0xISIe2mneZ/QdF8DqlzNCRDtA6Ml43tAr+kj
K/aqXLGU0s9ZNVOm2zUS7oCK1UFpU9zOjAaTbT+E5qFhnSHPMQnWFyIjFXUvsalfQYV7D6Imv7nJ
o9DfDI4z4nwCrSw2YyfHbjMMgfl9cLT9IvLBoH6VShu1iSYm96uhTCcIX8XY4AqkKqTEyhUvz3S3
NuW6BxRGYQli/7AtNfyOrVXhCUQKgvSjCmU/1HmlmOtjN55Wpb/UtMnCSSdgUAMuPEZL3qVhJ+O0
InMe4T/O6GQ7dH1lqE0sU2RckQRMp33ElQda3NgcRGNkVDSZxOKlGUzU9b4ySZ2SY+kl+J2+/pqb
VtSs47Bs2L4Q4d9SiVgGO0R4lKXYtngb0dSDvFFQirAiYwKskCf5YK7CYqbBrnHalrFa25Aw9T0V
0t1WManeGDjZAGyxWn3EQt+HvEcTtBEXqSNYUSHm8L+FiViOwIw0isHsJSv8hYy/IGNWTtHNA/2O
9C61eYc30TOT8amuBuEzLcHxtXImc3gZeibuOKyJitLwqKrVULT6JpL44Cr6firo0J1H1cVOCD1f
TREwzUUDZTORdGO2jzpXA/kBOjCvRRSPOO3aMDqaJYj4m0rqpRYubqwbm9EKvc8Qr7F6BxEsgC6K
B0TULP3o50qDWKMo8Ak2ykB9jkmvM1FTx1sjvodXdgZTfz1xRQ+7iZIrso6zPVzjdbQeZozI3Xby
7OoY5U6OuN3QC5H3g9/vfBds+mZolfuK47q48rA5Z9iLC5rQI7ZnUK/qDijfJIv4TfU0/6yk1kW8
JVZt31hD6eFh8DIcLR6VRRTzAlrBwexpWq7CmeS1N42yIC4K7H4VJpH5wYFnwdW2lZw38zRYH1Ma
xea6dnqjJX+T0c4LzISqR5k6Li0S0jIuotazis0gAiT2sTBp3M3pUMSkD4RveXLE4uzKtKfoiAkj
xePCHTMalxbOcBeaBkS5CZVlXUhjCIk0ZfhEm7aaXhNHLvkoQ8c3reFh5267Bk5y3OTmsHKZpT4T
0UgJuqZZjXWhtIetyrQW67jX/hv+e74sdbgG/a3pdJsPbCD2feWGESmV/FARZr1b7mqxh38GKoPn
U/9iiMp/or5qyYCGcWmtOtcI+zVabUSUHsX23ffaaGaLaA4XerSAIEfeZAtaQjRO3oGgdA7rLizv
Y4BFPbHusjS4UO3mnGatpA2qMzN3Nbm1i3w/8ExwxwLwVt1E5YPdzsitCea8NwnX72vLjrjcD30j
22PAjb2xQrAi69bp2Su0ABqcdYIh8M4tsP6siUGN3W4gHAts3lMLD28Yzf4YNTq4xvAiGm79xLfW
UkWmRn1ZHtJWNCT7SAVLcDgLnSd7qL0veBHNFrCx3X31Z6Wzo0MugcLbwRDPU0T71ipKc1lvaWif
i1UYdfqynQD74YZu0vcIEv0l92P1Neqn8rub2GSqZFPaHc99hXaS2Xl/MfaDMV0wCYquTU9nmLbd
orZXPJjl2ywJOa1jo7K/0s8Uheuo8avrpNVMroFATMXaYox1aXUejMSlZDLd9a6kjFxNYvQ+OJ1D
cTe00B/JJi8ZB7rRMJUCx7HfkiAkbVhz3WwQNNVDYxjZ1znCgLuJDAuezZgNnXkqmYG1a0bS+Mtb
huLP7ADxy2s1y2s0rcjhmU1j1iHoY88EVzlhUeWfovJqvx7PVeoN+dqqAvm9R8POtsG0EClJ3QXo
65Xde2vUJ/bnKMShOmI6Bao5JwbC80hvylHTT8l8XxPRwD5ckpONKsMmopvMxTlxh8bcMiSLKetW
ESHiXs3RjEmAJiIgUGV6rdMRGwHpFbCS9L8EDxPTF5CBBa6WFYzh7IlXV8vzd5BEjxiEIMfSbPXq
AviJtlyh031OipOjkde8xCc63LDLuyXwQV2ags5fJMCa/xfb/wqmoqZRGw6ARnhW8ZGkCR52lafq
1VNBSgOgNVTUPgpUS664el6Kmm37XLqRjV6fLT+ByUj9qIUmmIudmwB6DOAHJcyYuCnDvvVWbVPO
z7jZKu4nkZn5SkzK+cj7IEdti4h+MkWZ83zVUXvwgnnSSBBfSu+7BYIhOs+Dqr72VqfzzUzLyZ2Y
+QnALZzkzAoLZ5Ed9NZ3pZX5vjBFNwqK4MKz6oOPsPdKhXWd+d7OrefypmY/HVF74FQU0eeo5GTr
nTdnHtotUgCWN2LE1wEYJ72aU6e+oSfWviSbnWD+F0SNXWO88WIjYpiBtKZX4DDbLU24KQGmmpcM
+YUdUPjyGKO3Yb8oEypfUHbbVVga3XtZxWQVZCS+GKUYLmyl45BJKVnbLV7x5mVoppxodgTDDQOP
dCEfFGACoSIOT8Nssd/kwJmX5ajsCfqE1z0R/Ju/jfCprGOk5/RLgF7Ec9XmdYN9P5u2gchafdZS
Jc9CBswsfF00OxIdJKXaIiUcE/asdpfudW4siIfdqa5UBVS0YwK18ZZ/B6Hcnz4CmPYsjSwHLk5C
5SwTDWwz96QkA2ej82l+0qVrAEwEhHEF/4NgcQ1NEpwPlxDJk3b067uRxjHgDUGpvugB1uvKHhtX
kq2KZEmAwwobf5fgexk3TMaCb53t1G/N0KRfXN8y8Z9bnV3RL142D3m0jHcw0MlnLlr1JarQNXjP
hWrl52oELz16ebFhUaj9jTBjVxGSWqJrijIva2Xauo12C7E12CYWkcKVHwHAOZmZVx51Y440vSQG
HF07s+1nY1K8EF20Vpp4jRnj9FTZ0dmOsKaSC0vtV8YEQC4ss0byJYaTvGpvhOHs1ZOzoEqlxeiX
KukLMZGX2tZ0ityZnXb9A1gIjBy2KZt7KG0oS5h0hgdrlsmhMwlurRqR5C9TKe079j3+W0V27oul
wN0vtDWT5IQZQ4rgpM34Rw0zeAmynq4WXgRLj2Rm2OEh9ofitolLwKaZyml8BbvhXGuiJtY68ILE
JGkV8nz3+nB4AGCDGAl4kNVam3SEG20WAlSIU5lzUychCzUX9+Kxx8Sb4FIz0jeRIkiTopiq28kK
bCIGlt2fqBcgXqi63gMk5MiYdmp8DP26z4dAb1P8HT7OyWq+SYhFkANuVPVmuhav6xIXf4zvoJkn
8lo9AmAICM4FEkHYxbO3gjcJHjFrcg8lgwjOTNf1NzAIWaMHPaXutCE2ApncbqZrwx36nsgTY5lb
gQF7BpcQDcTN+tl6x+05vDckfdRSxQtjA+4Js/Mxp8+GeoshBfM3lFA5y3QYt3gf4nHrZhmCg+p0
91LXanIAcpoc04CH6bv2QrXpRWeBE0xSfJkenjhjW9JS6e7cvougQ4L3xuWREuRbtzZVfaupDspv
PYshRMsgZYNs1ZVHQjpGgV1ndaQuE91g/VX9OPIccHGQ1fAmiTVY9QgzcF4GcUQ5zVsRBxOBtlgT
6Me9i4yRTe0kNoPW7aVyprlbh37Na5RQ3ip1eN+zNuffXgU1lF3maE7/7tIJiUeYHsGClXHOKYQQ
Xx8SumHbHXcvMbe4ygiau/34JfHy4ezha4L3xYL/mFqwyEhAO+qoi57rLYCwd9f143CCv249kebR
bBO4M2E+tXr8Si3y0jjjLeABzXIQBaGycUthJmAXx5t6WxlivA2UoQLMFqn6MoHzQ+ovcRkx8cJm
ubXQU5q1hNjorg2WBXC+EsxEBEV4sM2xsG7CcpbvrdWywtdYUlZo+PmH77TN9zQKvfEqaajqlMUC
AYuI7TLZCmKYWsSbqvy2a3LnuaunmH5XTAnGyvMtjOcxNZSsp8yGGycsYapsI165mHtgDOpN0FQz
YIxajBd2PSJIQYB1rmB6SFiYDjNxYDOGPsz1xJZu5Kp3CV0qQWCcJS9diaBdSZNSNgeiGA7vio7t
+tGAvN5vOPfWdVYThmH4VcPt6ppk3lRmI09ofq5Y7IzY6efCj85+E5bWJipdsGr851KWJuCvv6Qy
cr1N3o7pd51Z/uVIAdQZ1OXQA5mp3XnNbDN7GQDJ3g5hYLzzWggSeISmaRydPh3I1uU9fbSEsrvL
OVweKUNAn8CWZRKujAaXKKK+rry9rRHVfVVkDSntIj5SUDy++f4Ek9eb4BtvgD/GhP0wVrLgcWT4
KjrH5ISVBd5+FkcOzE0va9eUR0O8VMHMAdUWTbMi0SaBNzIAtJ70aejseCHS5sv00Eh2LeVHhwgb
1NIfINJvMzcxbFIDDBV1KhztKAJYAndTfCT1JN6b2K7BaynVH1i7sZkbBz9+tGG7PAAq5nFBSyvh
yyoqkuuJtYK/5sSRyC+I/R7rFpPFyk1c8SGcEaej01TcETOKCmB49r3GHmihYB5tW7ag9bM2Twwr
YOfWZThDabdyVpHk+Iie6zGlU6txTbnrE11RoxY3SbbnJZtlG3oq+5INpBd721TVxsUoaK1esTNK
eAzFPRtnqEfxzGqu+t6C1tUUloTDVeqk89exbdtzE08G7urc+EowlWGgGEubFzwheecUau2wQOAl
CvoSopQ+kSycQhoQQMLWRRvQSFbPk72uWvrH1l0F+uhKYEq6x2ylpm3vDeRCEQTMt3b0BFlb0xyj
tbDm+l4aWCz2sh3Ec8NdDCKu1eJ9iof5TuPTD9d+RoaC3VRIxLJMLAnxWga4RULNDgQzwmRcEExl
F1mmFK5jc8j9Bf2HOd2Bsc2chtsAyrVlZVycYupxgTi9hz06jTnMfRQRQQavvxZkOVmSFp3zqtyl
yg1SSVMc6eiQ/UZh4zg19LODjKtx5xMZzxRidkAVwAYrs+XvwAqx6G2SBFkn88n0dYnb5fQkm/oK
CSwyEPXySe41htjHQDX1tY4dRtS44aKAOZBbiF2umdPQBmvXb/HEQnM1s9gj/Tia3S1xDer/XAg0
z+g+7EzjATPmseZu5h1DQSBDkK5K9SlKGpaSK1GzvyR2ahG4A4gdgx5kD9NeD0kpX2MLsYaY6WTw
Miy65MkGV+sjxwsSxy5pS1A34QTauqZSLt1bjPs+0M6888zSvllxX+evvOLGc2PlLiVADCZx5OPb
ibjwk0Bu0L3kNjSlW2xEC7FlxXMJWFjsiuBG1xkrmzCxoZIwS0ku2FBMDXxaNpRroqHYWzBWDs56
6pkprNK+atq1X/kxy/uxx+Z2P/Lbit3QGWJt9WpJ0eF42WjH68Q6dGDi4jW2+1fev12785UdXRKN
DuUxLxNVwKDLJCsg5ZZyG4XLHCdxsxCvUDI+/w1LrGUWrcHJZZZ4U/V6vhu8sL36WxGk0+zmA2Jv
VtgZeZhI0aPIjGT3h9Hxr4NjLgjHVUrarm27y9T+B4XB1XUTzAOgvCg1BMOCrjgbhtNRk1SKc9zI
kb032AEWR/4egkTzB4HD+jm5uHgnFLkyIenYoOPOVJ9m5kLnQ0fWAwi+aMk0eeY0rKDI1vta6GRr
Au46WrbGks5oeBMXeLdxUU//qTTBl0C9NJG0BLKB+0nVMqTXlE4oK8LnnX2KdYd7H6nzKpNjcf37
4/2L1rJ81NKzR14TQfqzeGR3tWuQq6oQ8R3vAmNiic++q/4gCPzlp/i4YByq5nxCej+f1Ya2UEsr
lvtOaM3bDEzbfVGm9R9cHr9+CqtR2nPQOjhxPJt+/hTP6QOValY6Gv7CrnCAipD9rhznPz49yGDL
EXOUAAi1NBj9eI0WUYb3nZTxGmulRRyKH1KGgjlhO/0f4s6kKW5ly+NfpaP3eqHUkJIWvamJAgwY
sI3tjcJcXzTPSimlT9+/hBsdpuyGeL3peIv7DEVJOZ885z9k7zzqt8qRqaMI16e6Cc+Opr1+FNRe
Uh8IRGxbWyYX6zrMWwsVg0sBUv08xSxjr4I+eKek/FvdiIe65KoF9WTKb95J+9xqTlvBiUCym5uc
mojS57zDwduvH7sY+52Baiv+FkH5Tp3sxGDmefXRqRSMXEj6AsjC6+baVmxyi6w+d3JmsYF1jrsB
ldXx3GmWB9Ha7gdLO+TKgOptesDDlw01GnvbrWG7Wy2UZt5eHeJPXYEhE2wW6p3Gb/j1C/lDRfWm
pyuCpEL6TQcQ7BMcUGOloeTr9W81zdOHyoiLYTSKZCXGgeeTB98l8gZEy1Kuc5hXB5fIS3UG8Rrf
ybgkkeDW8p2d87fZH7K6zNpCDI8C/Kk1pyhR9g9H1WwDR+tPmLelKF3ZxfHtHvnTU0LqmAAN/Mim
snjSITEqY7KtULqrnPCqRlVM51Z7+394SCBMK8BtOcHJ/jdhRCtsVXKVcQvvOIuu/DitTfjebDOz
6VWRkh7DxAnoH0ItAaCV121RLooWiPLW1EeVd+0irXhApyH6QLBtbQZKAhuBKtVBIl16C/ss366D
KiBYYHewS3NUGytEfS7DQVufG38Kf7zdCeJPXR3BP3ZYjbAdgpO550wa8iO3om1b+U92lnTfVNvd
oezRXCLnk19gCN1sV2S08k0wB+oqRMF3LwI1X8sEzw+sWUifinx+ePu9flsS9JpxBGO22WB+7BOo
Sx+pxSPn3myrFum5pEHsaJiQJokqWVys3fR3UuKWLJbo59vP/cNoeWZKGMgm+c7wZG/gKhI6oWBS
gJwn94+mwk0Xk3ud7eo9aMDvUQAzAq9AAHyQzT1qaK9nBlneyVo7pAY7DEb2E8j/XYWB4b4qqSOP
C6K5WNBGEPzq4NqP1gqk8mq9s54dM8tPpqdnxBMcgyTkmD7Z+8toIeQeKQ9MaKZsAWE6+xK0D9D2
ATVPhv1cLDq68OGm/ohyb/xcOCWsZryZzqOkbZ/KoR/2YZA6Hyscr/XGqTp5nwKg36Qul+udaAV1
vdELHjSOtAfRx30Dc9x+D4/6hwnjA3+FsB/CyccU+nVnVgCh4BYq1KVlAkML0vYdkt2oy43owK5B
jIUThZYrK6KC+/aUMcN00oM+WhbPJwmz5hSik3r22CKBUW8r4anHGcGzMxsc7B3YHfuuQ/38naXx
hxWLigHKAyGuupxhJxtKTe3VsVO0lkvwhHdA29TNUiP5+Har/rAQkCZwXKICtALE6b4ArAO78Iih
q9Ouu0dJv2PHSrKbsGjFO9Hhsx3vSQ9ynrgMHgBCcNUnc1CPvscO01fbfhRoMMHz5zKyqEsxYTSW
jgmFu9kWZPbRke8ypz3r5+qLyOIPRCrxpYNL3ttt/72HKSLbgNzEc+DlnZwMpNiSQk0VZAhLGEFO
Yx0K2uOdpff7vAGoA3KXGJJtAIzQ6xkbIS9UuhZycUmps4e650439dF8rEHtXjc16ZO3W/X7iPI8
H1wVCFRw6M7JlurBSQPixfM8oxwweBQjSMej89sM9r89eXgUsp+cd07AVD1pWkZetITwVG4Dpfpz
34CS1iLU52gD5e886g9jZXBpoOsNMlLYJ3MnKihrBSUzZiqz5uBX0juDHWu985Q/jhUKIkxTkFWe
PGlQKFK70DMNiqkyMkx+f1mTCdqO2qNGh9XvOwHQH8fql+eZ3/9yQQ10Z2dh39EqqGv3nUQMCnB5
jnRi9R5y90+PcjnrOGhdH8PHk+2kj4Z4tgRNS6A+bTwP/c8B8aFL45n0zgXtT4/ioPO5dkYIpEnT
y7+0KnHmVouJzHrejmgzjkUMCbsS1w16xLu3J7v4fcSAxBv1ED8gt+TZ5s7zy7Mqv6Z8PAIsqIUj
HrG2Bhzr5eHHFhnT/NDAWtqqylMcZyu17gGitAn3P8oU9azcb40sfxeHO5T8KddlY9thUwjJ7u23
/H3ympdkUglwbJHvnmw09kjc2Co2WamLdqdFHB8SEs2Ht5/ye7eHDoG0dAiowLCeIh1J3YPXngJM
HwBjnKVxVZ53HVb3XuF37zzK9OrrnRzyi0O8yzlsrq0nk6nJ0FODjQBdM1txc6CuEnzRITXIRYwa
ncMywDRxCpf3otg/jLZHoY5zMfSAyUYnz42jZV08gukt1GsZb2rj9cezxuMk4ks6vrlj8IcLpvp6
7aBVeYnYaXOWpkOyb5FKHLc5CrmftSg+2v4UfBLdvL4z1L8PAvhnKXlL8hPkmk/eEElV3doj6IPe
CdW9ZSfNlbLJIqQJUttvj/fvgxBxMWNOAf1nEAIDm/xl6mPhiZalzgr0NqPou+MU4Waieq13s+1Z
uzjoSbQvmGi//dTf53JkInZOMnZJm7TS66fmLQWbDpExSjfegHK/u9yF/Qo57u3H/Ib5NKhgV7CN
BMw0DN5ePwZtZL8JCw38ncTrBVp6QNoU+U8QZ4iKg12jnjjN4Yx2oi2N7997A/mHdpKWIVz2At/m
Fmx+/0vvooMLuRNX+i2xdLSPGpXvi1Qn92838w/ThcREQCGCkBJVYfP7X57CRgkabRih9sbuhLTG
dAsnovrql5w3bz/pT+2JIKQIuDyc1PJko1w6OPazNQH8sKP4ELfV9BjYUfvp7aeIPzUogroAcp90
jxOcTI+1aSHpIFe31Vav9rkzUjzBTlPvgiXOdyj+JHs5lMvOc0bqTuWi9lrOf4lijA+QGpw9xXJA
hPmC7DIMk//DpGJamVtYiHBkePpyCtOLaB4o5WbpcDMYpQU0BpsdV4aSWp1D1diRcX1oZQn+DpLE
O8//bQzoF2YNWzNcJ0biZHNgh0RV0XfRrMyn4nNqRcVVMKB3/84Y/OExHkESqQjD4SDqfD2pCmsu
B07ldGuDaYDzimDxGQpOIPbqkhy/LIrwGOG+tsGMq6j2iCX+8ATGEAW4vL2VqXHf4xX3GU9zsXt+
tX+Lj/q/mta/Ipu+KW/3/8k4rces/rsef9WgEwTU9PH/TjjdY7rU/v2HP/lHuU7+i0QbTCemBCyC
wFwtwUSM//WfiObAOOWgg1bgQkMiVfE/jNNA/Atfe+ZxhI82W5S50v/DOHW9f5HogrHJH+A2w2T4
d8Tr+FYmzK/HPWetJyBpsN0LFs+pmFyZUBVDxRPFD9EEvbjWvd0m7U2psChedsJXykaFOG1ya6T0
Dn+W9Y2/rz3CHhQTnscqcPBsOA+SPpru7LLusKUfZiH5x4KM6JfRm/P1S7MgEPOENV+2fvFJhCNt
88/fI08UTHdi6DHzXaa5NOIXWTaiaodgJ6JLlez5fZbjcvkFDIu9XA4l5cKOsiRYtS9+3zvL5UIW
pvgRxA72gpfj4AoMa0oEY/Ve17qX1zF6Qjzy5R9BhcsOepjFal4j92K+U7UA8jO4Zu7KV/O3phmq
kUgoI9Ajlkv0xFs+PRcWD6qEWjHC7ZScnpZ1rmKQDItamnMBon84JABwaIaTLwtfNjroKxlvb3eM
i+0opTPdYctNo4j4Sh6zKkmv9BPeUdMZjZPeEXWXsvixZNTinhTKbvJ6HUBJLnuboZzu2GlaeV1q
4DrOtiT/xBhhUNPmTznaYzzTCUk03g1OSqc7asSuc2v7CPrUoH8kIH2YXz7CIzgEmbYhE1jlTxYK
SfmTLxNaAEpQDoe8c3tGGEEjviyKJ0YgjxB0+EGZps6fPFSKmCNLUvHZug4QUNm1lsKkbbO2qH3R
W1bV8QUwc1oHMJO7oie2wfjYvDYHGY6om85Bl+Ln6o5uHO7tOKfDX2aJ8gK8jTeUNcynwa9ig7BP
wNK3znkNfrpEWg7V/MtFcup9AskEr6usQP38COGcDQdERGv+fypyM48jyQtzyzADAigbADW24UPL
Cwx2BLnBjv0Igb+gYC2j5YxHOfW8lACEZ798n+iqCS6CAg+fNvj7BI28/ucDqAiatsO7K/PwUFiW
Pbi79mWWYsY4s6xEMjZ85GVEc223gElaTBrWaNOjM54/oaBN94K5TWm0i31Q/hTgyVZZm7IFm/gF
rHCXXFVlvMTToW2VWXovA9MnSuXuRQ6PBgBhigcWawAmTc44NM5ihqN+Xn0ebGOc9mSMz4r4knid
rX5iGEQ72gIw7NPc2abHX5r28t2AxS06wp3WDluGl+6zhKpbZ9eVXp/+rJ9XbxAm/L4NoC01G8yd
Mx93FX8CwSYO65Cm7B20HF9OoNDe3LWHEVFvW3/8ZeP9+LJp/Uetqo8NzJfhv/7zt0S4TyrWXJNw
GuOeT9nh9eGYzyt+vSlQb+CMsf+VnprjQzgUo3OjV18HPcDWNNWfmckTMCE4CqG8cLnS8hvLK9iy
BHQM50Z1MRygf34U5eOUv8doP43vzZsi3QnrlCPBQ4vg9Zs2dVug7Yjrwcs7dm1n9XsE4BeeBII1
7vfIQrnesVEQFuZ3wsXTmxY1STLWAtFUTiUpTom+tV5b+PQV6mWkZeTFOs9Gp2OYPDSOUPfA2mjx
Y+89ktnpQcNTubpynEEyhgf2XEH7JRyeADbH3OLsLQZua49L7cuIhF230P0ahWN++M6E+K2l6ExT
padGL8lWcI6+7uaiQNWDLJxxCk1deV/KOeucM5EIFlzkxEF8STwHvWIP5jOoH1xQ7VjDNHlXLtWH
TECR+pi0Y8hOKrLIO+8HaHh3QYLhUI3gPkLMGC1WXost3jsvztH/6lQmY4sIMQkxAlmiPf/kxddM
Fmq2wThGU2H5XxGPkfGlShPeOGz7wbkJAPeCRE+qHHR22MREp7vETwrnPGzmtv4EpmRtEgTI8tD/
+vbLPYeyv4YMZAO5vRHnEjc4JuZ93avTFPmzRI59W60YTgPmL5IRrlegtCeMEXPN+6H6QleB/jRq
RJCFRus+81H3PhdW4ntHrIuYZitn3XSXBEC/jlEKBu/aUpKGtq1eBkyJVjNPIrdhlfZ1ge9lgWYN
vtzZmmp+E0B4iA9vN+40vqZtAUkcLt0AuKDImt//MkuzCfHNNJ8AKMI2Kx6GROTZrc3+Hr83xCZS
f92LZDoRWA0R8jXsy5MhLq2xqgo4IRi2hvQCnsd5J7aFg3uZ2pLMd7rHJBzpJY3uxPwZqUDJL0Jv
mIuHqICedNuBrNff327/byvGQMED1JRN4s2GlnnS/sFTdu6XeKyPohafWwS4x6c0ItQ4b7Mpaa8C
LKLle9WD04wAxRcRIUhBAcE1ye2TGeU365wAyMu3RDphee1Ykb0e52YhEtGzmxf3oBpW/6zwKn7u
pnkyfEzsurEHJKx6iQldsIQg0bPQW57WDNLXrkNMTpKN1445BqE7ZNY9EqFLeV2QwZ6/NsSb6TvN
+L0VJOfJyzt0XCS59r/uu6Ioef4KyStFcWn9hP180/cwJax2PUZkrCBbgREf7Os5d2b/2wQYDreQ
biQLtH97FP/AOSeX7sLjpyJj81In05h0+hJXaLdue4zckILMvJ45NmuprHuJSyGLMspitoZ8Rrxr
vyg3lV8dZOj0d8upAu98aYH47N5+q9O5JQFsSbj3JCpMIvN0xieNsXiHV7XVIYK5IMknZ+XgEWCK
EYrtcOEuHnrH7dlL3n4wl7aTxcZ12ZRnHR9+M0mZ0/5QRdAZsdF8a6OCmSALG9kdkIfGlQVOkIVq
hph4bEKbsDtaczVH0c7p6zy+6NEeGaAKZqIFWTr5PUFoFQxUeunAHIT/tiqQYV62cF3U+lGUCIlh
m9YiZvEJ470O88kC/0L7ds6C2f0E+8VZJ4Rkl2Y5a6O08L+RvY5aDCO5JoZnvo0/3hFZ/Mr5HIDg
hLQyVuSdz8nH6OoRVfFF3izYD3oC5bF6qUm/+0WA1yeOUOjeYdayFsbqygZ30Jyn2vPYNBKcYu0P
2FUPRgM5tf1ur2ydoDMRYwBsTEQyK4yqi6ZZqWadhWPeYUEdze7cX4UyT2PMi9DuLOCOyDj71K+j
lf4N3xi02K6yU+UBihwRxL/s+YAxx6utbrokSiu6Jw4DJfxjoojG8c1AkfAvWaQyegwQpF7R6es7
hF51krTrX72HLSFW2A0NP7q4PYAWB4tYgLhvhBq/kwLPkq9tPNbujRUhuqag77oS8dIcPlTsbJ2h
mOKf2OksEKe4uo5GWBhTp3In4oFBgwlYDfZZO0ZVk53lLhqEn0Kqllm1WfVghz8buKoK147RnLWb
vldW8DBYbWqdVwso40vMVWw87VeLzn+M5qD2vimEQ5A75K4VQ2v0U8v2e9higA+BPa96tRtkl1ep
P3WJ7zMDrVp6bnnGYdlSo1+c2cn8Q4laQpyfhQPyZ9UWdSK3f+dgox50sgYIJwgpIh/ENqIJSPG8
3p7ooDRZdMctOFbEFDADuLfqNJfF1ZBFtjzLsfdks+xayvCHHD0NTnM0UilW74KgDTmXV0cXD0WR
VO2dBfsnOq5zCfRmA5G1cG+hh/XkcqkE9UF6gAWoEr3r+9pdj85ch83nArT0/FcFw4fMoRu2KEj6
mNfXwzEZsL84BzLGuR8Rx+jP1BoliukTHOnqcsorzz4LghULzIOlrFTjvhIRu00btbrcWuGfghq8
sBdNpVli21Prs7yxidx8PAn1HUJsWd1DjlJVPZxVpcRZFdXNkjvXxo/KVV5rb5kJvgFPrGgu13oU
4iO7QgNhh5JIu3gsHESqL5WMF/W0rpDTxq3yoORciQ4th4thSbR7rkcs0JIzp2xIil50Q0rgo3LU
lO8QvpUIoNdCmXtIByQVyzCwq3pT1ToxVDY0YCN/h1diO1346KCmLH47y1pEJ1ji8ZfWzcGibrq8
yVzjMTiwT7eJmrMPUzTFEVacsUTuGlXswMQQE9hHerBRvU+kGGtr1N+rSdDD5eo2GtNQ7mVqS6hX
M+r5qDyy1FCtSS9k6KAwdGWZ+l8VrqiDc4Y6OhFwizkT/ljPVypL42HkAWfPlxKJTNQjF3Quk1iH
5bGlziAvcGfUBKEomZRs8DE6iPFBr8PABl8KLGAOET6b9HYAQYdvktVIUgTRJdk9Dp3jYO/lJrrg
rMrYG0eXXWBNkXqvJWy18hP7Yh98zkaPlbeJJofCxbHU+cJxV4ZJ5H8tl7TLn1arNicgG/Kgv+fY
lvIPhQqA/h7A1uiyv0nClNmt0wI0RdWz5RXcFeXNq6FVZrplxPdTf/MSnyZrwyE15sVg3bMNDy7E
gyyLKfylSAIcJ6th6UgES7PbSi4EtLjoygxaGrqgtLqNgrF46FKZhAHegw0zd7XiQF6QfWCKWB52
w9fxFHFhjUn9AcBuyyFuz6d8ZNiM9IF3jleT2z1SeOAV1ghwCoCKQBKrFgOkuWsfv0JoNOkquseX
y5yjUZ++fYmsux7p3qOTsUccdQXp/GeKV5h1n9grVyJsnjRrvpoXIu7JgbKNT7U98JtiJOt8FsKE
K5BD1BCn7R0C5zYrJjCC0199xw7In9QVur8YUUkTy47PM3Tt2Uw/SYEkwcWSsTfs13gtyP9LlHjc
CzfFBOdyfl4iVZlMxUPoDg3biLQHEyQId2RrslAh9s4T7iLTHfZ8Rf0pTbNqvNRgnNB24GTr8HAG
28QNIwqwhjMcLHM1QlqD16+HhBZxRnF/GuaOKKevGxqkOMnyBVcxh8lYYSVlGbVankcQad6hwiyc
lnJDdHkVd/Xo1BZyenGwGG5Uncn6Ip0xNKTpXDvrrXvw8QN/aEERZ9sE08NXuis/fdKdx+A2Tcpz
M/gsxVUyOTQ3CzFUwgW3XMVOLYjIfk5nx2f6lQtvi2GVQE1icZs+v1p78lgXvYIgwH0pXrtHasUT
2wk8V3wH9wF0mupnNWBwcCtyL6HSMQHsW85fJhmq9/CPz4CfOsjaUUlsrqn/joIq41Q57a6SaqiP
AYFOcdU8nw4FJ5H67sK17G+5Y7I0YrdlRwPQWk7fMqdzi/vS90cob6iuTtZdvRQ1FlrFnDkOxmjK
T1j43ChsXBqd2izNQZLj+kCSsRF3nTtV4ksWdgt+jn2f9ZCgMVAMP3L1RCWObOySi3vPnrrizF1m
HZwVLR6OkKlzURWHoUGv4NaJ6cwjEaQJajEypJNXzJ29o4IjiF11Ei/zdaCctHvwAEj7B1TXmSVG
YzUjCY16sYKxhU0L/ej0RS6YOrWt+69JX0Zso//kRcalym7zQTC9J7hn1j2lVK29XVfpuUv2CK+2
brvLBgh2F+0ws0RdS1vz535Jo5hktEzk1w776XTnJEOvfmBwZqRwZScTvKOXhiXvsL1JwpvM3Oy5
O6jiYZEND8RZ0nSdmlenuIIQzbZhWJjFQzuUrQqv8iAvFFLlQaPiQ6di9Gs2ltVx7YZljPCrtR39
hPCYDVSl0SEl6GjRNUitIvjo96w3g4Ixt6ac/0834Hyc0plQr8Ya2KQPH/HtgPw0HCcMARdMRMv/
TA349L4HSBobrGLeRBHMmR//ZJBTl4TtSwb97cf9dvGIAoLNENFPGKo+2IbXkQ/56RYyjYeQr6VZ
fVhlxfRJ83w422I1KQqkmVmFbz/2NMkHIASEH/AVk+ujhn+Sjkz6fKVQanE4zSkM9u1IRZ2RpejN
ME1wAuSFlyQxZ3SGnS4H5duPN/HcrwkGqttkCdifwPuQL3iOB39JZRQ5NjmwNPHbea7GvNQMyCTF
5L7fftJp/4Ly5j5HdOmSr8Ja6SSyzDS1r4CAfIM+oaAdVWqZdU/WxLS3q5CW+jbKtnXeTfja7utG
UmslB8WdMiKsNfD7k6GFcykE6jVPaJITWGzJL0L332QddtXtJtWuWqyD6usB/K8XWaubXlnruHTh
1g8LibdL6drVOFwNtVibbzj8WuEDFgnwULZBPU1OeTm4c6hGTNHKMYJ1aWgi00UwA4754mn4U9EW
1RUvwO+P/VbfSnRn9G3BvY+YCr/uEOucVfe5J3ZZ1gzeBHjDta7KFYxKfIhgM/O5IvQ7xJZc9JXB
1yZZIFbcTElrrsnnQK+BA4y5yDofXVC8bChT2crzVcO1KZ1GshxJXHGluaqdYMGcEJaOpvFlnJNu
hQCFowOKNfGQo8KTtWx+wbaAVDioHTqBBb5JXN0y5aNEUhIj3kADpzORX0+r5UcwLaO4D/n9MO9f
lmZPiQW7SGvlgh98B5EY+A+r0mnm7e0qZOe9DCepreSCjC/qWFvKPOnYbyh4qekpH6lz+MbIRnjN
5WprGNEbJJbRfTlSOx3k/ehkM01aEva2m7YpnNbZrwn81ny3DBjOoFCLCNIcbFYyWRKqPUfgKvaW
n1WRBTlp9kex0Y6Hw+Q2jJaUp6FG58/LgckYR+DzkwDWGNdRXG0uVzqSKTp6YcYHZSfCLj+0CRY3
xTFXPUw/lFl9zngsjnp8JuscE0ecd3RSD59AUc2JgJLe9YXYBOhTTLiIVjFsvUM8pV6d70Dmlx1S
Rq1jPKazwba5zCae8hZkdRbBSbztuRiPH7s1T9NPusaz46tVd15MWyZpYWSRT36d2nuUtAyrvlTB
iFUupwcEvi1HhC9hrbYtKjuHBSfNpduH8WImX6oUggHn5PgXdn4LJf5CbiMUBnqPH2KwRCFsRrTB
R1bE0kwmNym68U5M3GYp6sUZeLutkFilDhd+l9scllXIgELsLqpIPLJlzforiQ7o9ejKh4Py9lzQ
6vVmMmJGyy3AUj3qY7PM6Rrv+nhAC7TZitpvbHkMnT6JvpMNmCDuhFjCl+2RmTmU4gyJnKUAg5TW
i7WcLeQk3O6YQtPO+0uncUeVHdxKpXh3FBbJg/yOA27k77DhRBFgT5ZnmXdZ3gUL5heEdPJCUePD
tC8arEomWw11v77uUmSeikfCc810exnkhQ11PEd93GViof8ku+/0cjr+nKkUZ80WL1QdTlsdoaKC
/dfaKFPm6jU8zM0wsD+l6E1YNQs0WC17Pm9yXAYeY5QE1i8yRas/A4msYmw7ECXRVoUz6jJTYJyS
hWrAORorJlmJlBzRg68GWMTfZq8XrXvnZ1gCp5si8Uq2Hz/UbQv5ll1tZr5yEDR6PQOe3E32dYq5
JYIcXYApAkn5Elj9uIuSyfz9SnDLugiQ+eElJpYX5B9uPExwxN3MVtSHa8UTMqTNeLGBAIw9rTDX
IRyzAr5Jy7TmA0Ks5gtf3lVz/vFpqeQMraj2azV/HUE9dVgw2WaRrgwRn4412gbpxveLhK5YO8uE
ua5qps92YyXRR4jcZVEcfUq665epX0APZOjAMuXWUhX6tvHXKb5CNEvods9dVw3jRx0IBMc24JZM
oTKVFvUFcqq4k8DL5VqE+sFz/zcac07nGGE8xucyFVUr6eZVrv1Eud98ux3GZtxXj5/CCq8qazxn
//HMP56HJLdC02Zop6H9YKGYehzrOqMH5yZ2gftQUffnLfQqfJlhV5Pk6jG8k1732Neh2YgWa2qq
dacVMAOcsQhsmXoWwlU8IlhrPvgSOb7EQ5BozbZVQJQYDtaE5sojSPSsH3fJgJgTVd1wNCOCeIlJ
0eAQTq9xoyj41UvfZpNLu6bSMRV0ctZmKAr2Lo8xeC7zk+Jv2QVVOJlfdW5g/hbWzsok+efzo6cz
fTv0K8cayThq1N1LY4JUMq0p51hMJcJGZFp2yG/gJrK1K9JJNuce4HjU/F821yEK4/E8SrEKv/1n
Y+7y0iwGAH/mr9w0Nv3x0vhCwZtAM/DlWQL5xOHgF76ZHpqAsrh6aeEil5DhTDTXpy+lhdLK4z+r
CNaYz3dXY2meZ/XmUBlfFmfpNpjpkHA2bWoqW9PLGcFUcRVaVs8pz9FnTilZRhXd12d+Xl2VXQzV
flPazmz9ndbIjk4fVOYKGoh1pcOjXo7HNDGROSYYoT2y1Scq96ejdDHTTa+kVyfdZ5FXAiMzQokJ
40GmcVrekT/Ta7HtWo9S2cFfho68EMHUAAmniZxBIaRUK87+c98G2v3gFuFAVPAyK6opJ7ESBUTA
F7mWHRE8lgRc1lQQR+N0GLB5ZS8fpcXhe2ZXuPR8Q0Qmnj+TCIhSa+M7oAC+OZYOCYvbEunKpyWa
wv5ntYo6+TnFLQtV4MJZ5OdDM+LYux1GJvF320b85SGJkop585IGawvBVYbdmWv3OHfRWHwCJGLy
Z+EKfgi9PTnZdYWEY2MuJuwVYWvfFZBV0XefNDmyo9PkiuuO03Wm8O57k1nZmJKYTQPdYC5EukT6
QxgDJzPzh4V3Hc7zAR/ir5Pm4j7s+3XKCLnrzuVnL7X9SPv8qaNIW+0akPK6/+HBVLWaM6HYJTfU
ws2Dqg7jDAvP15JXacfwOS8zAo9o156IvYwm81boCrntV3/JZHxfSAdrKPLxE3W6ueiVmfvE5LSh
Rf+PjAmIkdDcuHB2oc2608j/UOpbwBbsS6KtZv+yXc6RYpVbHiCdrx7+E05+sXKamabOIom+6UgF
7lEijVnfxiGZmWIfpujH3XTrtJD5e0n7cCMxsKLYx2YDQ8l1zPgPMi82Dy2Zs2TXuGrycZIf5u26
oHSyJ+rMtn2ThOvYZB8oxgfsXmNYmBOpFYVN3cO2VpNenNCmcW5ECosHM0Fkf5ybJa1K+swdHNnm
P7DbgXWzmSI4kxvhZAZr8dL5KhDgMvSSuOlfKI+UCTkNLHKqS0DX5qsTMuX05FpgQXfUcbqiQYhz
XjSgaqHFHBpJbuBDA6rUeolDSI3lgjNvPmAmeFCLa2ZDGObsAiEmXN7Pwk5qxMpQil0JHHs/t1uG
DiY79dSFGlUPuyVK3HAfLUGefXy5KDWZPcWHbIxKfJ01PkPoY0TJ2odEPixcJsLzNV4PMxPkJTvQ
+BbPHEhLFt+J1hW21p0cErZqAl36G70MVKAvnKo2E7VHli+bL6uuKdPmIxGN3yxbBwvJmoxRZ0XB
Bc5ocZ/exb5jzuR1tVSUnY2Vkvh0Fcjhk2SvK5X5aG0509LB/LREkpRHK3VtdzpMGYWJAKVO0g5w
iNtlAUfyo7GEa/6DlwEujcCAvDh0S/S20DacYdx3UdQioAtuCoXP4dDx7zn6i2JR4eIDNU5hi6pc
2fgBCqkb3NqzJX6CkzCaRZOH2kY9grkR1BRaDmoQpaz6K1VEbZk+IhlgKffRoKokACxr6StzQfQQ
REGmFX60YE/oN0UpU9EOiEoIT+N1VSiwlSQnCGVQp2HPkBmUq2DXzug3Vqh3aK+Sot3lzjStyfU6
KjuYf3pNNObBedJWYTQJam1h24of9TB6UqOVltUJYf0m5MBNA1Zo1ha5s8UBNBB/C8LkODoHyCTE
dCPIH/GWuB4G/GdCVKxnwvSaYOoc8H+1EO2ntcjZM9NJjglZ/RHVpWNmWLGXAht6ney4vo3xuBdV
pXRdbYuiHwXo6KnwvOk8WzEXK89Dc3n2thVhZmChCynXYbygzlQgSoiKbsp/ZkityHQ0qc/XnaEO
SCEaASyuKg76utAj7Pwm6UCiJljzZe0ay7/t1QmaZj8DnOP2m3XkOr3zTlOb406e4Jp5HDKrW+Q2
83USP7STX0jxRafCih4Sb3Ry9wzgXzLyKpPkMnhFHS+YwNJIGgTzQS3h97JxuHx+K2SqbSNai6bL
cOYXuWWxjC0mKZ6WbjMhTwM8pEMF8Ap910bkN4SgKKHADMSmiRCmCovQvVhJidOptaqTwj0bgWGJ
edfVZOMeEy9IES1PwrJZ6p2MJVnYfThwsJBQ87XLkHRS6DG6g4nLRDgbc/KbyzFHuiONrhC5iZLw
QtmRytcDpHpUDj9gmQx1+hJrD7Ivh0hxtISHVhVEsWjKhJOlPgCVUn6aYBw66jTeQ95d+Yt0Rgss
ulFAy+1lu/T5lDnHKUC8MiS+ovsJF4C39QXGbeFksoOrbxayv1gkkMmnx7I7VNaUBN3BG1KbuBRT
eRPnNrNExXDnkYhlIuWAH6MHiJVNgM4uUjeIw3Shv1C71G2niEA6A/y/p/ZSMI66sh3j5YYMqIUB
6VSLzL6pCGJI7G6adRp5k7rIU7aloRU2qjG1HSQqOFsYP38CeTaFSmHLkQxTFoV/IVjlr2AsPLyU
kCyrYlLDScXleopHNKtCo0OBgW6WU2w85hN6aj2KaU6s7zRZ1MJBlEYCU417FAC++yosRu9y7ki3
VV+wFoz0XZspKle8sewFkmp4p8YKeWAXZETmbge/NypAUHJ9+a1j69X5j26iLkeIinBa6t/iT+Ug
qBblQcECBQthtqKAGz4pjsbWDT8coqaz8OBsVSKd+9ZxqynbSz2WobVDv6ZCCrxiqgTqkoT+2JY1
dm5UB+2LwUJ4jKRRmQqBhC8U9xSXtbCLpuiIe5Vwqn3oZKuFoqwXibw+k1URld0+DX10CC88FWeo
8yYdO1N9GKYZtem9JRvbdnZzyc1rInMs6jE4+ANSxstWhmuI+pwwjmr9Ab+/ohRoYCXtIvbczSo3
2gkZNLaFQlFQI+v638ydaW/cynau/8pFvnOjOJNAEuD2pHmyJNvSF8KWZc5zkUXy1+epbp0cq40j
ZwMB7g0OYthb6mazi6tWvesdFKd1fj0C7XGST3HX90O8662F+eK1og7a+FSPSU8qlRdXZPtuZCT0
mXNM3Yb/JnMvLy+jABNLQtBcfNiMTd4swYBLbzLQ921gy0kbr+2uo/Nb4yjkes+NhecpZq+p0ku4
GTLdJWBc2vDCTQoSih9CzylpCxVG8oOZryb+zVQJMZQrwUEjQ43c6X/DGVf/uEVoN3+EcTRWj05J
5mNL4i0CfsoTOjdxkbO1SbEuMndQnGAXNvNiF0ctbrnMfXD24tA9UNuf9WyLqxkx+OLfqGY1F4AB
JTMPfJ76uApWSdyYmbu2B6lvgRnT5FhnZUDum3Zg8vR/W4yawVrLKI6fgBItSuOUVt3znqNShnzo
kDhT3no63MaK3JCpJgVZ8aEPH31waTCQXuSu7J0tJYKT2ypzY1NhdIUwpMKgCrKuQdpvV9KyrDlC
pkwdGGcXeO0OWIHMnKwP50+35vlOAnYe0pvjwtS3amCGSUJgQmKFWIX7a/vvT9sm/ODb7ZYkYupf
S5VGJgigXbiQWPraNrqdnIzq0zbK5b9lnKv4G2l5jKtCoApeGCY357WOAmDcM6/3i+sJwItXKEzM
e15rjOAtvMO9KM/kao6gfrgkqWABxv0NIKbIk6knoJHBj23mId8c/Al+++0ZwBiVwdVuQpRLRJ7h
LYFPJKLTWuIB/4Q4Xk5pFfThSlrd0IVrGMhky66XSuovtzgsq7ami8OD1e8nBkj+WOjLe/tGDNOw
+NvsJSyNrGn1LYDuqwHpcrIWoipB/BPDXtfulGKJSHjEtJDYlyo8DtfMhAz3y6j9rwHxXIvvZDXj
wpmXV+kBwszypo7EWezTlWKJ6CFqsy9NkuRwwgE3nMFzQ0/W3hMZrLagQ/JanbFpgirzqXLlW4ZY
CxkhL7nLJJsMeaiqTVS9a82WHmS2i3K8cbopwbi7qJxwTDbdDMl2WjlNZXGgN2LOAVfTHnsYyOVk
O6iVpdhM3vAMH8e3ah33TR3fRlPaEeTSJVj7Xgk1YPzHlhDOBka0sepwZBxBscZzBQVjSVaSUSMV
WVVKTVhLytF+tkwqPZazI8RQzsawyJZ7MoediuT4DHIM/Hd8IuXn1BLxcDbu0fAk6FvO02Vi6rO4
McmufJmbpPAvCZ3pFYiawBoyXs24lrjeRpAURXJjit8eNBTVa8woaIeGD2vVpn7SWV6AHMAKijPW
4REpRqXhCopPwb9xUzKP/OOymJwX8MMkHm6yhTpBsu4QmdiCLYY3+zeL3QTyS0scIHbudttU7XSz
ZPTHy84oldl9crLBK9ut7D0142PLYY209+SARsmEEb/5ta/dDhlIY42cUfMVsZQLLY2VT/FYbZbM
0dhqvcCJq1c09KE8a8dQ42RV4GsJRrK/UZ3DcTFYI/SANLCjfSySgFDxdnJfR7xEjccBB2ySj8kL
GaN4u+jUyv5qdMOWHMnIIU5XbaOa+Klu6/fC678qnLkDuhKDHvxLkyax3QNNTK5t7HIHStSdP4a0
SMQlmgCuZ1mJ6+hTNDPHvBsYgEjYTdiezck/PiyDgjYhUJHQpsDbdcnAxGzboFAS4xZFkQZKREmg
Hl/VWPokedoWs0vGItLF0PCuqmqsZXdR5c3zc90Pynrm4OHK8K7L4ZPehY22sWNaX3Nv34pOAr+N
57TPG70QEsYSvLquldzJLpEavxrq0ARejEs9DhlHUxOXFPljBUGNxFw22HMTVl4B8Vk4BE8nbR/p
okzYEFCGyNQeeatsW6NVytKY4RuoVhomDc5aMdk3Hn2ZekQog3276ZVKQpVnlx0fjABzkTl2z4GH
aYlnbWoyDOACHtA+2Uws0qj0PBZ9jLFHfgWKXJoROXuBaD4XzFMUh+t8iKzxtFnambOMtScXHBA2
Rrysoi30shbP2YWdcoLSN1m9h1/yHicc8oa+aFUU8WLfAUrjvH2Bb7iM0tWMf2g5bYps0LUOcYm+
NRkoHdAZPoCYUWNxT467v12csiW1wk2aYcZYfTYdjs/4aErD4GglprZcJ2Wvf93vWz1notvX8COk
HY2D4nSsV/h0uJm2g/uWf9M7puyN62AwNObYxq3J72WGoFKFFaYWDKSMRKN9Q23rnaez/JgXGSDH
Lv1Jxi+U3jaZoOsm296vsPjfGr6IljsjI8zrnMDxqbwOI5dMsBMcPzPOBLBo5EBiV6/U/OzIwZxv
c8RsSc4Au1DLs2qg68GhmdI28c+8ccoJ7fUhjmDdeSgh2EXSOK8jXI/jfJXIxms7qveU6FC8FgoI
Bpn7h7WNM6wuz4aqVfw8e0s13b1B81MmdH0nPYBIWmkzh34YDMC478kBCC5TU8O8UZIs3BjOS0FK
B9KVnJxxCFfBLMgzXArl3VdmEjX5xQF1n4cqAJ5cHHuOlh8OEh69iZC62iz3UInToPrqKlpOn+e5
HeZXAnxGh5ORi/iEFl3m6CtuyCPRFC9o+3DrwFRr/d3Y44xt1KqfvMA2tpXUSvTVZNaR624bt61b
ZD9OWKbZJrIwws/WmUHkM0WSfv/MkIw5bmgi6jR+lDaEg3ZrQ32JiDKIQoN1hLbbZ/nXWefznkK2
NBWfiFYrp+bJTLJBr47D2sz3kNQbqlyVvkacKr+29GRjjzG/gdn7bwC/UbqSph15+g9fXmr3+/nL
/qErDncZC2yN8OKLIXmfiBBx/ceh0oSFZfLlWUzcFsDVwWarWtkd7prZpj4g6l5v18PJjO20H94s
b+UhLfVIoZEzGfTI/UaP6xNQPzUijQJ8cXZsx8RZrNGM8fg7ShBtt5aRgiB2Kati7JJdQptkV5sh
i0o7OkeF443NRjQ45gqsVb2iIwMnnnDo39gQBMsnq5uBa3cxTrZtdVXbPgTkb5K0AKPe0hkMiFV6
x6FTuyqddKgw8B5LL5XPPcw+poQqzN3R3Th2p7df9GiO7Ndqyv1S7oh7Sa3htKvlxN/iAuom8EJR
BuVT0bct2KVi5DWAsdVY399x0nFtEI5lcsJPaklMm/CwAtLwU1RSYr93hAUHw00gcd/QW9u8yM+5
bSv/doKKjFMHXZWeMRzQ/Tps9YYBrsQIAQYaFFT6WF1pmsPApY2VXkQY8ifD2QHlNoZFl5sx5tRF
QcMbkJd7GwKDpNN8nMokyMcvQP7Owni1FFXkbJrQmbHB6pded4BepgBNwN5j2/9BHxsr3JM5ARFk
lKeo7qKzOiztOFotHTKQ+I6hu+Hl15yqGiPYKRPVyrQTVp+005aJs0UUCWOjlNwG1xncrLrAHbno
6ReSxgG77Kw0K54Kh/KG83k0SJIHhshVBq5re44Qbg4MLkLDSfj/havvECP9nJybwDUsBpimx8p8
ID26S58nokLb72k8tl2yQoZqpyAhE5BCtquwrWd7ixuc2zE4TGLJS7BT9Nb0HXuoiiIMmgISOVWu
rr5l6u5BdYxdI9w9epMI0mwCaac1PUy5UCjos50CipnuHKfTxavoBNdJNBjkh8mc/eZh7Dynny9j
jAyr7moaCJ2+Mzx/5songmDJgaKJ7ytCceIuEtctuUe9uBzGKjPRvrXh4lonuUGdrhhPFAU4lZCW
BdQH9I3cctuymw2YxxVNVBWnSIvyzthl5NaEHCqh9STTigCPpCGIGnMf84th4BQ+3oe4Ei/xCi1L
aX5lgx6DT2ApjG5WYR1OBHi5cwe2sQ6oo1DT5gyqxQ982ZlxrAzfcvt8u6R+YX417VjyQlWtm39d
3PXLwgSzZbmrPIbX/smouFT0rylhX6QroGAeIBoNsFPx4+2aIXmSARPLfGMxS0iKU5RfKJbX9TyK
ydlG+7keKUx65iiyXE9dczI/gQx540Aqtj+SpF7rkPmZd+qwVS9iOy1VnKjzUVX7gl6UeuvpxlJ/
p6bW11FBLc68sAualC/LCyb9b2Xl4oRMqyEn4CJrGKfi0W1DEc+3h+HV2+MUq0EP3ww8kiZxQpvI
LoBzNOd6eT5LWE2sksjQYPs0VSkEhDgswAPIKrNtS279Adl7cBIEqirVzm8GnuUVE4R48c/NHsxt
BkFzuXZaZpUu/incYjr/ByLss7S7L0QyB+qUnHAhjRKz6VZf7VSPdlNt6bnx0DwfU0yHvkbmgJfl
WqAwiL57TTQTd+WKvf21UZDm850cBrd5MJPYaR4CempsEmbI33y2PEEyx6E4IlXsrgG/4/YfZoVT
VwyhAToTd25Ptgp5XQ5Z6fsB7ph0eqgLL3pgJPg2Rj+MA/qu1Rv7261zq1EfOd52+0Atul94a4B4
APXY9m2PqsDe+GpQR+rrccloZOQoGG1z5oHpN9116KV4T8gWnkw3xEJ4BJONeoIM8nJgL7xNgN0Y
pnN8iU46HiJW1lzW1s7IyoY5hmYTOGeZJGxtYOugp2+3Io2msD8JK2EYf2Bm7X0o/kk+8wg2pZNk
4ogbFXI6d2+c+Av5zMfrmNTm1N0QjwczeMX8P8OIAxBGD55U5cADJuspd52dXzOcFVtA4xG+sXJ8
ZnEgI5rDC3w8M7SKqKAIef/Ba2G0y3QQeZP+Y69XdROO8jgWYXvIqwepy4DYyCddwGJ3VAxED7LD
wzhwLg2Gehz1kBk4abmf3dUKOi9Sc+ZI8CaGdusgPHBeI2Ay7xx5LORISPP6O5W+oqHvJvwMBEfx
OiWvL52hsJ82mW2bYlN0SA1Skt7GPsWAWhBv1fyBcPee2sfdhTfJaQdrOw9iIe6T7wmNfu74sgWS
3La9suqdWFLQDoT1eOOHf4tFeHgrTFyF1o5A7zv2lsHhuoflZgVbu/Vrzl35JFellRefP6YQvtfO
/f42R5/on2/D4Cj2fBhKjq5pzDbzMAATa0IhNgxppFeed7gLGDD3nGiKV+nYS/Pi44sx37MK9dVw
a4MQAicxvWSLHin5zIFRCPMKRVvMc/M4l61eQ3R+HGPUVOkBcBT4LXNXAlvyK0YrjAIPa6Ue646f
XTLAxe4fA01Fdh3n1I+v8j3rEkEzwLKlZZqECWtC7dFFOj6+/LaPQsGNSm1rQOIhgprAxsegWDd2
jqsFym6sIz5+2/2j++ujre3HLG0+iAWJae9tS36VyMIXX7zZHZqdBdOWQtaHKLV+NnlPc1IooDvI
UHHC2H3pQM83bLv6kXeorjBl9gPujy9IL41314P3GraBZuAErmVCCH3/MDiNiwNwTPhHA+keqRmY
FhYdY+OW+bcCtHq+WGxRaTeKvRVI7jMi/fTxJfy2YAIUVfhv49VicrLC1PP9NbQICzx4NprW6+gJ
9kCIkvuMDn6p2k0rFfP8gArVlrtD+fCbxUU4cDiRwLpQt31PAlt90XOEYFp/GKt/fJHvSdd8aVpc
q+8Ub8uiPo6exv0Dyp0hgzUmglrqNB8k9yUrlZyvrs1YP3+oU8dLlLfE+dlEeknUPHZmR18NYjMs
sfsgXBuBAuZ5wIOhKk+L1uzr5iIWntLVus0Yt3/8UY/WKM8t6JUdajNM4TnAVUdvDDdiTqdJik0X
1rw68BfUjTKN0+nx4LVw2APiphr0UzoJlivIaYYeJ7HtxvrDo3pkZaivh+YIWDzAM5GrOZZVg8vk
iYOpwIa5oWbYH7gyGiMETxmMXO9yBwJPAMaM9YdQmjUxx0PuCCJODVRsO37VCFP4dX2mppMJEC2/
GpAk8PC5s+IVMgID/6j2fy8b5NJ9GOT4YdnYwkFjP/4Oo6YzJJABt7J3B4w05kGfv8Qww5dKmeWV
hCotcNDXJIVqPVDjIqlxkK1Oe7JIZsEz8hu3QHdXTb6m7fhOAlMJMY9mwfi1o8tpuifvmDUMOfZ7
C0n8ebzQwsDl3W/Kf1gf7xcmTypfCPEmnkdH7wv3WHA+V4vfkVg2rNEtHQg60G2uhq5FX5RTyGHF
JFpIoVYDElmUbH1SYq1JZQ1SJo1OBj9FMabKrw5WGVa8Z0+icNMjqMBiZNatHZEjqfv4yu33TzFX
jvbFxE4b8QT1DszofaUhZxM4VZXTuhS5HnD0OREX29bhKPQYTIyTviN4CbCMiELqbecNfHodlMMR
e/ChCb2Sh2PI78xtXAc6cd7O9UVaKne8Fowhp8sCSyDCRat5iAEYQVktJMwtLUCEdoc5hbh7+8ZK
K2IDzEzGX5x3a8tJpm0Q9tCxIZxUi/mUN3Dcf7qGWbrROm+L1qhI1kl1eUwgsuZX4JlB8tIT+2IT
3cqYz/s6+2jCvnx8y47E8PqWQTcMqAh4/jFsO7ZHhddcogtr1BptrQAjeWsJc6BHHq5DwwnHI6td
SAB5kX1nLEs3GNrgXelJ3I0ZP0Z0+pL9oUs+2ja4Mno0cAq6Qou93Ds2rTPtCjdl1S1rAg1QASY1
hyvOAmaOWLYKENjRRpJ0kM4E3vqoRREQOmZ22yomJY8wDCZyZYs4j6tzMqfNdlgn0AeoqR/fwPc6
Fn2VkCTY7G1MIVykHtb7JccRKwL26N11QF5U/xWoQeYCeKjobVSm9Wg230ImxQmavUo57Z9sA37/
/tjTOdxaFhIPHUJytOQZPlp8A+RcMQOUFE+LHCsKA5HshUzvZyoYRjl74aGneVicSiM7ol5mQ6K5
kJ3RQFErrVKXpY/vzG+XZgMkijcDWPyGjotjh1+MneSps1mqjB0GrBdqHFoyEpfWoaiplzasDK5l
dkUkvs4utKZyl6hCM/PQP/ckn7pRkf34w3UdF22cS7TxtePY9Ikm7ez7r8ySJHvnaphIVCcLBGWG
Z6BphcaiCTPdOnewI1gu3HpyimuQlaCPr3CM0BO24DDeNsEcmRR8fFlHVRcRUIhzKpMhTO+QRB/r
sHjayXHGe4epLNyLpyJ08NZZvZE5U5M1cF6TC/zHTtk6WsEWMixdAVzfs2lFfmsRVQALuGDqCRol
IJUv5qTHVggNCugtLYBJz8hQKmlmKGfLSMKBqJiy9qscuXR2g10UA1iSXRmRoJPgbB6S5G33eiaC
tgdAmvisaXit1AiXcalYySd5idUAxKiOKsyH7uuvFgpG96WqNWtTQoMeL+UsxtleOR2GCMwRQqbv
W5AXSuPfu++mIA0hZK+j/RA8S0fdEGYlIe86/jho5eU4s0jfuq+3ZwQGOdX343c9rm4WII9F5fWx
XkIV9ttdZ2RNBAXoEoZK6UTVb+OB/qtnFeg9Mm51pWJ30h1Yz2QK+nVq6ubIwPo3Xm66HFGvuQq6
SvCDiVGywyFoT8AKPr7QI2cEjg8UYDJlCFDCPsxzjo1Nc09OZh+OCMYOo8asyer+Cd1axfJQ+az5
RJbVE7y3yiISEp7nsJfVTwfpe68V0j5rCivxCbtPGXnMcNZp23rpS4MbNMD7IrqGF/LYAwKbmQzH
kODCmNF1aCaNa2WA1YXvtstG4CFd34BVa049TgS606prU2sHmOla5QU6TgSMGAQYvr/uumQeXhuM
JoJ847L/VtEf6tvxc0OMhgfC4Fo+x4bfdZrtTIA8sD0UUjhLzhdCs410M7aol0qCx6X+UgdkY8NL
P6dA8H/Yd45aHfZrbWdrsTwh37OWjvYd9CySMQHZi0uKSC9A/7X3CBvSXuqD1B6/+XglHBco9IOU
Bwx0XX1y+M3dHBAH/wKi39cJoeAs0trJdXNK8K1epG8EcmvioPvx+9r6o/zzDIsFMSY99HI4dDhu
qG1s39drPFuGiO2X+UdMauhFBZEXet5h/OXk9Fh3ED+pJ8ayUG0GUyjWjlHYPX/QsjByOOkYWVOC
YM9ocmEXe4W7SRrTnnLAr6SGFtJVU+JX67qUkJe2eOG7xfZwHMVPYolufVjuE4jZXMICCuYpFp8g
b1eJIgGV54Z5WkMc8n1NXi0hsUPKNy+uramNOwfJhxGY/a0SI6VkV8s5s4q/ldql79HeK0tw1Pd1
RTna01q3sGnFsLYN5yzEMMugW/l6IMF8/G0cr3oKF2fHkKmpCx/IFkfrjnwAZxYR7cxBab9YUIo+
Qb3naz80i4lh69rFWYbi/vF7H3cUFv8HfMkxkcG472B8/34lDMqeWx9nOuaouX7g7VGPBBgC8e0f
dhbOIkjwzSrk4SfXhvVwGKpFruBn7KrTU6SPr0pvEO+WJ3gjlmAeDZgWbB9DLOVQSTwJIJVixBJH
MDOshEHT1kNgBZ/x4/c6PrvjhhvQ9dIluLo3hkX6/g5I2WSNa6Zyjf8xhRWv0ba+afoesU410oJe
efupsGVjFn8V+54u0lW4sOdK8JbyT1jgcU2gGlgA2NqUnvbltypUBzG0NAJN1hCJlXsd8BSrhzYL
dOuQB0IzxG0kwxbNRVoWorm0YQmxYWB4w4KZBemqKO5wUkEGQJkdjU3TMJjLTmDvaeqDsmIXjmG+
/2h/91bqlEKwOhpB37Xx+X1/K5u0S6WpSAZaLNbbCbNolU5Y22kyUpiEbb4VS64/QRRzWD7pjaB1
fzJ+akp7Qy4Yo8m/fUE6M4LSCpaAjfUxZglJFR3WhDVEZ4TUudKEf3zWdpOmWCyeR0LRGn+51gBM
z8E+O+afccX1cbxYKIglVibc9o8v6j1+6CPgo0EBGQPrxbuNycX7m5Snghg7EREACtDKo5NoIsz3
weEczMwGhxVdieeJ9RUnJU8eOlPNgf34In5bZRrE5CTIQ683nuMWBNlGUOH6WK4P9Dnf63incgKG
bf/B3By0JPT+47fdl5Nfn2ygqABwBoEA788iOAIu+9qffGU6mPRMWAN1iAbiCd2agBwcf7ETrODO
YXQzpbf3xIshYVZXbewsY7lUqQv/JcFBGvYRbph8xG3gEaIerh2l9U7NKJbhNYwT+BAoiTUfZMBb
sb55k8qlHuvwsBqHDGJPQbrEZPJHlyHV85F5oZufrg5P+scf/P28gS9d2y5S3QWxT9zc4/kUPkpu
moUETRaJNlvhrK/3+zcWmlGgLX0NFQUxXRGcLnv08DEgHzLNvQRyfy3/O87p/y/90Cnr3fzpNU7r
6leDc9buv/ZD/7/F929V+u3o5w9m6Jb5l8AkwgR+czRcbrLzHszQzfAv3f3okwhOErap03mqupPJ
f/ybY/1FD8oBzuJJFcQW0ib29aD/kx3+5Tk0zRy8bWAxHbHwn/+O1Xz8imyqmOO66o/+/qt98G/t
JsM0ei+9xQGvsw+/rwPt0KYtMc3Aj1ky3uWVLFo4xRn580VD8MkvN+XtzX99M6B3Xu7XJw//XR47
bEaZqXH9xyEULZbbTqx7TdnVzlcqcvpd+G0CvxrRJ0pUB7mPCqq0g+Bmqe/gBhgdFbE1Xs/Z7Nmn
ZVVEyHpgndxMTL6LbZz0Q7gJcQG/w2CA3LZEeil2u3ZYXvSOJIqxrBp1Ng6CcPA0dPEsmKCeghTG
NV7ScwS1ePSgHK1jXDwwdrKykt23Kxt4apl9x1m2vg2JLuda2gzadZ7645r0W0wtDDS+X7uoic8U
CB6ntSUogzUiSUJYorRpOL90lRXCeYys59A28MuYZz/5DF5NqrQwi5DUYsyjcO1zsc+GhS/tckOd
NIiNz5vxGjOe+kvPCesCrVr2Ka78LkPcMzvjukAzMazQmg5QAUbHMghJbtvbcfSteGsyux1fEYi0
3laai3yOcS28SeAa2bt56tyvQT8Y82rsCktHjVic3QxmNp+FMqf0dMLkkFB7UjUufRjTHHpm/mUd
NEb7xGku+pKGU1Fv6GQKf+XSiEBCXUSKXbmxiG9gVr0JFcgMvljzONkMEGX5vSwR/+1qZ5bpamj7
Pl73ItCuAnFo3ikjLu1TR7q9u/GRctxlyvbQOaihlMgW0sBg/uyM4kRbeQ7rClnYBau2ERyT5/Ah
wMEPv7oycJEeVw3UbM/wvecEgb4FwGE536BdG1jGQ3UmrCMHC9pV3dzezkqO37NODc5qCJFPac+7
yV2XTj+2KxI3rEdHQHZe58sU7Ma2XZITaONwFmtIl4+yUVXF53cIWyXbd7wZI22s149l166jpHY3
9I4+hJnanE5s6XSvaSNqvOgtqTjmsmQuAy21WxPd6P2I0WUx+ihm8VDFVp9uRNJ1y3Zuxl6cmoKs
wsQsxuGro5jSrjA4t7KVLVMCRorcV89xMk0tVgOeTeR13cHCQReXajLQbLmryFEhkp+5d4oz5GjQ
nPG+Mn/iiAVlCSlrRSBAlVqf3SgtH/F69J6ylshrTrth469EEmVETQUz4sQJnz6ORN7c3pNUGHSr
NC6RkQ28Q761cswviCJJMWLpGGb8bCEm+sgkYpBTvOIZIuBa0PL7qZnYkMdyOAKGlD268MW1f6IL
gBMcN2hQ1wZ7OPzvRuIf7xFu4m/Zyh17VRtQ6ddKzPie2Ehp0zNZi0Zuxgq91pZZvrYkgJKD8oLg
Yd7fRJTSpEuKuG3E8wqDTXtaJWh783UDve2+w0f0W8MkK+VV49pHy6SKZzXrnBdrwNF/E/GB4q1D
i/aqbLeUV1kz+3j0Ykldn0AKTN3z0Fjih6RQjcIlBV3Nzk1b+VIkC3R1AvmEfYWVHTnFNV4QCkZZ
MsC+xMgCEyyv8J4XUqa5wznepijRx+pTjEkqmsOuGG8xanTN7dIGVrshdNV/y5/839mH2VZe6gaX
vjiR//n/bYLJv9ix6eo+2LGrH2i43u3Y/Pxhxzb/ItEDxJYEXybGuLbjYv22Y/9FA89+ibeRzgQK
dCrpLzs2Zzc2eaA/HH91GPLbjs1mjum90C/ElgeH/m/t2KHekn/dQxnz+nqtQ0mgf2ci9n7LtqA6
UE1y2BhRLfByyfxbZ6on8OWFxFsBj7Bn3ziLpB88kp4mT6OhNR6jtrmkg49PwsLY4loJVbFGBzGP
Nz5968qBKf556thZUqYh25gFtwNvryBIji+l6J6XuBg3mBLcRazQEx+kZjsNYcIhq87PCg/KvoD6
CFPV6Z47M31up+CpUQvYcm1fzFP0yBDK3lVyTk6itrswg9LQXOjHhq7zelHZK6M7HGQXBM+xg/OU
Kr+08zhugUPRkFu1PIFlR34Jp6dtZvTBSiJ8fXEM8YlLKa/GvFqrWnXbUE2cjPHvIAF7BvFdAgQm
RC+ttB3WOg9TNmHl4UhFBMQmV/JCdqaxY+ZcbRc0yDupOrLVavtHDTq0SVWQrXK3PBmCZHzIiuaT
HTc/otz44oyRxZ1O3Z/Yq50HU5o8RHnnnFKNT0MsX0+NPCSYvGyW82UMqsMB/W89tQ91yf/+/V2v
vO/8/vnI/s+iiU5e6+tv5Wt//FLvXpmm8u3qNt/kt3d/gRCUyvlueNV9cz8U8h/9p/7J/+l//D+v
+1d5mJvX//i3l/pfPNO6D/7XD/V6eX1J3rfh+hfenurgL8AtGhQTG39iIDSe8/ZUW38JIHvM/f/x
8P73U+3q5t3luYbVBzzqBb881cFfOOsBxzAjxOvOce2/04cDKB0911wR2UbwJMAseDNe9v1zPcd5
YBDpQJva1cF9XWU3/bSEpyD4j1ll9Ge4niLtywTCuzSqscHyv0GHRlsyd18YFyCpxJnyjOy8bNMF
34WTQ+ROtzqPXbHJrSl29AMixcuC5c2+61wttVtdu0544ZdZte7CfI2YuDpx+/psIZ/dgXyKQmi6
KDqgCeRsqwXPaxfkPqyvurjGnSVbZUl9Fbrls1eKF3xgaeO6nzA2yAGzz0Xjf0osOBzONik+J+Er
Brxj+Fku4tSNzmN1XmXppRk8Iq+97jMxr1qnwINkxuD+BFuGFSLZl7D5DskZt6grjueVtvre4lx9
K8Npg/B7G9CTp+1nNs0zbI+2wbCzo/iid/u178zrbLlfiiv0Oyh/I6ToxkuWi0f8j85UuFwHuAej
9zk1wgdtrEBI403WgTe6bMJIQWcikcpxFSfnOO1cMbrsPDyuvO8O0fHDZ8wcAbNWasAnI72a7GtL
nrfYc8mAKti7r1gEPchW9BvcvTfQwR+6+BuwH0xlcnPvo5oezMpOzXbazaa1qbzoFscwZEnWJujE
VeI0p4uInVXJ2e2qBjhb8umF5IOTcuzK1ThhGTSpSxgzN8kMl8cOdqgAfuSIS/NvdUM4ey4wUC1Q
uzO8sHAyRnU2VyaW/PRNxo0jMVmPVSnPLEdkdzFvi2ZunWNNO952FolH9Oku3Yi6LeQ58UMrJJy7
mVPUqkjC5CwZ6ssxN6Ftk3SMw8ynGEcS37zFlnSb+DZ00O4Wz5v7Lsgx+3fnk96uELrh2MlyLZ8w
SAZV8Oa7uA4u7FGANaUQTYJlh39QuJ6Es2uU+AT3BoQsz7/aE/l5lluvncX8aYpX9Fb+xsKFes4+
i748iUfit3zMTsYvDaDXmWxywlDzjeaWax7Ho3a6Z+6yUqW1Lmd60uUslOPKldVF6rTZeuzrG2++
sr3hZ+ZP131YwMJ0N4GsT6IhxQ3jqWy6zTioTR+UFxgDrpzqYk7uuxavBgs2k/ttHopHuGancRZh
WFduXDHe9hns+Dq47LGcDmxz6/UwmZIfibnsHLP4Iq3hPkqrM6sY6YyDjWF31zLDIS1173q/WZNu
e1Y4xqmy1dVcixdawSeAOtbB13A5xaJ9EwFbhWV35tSfZd1dIMGs6+o85iAL6ncxWpNYTciQEcHc
zt54GuTRHbKRn0ns6gyGOQWzMk3W97BZLPd6WEb5zbe6l7Crz5P9tyF3+PDR5o+YDuKOu0Lpch7M
2VNiRF/CgMcDhczPPhSvuGGiJw7GkBh2CkSUbpMlu7CMgiy5eJPF5W24JFsxBXfTYDCrcZeGbGVR
7Uw13ftZ/MTZfME6IPdvjNm2VsYSnCXswfjPzTjzBUaMbrq4gd5MvOHYPeLpB3xHVRDFqVD1qqqe
lmabupCA8luseE/bKGLMbd+n8sWMZhS/mJCRD7OamuQ7jofXiT+vLDVCH0FjgwuLX69JIaH+RM5C
Epw7faKSqo3pz5cmek40mIGHSz9HPN+6sAqfmVBiXKZgHWcUdueknR+HKl8vjjXetrEPT79sV2Pt
3Oe+hYAxTbeORF0cFF27ElF/PydAu95s3ZV9dZNNXnwWFGrYeTHBGVHnl9vaNLzdkvBM+oPKtpDp
n3Orv6iDcDvU0U0w1hz688uAU/WDW4ovXYEGMMsuUOtdm1WPTvZiMOJlA9H/VSbGp0VFWNiE3msH
/x9DwCzARCpLTsPZcraqCLLzzkFDWbrT7Ti4xpMtQyKEPeRF69kF6e/nAYFpl7U7r/U2yF38lWNE
l0TTdteMfrF0J+cDg7fikhCHFmbwTF8JK0peS9IOrvCIxBwjHLZBansrYRvjGYFt6D8aG6pcXJ5l
kfDOAuwG7tFg4NOJ1ouKLa6wO4i+yoHYb8+jSe04eO+Q6jZ3LIxs2yPpuvTRsV8gn8X1qHfqU6/o
ceQLmnZbxKgwsM1YNni+RGyGGX5j5nLld+GuXTq+NIPHbkhOYptEDNN6cTVhwszQpJWuU1xwRM3x
X4nabTd0tMX4GZ6ZCzkYVv2jkfE93jmnIPf1brY+9WltX0aOjEnRaNAbUK9u2Xh5ZkaC2K4725E7
OwFySIxQYr/nzObZ7KMv00g11daqrtHVLxu1jO0N2e3DdvYeDHdqzqbMpzrOQwde8tPWu15sPTsV
5PAksDahssvznJPySRFsuNPNqnRwBpinPD+TeCJtvWEpN+hPn7BzEbv/ou48lhvXti37RXgBD+xm
wZIgKcpQJtVBSKkUvPf4+hp8UT6iGtWs1nXn5jmiCOy155pzzDS3YaiJ9L1MWMHL2jlZ2+mob9ZL
Vmz1RQer/HeUa4lY8pJHcbHbaCuG7WKVbb1NqTZH74TNJhT65NI1ZsCHzzRgqt9VnqObsKsPdrMr
A5gSj4Yuzb6BaOcS2Bt9oyVvV3X3P02bZLpQ+upa1+qXppRraLRq4lBVdqg6+7Zo6pUr1eJqjdGd
J5n5wHpTLSHCPdk0t8/X3ZWa7VvN24lXBHwa21iQwgZ7OxTmDghbmTpX6i7bGgKm6rP9NxkzxRNS
D1bD7N/3uv6ZzeSJLmk4o3bFe0AtL1wUXrVsOA7JdiG8/LRLVqBp9WE0phthQU/ROU/i/e9qFZ9N
x6gmtWHPx44nNKQPNzRtOg9X+CTndTU9pbmPSkaUDUYoCvDWWeHk0H3AEbvLkEZ7ZWekPqawjG2O
qe5CTjsSa3VNKPkol2s3GIe6lh7YTYVgGn0K/DK6ZGs0RrgqYCwdXWkf+OyZH14kPRcRLBfrTxMP
82kHDoW9NuUhSOVZuZb3doShopbSqYgBu1j7BJKjrMdHlFo7LBJ1Dfp6Xr0xbYDHjItODHnsdhn/
7iJKBJCh7VAtZnpNLDbqpMph/BvQ2aOu1awTk7L5XUjMjakcNydCcoVLJE8Om3ZPn0ipcy6mtG4G
KGSSJ+2xHJpJKQK1gvo3ky/3IanR4b5zKtWi20/AZKVnJRV5CAPcOExpoZznvsk/t2zvnptmaPwU
3YWcUrbHL3rN9c9RzNhybDnXdCh463zF5FEcu9aQD3m5du+9vkK3QV2k1WXOZngBdX1o5Xa75Zjr
Lr0wpgjV2PitFDKtDeaoJyFLX8S2OFFh2o4P96yssyLC453qZOkhr9IimFCsbzKxrKPGj+7MqWw9
IeZbXj4nxpGe0fawCrJHGH2heoJV4vWXap6JNcpdIKREfQaL37U6bQt4f2jaQWu1wwo+PZpF9qEO
w6oHyigb7wrQOncn+e8N1pQ/EtfGSycqPIm8qC2YJq0dv5rzJI5QHwmLJ6AUCSEypFAb5irooKe6
WDaSGkJ71/Iq/sDRVUZkVoFmVNXOoIi49bXPzMNSB16Nl9MwhYtVTRcgWvlHL0r7uIKUoFl4qbiy
1/hyfvayJUg0S7orpeOnYY4yL0RN8ixp0i9qYz+jvIcGUX3YkBn+XDvoetWjRzzqwEa4BsG2kE8S
GnQiXeK6ebD79U0vaP4GY6+uOFLcdF7XE1P74HVzvbs5gQdMIPGnpi9BqZiyAx7wnMnKWaQcg5td
HuWpudlL9QokO8jHlpMJiVRvbhyukTbYvlzPuCb7FRhAkv+RyO8hHCvBinzpd3Kz+0s+PGIEpqRk
ql3cMxkmDBmpNI8vpdpcWiU9iuGL72DjAqhrfWEmb8BlnbaKr0MnqYx/8nCk/CCNSLgBoldnkn1S
Dis80d/3RVb9aVb58C3Miar9LVaTahcD5JK5ZVmEc7O94XYmMb/u+o3ELs5tTBSOSfWxq+eKGjS5
0ntt3lMqt4vnoihGKuTBaI+lGVWW8CaUyyCOy+ba9dNGzpgvvp2ArJOtuPXXVooSSw/UVjxvymeT
AbFpR9eY+zCWa5cTxcd+wztEdxdd8ttkPKNMESdmqhRq6xD1D+mLoyrU+K23zAcTFYySHUHb8mSa
GzpQHPSy/ggFF95g5MR7x9pLS7kPyoyvPqkSaeEpy7CVmHwA3AiW4sT2dPburEhPtorJI7HGCdJK
+IPGJEJce0ikYYpqeXps00VxMhS8sBTaiJs+DVup94xBjz1KC+9lW/Ww+mjdd4Y0XuKA08K6FHCD
wp3ShINBBvqdPpXiSCeSWTpKMZiBXsnGQznWpg+fubti0wb5oZQ0hMSJfRqme6k2AagqoOAlD6jT
0Q82UIdIysr6dZUk4bOGTR9LtSQIT1bpXSunLTTlvg/HuM2AKO2reO/sZH80Z3N+zc2tfLFIGRxk
Yyai3scjEO9SGO+qMZaXFDT1pYRt9lKXUuqCT2SrMdgK4Jh86Y6KnJFFQMK9JWVdfa3ofd90FRLf
2ycpQnNThmDqlPGVSOJ0nYo6j6TULj9NEs4lFTvzHOp1P28OAC/xIBZz/BgNFbxnnyfPwG84mOYh
Zuil3be6TWyMUav1tPBY8FG4gCss9jTRrocpB+OkqrV1M/pODey6WGmda+XTrmRcyCy+qKZVKS+x
2klek/XSpWYTeKx6q3uICwyBrm62vPrzUiPBMu6deeYQ2E8QyrjD2WR438eCc1Mxts2d5V5/EcJI
P1ZhUTenpdvwPgljVAN9X9U3dIT1jrTWfbsqGjjp+REQYHakcqjHSjX26vOqSIx2NZOuR0dHwUcz
c1DbA/sYO0vfWMLrfmfWyaNQ5/R30mdBWygG/sKJm33iq2WlcUieaXbVWKXwdbK4J1pSu52ohOeM
EIUdDetM2RQ7n7obNJ/WuXPKt5b12REvrssCwNFkZfAA3i0OJK5bJfWPnLvYL2emhdigV33SX+Qq
5TJTxB7c4OyggDOD3UOYXiNv8COq2XSw4tD9p2WgZPPqH1mV8WEu82MWV7Nfc133J0Nxkliy/UIU
H02slqFKhG4Rup9rvMMtGkVyYxAOuw/GsOIP+BqDi7r60VfVA1wMjG+SnNxsEu+YV2OIC3VPUYyl
Lm5b7/OpBFJWpb87kgmeHIdt6/uUxkcxlf6iK5OjDvNMun2PbGz13lhq0Vp3hZPBVHDorTqjlwbU
PeE25CqmUQzH1fR+mXyyLbZdAkbTAZCA8Lb5ydxfcxZ9W4n2gKyENYqyp/QmQ6hixdPQ7lzsR9lq
DkbfK7SHKPDsRqW9qO0/DPF7w+RlrOxg8oqrNq11Co0ILiDHxsV+ekytjm2e7QnBhjHQ1K7kGcpG
Z5CTf7lSB3ll/WvXrHytK+kyrOjN2CcZs6qY+moVNA6+Ed0p8vbK9erIR/kjsUXAPR1LfjKMQZGs
X6ZqPvKS450/onZr7c82177cfsTSDhEP8SSP58VFNk+csbvf1PLZ5oVQGKG5E/xeaCLmoJLeQAP7
Q9VxOxXtCWz/dJJhWQZdmoZwf4Tf29RZ7UU1E+NAOcRxzz46CXT7rMGSy/M/nalck6L9K8H48TKI
TCQ3sfCXUmx7Vd3oIaeQ7QA5KPwevnCAI7dgkGg1v2qq7tDxCLmV2gxPyQ7Jjcgbr5YKbu4A/Hg9
x5PNlFk0b33SeaK1vzA1zO4dHh4qcoFgf4Dr+zKN0gpoar8oveykFfCdXFySWNZclr/FoQOO47bx
YPiD1iK+iO0byvN5ErH5wDt78akkOOnZTGVS3wi/FqxFkX/d0kjPMqqQbyZ6/pXsOV9Cs2ve92b9
VZbRCPb7bZQFW067tvoApDESifBQNr5KEGlnWMRnjEc1MpqiXIGMiMu6aOu1GHorXJrWU9Pt1LQx
IMhJ5VQyfmWTbXBpiQtpxMGxrBcwCM0buQLL10tE3UVi7YuXdMGBn9OFlrasMMrVOBPeyF8I5M6s
bBeMEcP40Bd7aGbJEx1pPOaz+rZxAfe7XTxoasLnVVe7jD4zFFwE6qCaC74tCUVzWkmufTJPphoz
wNfpcdgbEuR8S/t0paaxMm4VYmMG+yaAXg3IrkytsGk6K1CbLQ9z6swd5nr7SUqLv92SPAJoivgn
eeNMvEhDwiNvf4myRuXaVF6FOWdjnGRHI9NdgpCZu7a17BtS8wjNDbHRQHKG+xSqcTm5Zj12/qbb
J8EE1NXr9slhRR+zyPwZXeg8FTAnCTPRHEEJ8OOcKe2V0eACW+lk3p+LedE1z17yp0LAFR7i5J8C
aNqfzf0vxiaVnENivxCs4LEvmifENF6S/ToB0gA3Ry1jwezREOxqlNkOwNWoUWu0xnkjw3dtJDU7
DIrIgmyZEGg2mn47XXM5uB5LM27drDXftKkIqQkbPdVq20cOnrDuZHGguMS4jiCRnJp3sIU3RTGr
F9voeF9pP5T5/eepxG8E4JjHV5TqKUYbr867V8NaiwMx3pQ2wYCMrVPlqjdO3ZtmfmY6gjQpTe0K
Dga/mWepT3Na+qX8JSHKvdgN1mnFtLtI6dkkcxPTXzZ1K0J73OdbTUGXs9srJLga1JHClq6Pd/li
pNPmZ7n9B3oeg2LWv2F4x+QMBFmb6hr+0VJiuRGt23Z3zKy1tmdCV4UnYv5HGqWKU9rGXi1fZxC0
US41ndMXXLqs2VfxedY9jAWz0f0i5YHITZj/wJJLBhUk2qk7FiI+yop0WRIQqGwvWlBQavbKEEwl
RK8eOkpPfMMY/XzngowI+w4aeLiAAzYcvbIMd+gmxSmGOex559Jc1WJvsDtX5favVYd+RCRpTdYW
H6BC8Wd0jXEifjKxxp/0A4mWFAWBsasZh+HCcQl0Zt44B/P2N5U6b22Kzs9wuLpwQfMAh+vAzY9g
dySTLXfAi8vBMFZ/ITKfiq4+o9tpx2IqPvotkU/zZPZRUSzHqkog2cqVRZRyB5NXtaXH6mJ3lmlQ
/tlyOYaLOp1xDQFLqHhKtKGD71HCTN42f1Y1Psv+W4A1uZfZrDH51+W82HzJs9iK1iXvA3qlZ0+j
ZjCqlOEvrX3DDcQulH4KgBM9mtCTl7SWgnlKOZESsbhTjsHMqUdZ8daiGr6h6n4VQCLZis7arbWX
G1+DRyhpEDe05B/Tj3puxRhp2FdP0DdPCU5oULHowWJbMr/W2oSRI/blspA9utecdJKWY9Jqtavu
XCibSrvQyPTIreFqJsm7NG1IEHoVGnuSh12uRlXCPqrvmAXKKj2XuhwJbVhciSU313i0M+RPlGrJ
hgS8+hWM2WFt8B5rl3SKrOpgFbe6uIxtf+Xa6tkqaNjNMjn7zTKwupH3YuXW+Kmcjtyqh1XFQUgM
7La/6HJ6nXXlCWZb6aRQi8d+lxhuxJXF++rsC8wjUf6TMGdVfPFBolCetVaF22TDQZPp4BjzF2Os
kqMBvlfpu6hfIJpTPPMwYXdpO/knpgQR6Twzwi4bCSrzF1BhnlB9RB0cGHcQXKW2eaX1KffyL6P2
wZJs4qLSFEib/SK6/My16oot5qfWM+1sD+SxsqZqfdzTy3WTklNPa4jTWvv7mBjYodqGg/uhkson
kYwO0qGb7SLCuH+oRz33dsAn5iqiRQzC4+PPXIWuHTbsT7MtXyGmnBf5Fd8Q413q5tUSVtQrekYJ
y7kfXvi1gltgrRTPDElDLB63+/qxFbyZFZ64qi+uerOfsBx5Fr/NJEEgq3dODStOf9Q0uSg1t2BS
IajCmA8SQ7xbHJvOyBbS6mXPTh7pGeUol94nIzP9VU2vWOY3D2wWAmne7NdM4ZFaYJJ4ZFeNIxrL
h+iap2bmZ1lXcawnVlNJ2AG/459VCitD/NH4Iye+0wudrXR//sAHdqyOaDcNtOYD5UpBYqaBsNQL
bReu2aVBya0RzC/Q1z9w00gdm98pHnug0TY3R5jnGx6KseFT2PoLvb8XfZ0iFsWY96XDNFtX2jFP
9Pl2HMd5zhgIewrYiN+jv73crbWhDuzXSzvCq4MJXAnPFfimOr91w2q8tNZGY66WKDetWSj+iylu
Y0GkZM2JC3Ok1zijDIFr3DanzwU4kDuVLOY23Vg8/PBPOZcRNGx98NRuBBm1S0ea2JJDp9j/BO3x
rsJC16nVvQRuCDEwn4l8513v4n9WXFXHGdjmtlvfb0TtVJfHrso9MU/XIusZr/BeMRSW1JA30lMx
9ZFUJk99nqK461d4D0XUp1VIR9bo6GI8qaqdRkKXlmC1k/eiTa9bXxzBEJdeW66Wj7Zn3Wm2kwsr
Z+aDWk8VAuNr3nS/sozeSiOk7YAup35rES8Wr0Mva0YUsLrUQ0nT2xOggEOul14z78+VqmILrKqn
GSPmU0oN8uyAGkP8IEH1QGHOuU2HoCrG696p2N4htmd7OG5/x7i7ysZz3cSHqZpdoyq51PVsicsm
gDwb6lv9bPeto46Cy93PMFJIlduHEcI3DaAMQVkOkmyaQ2y9QYYWB9aRzbcZiBzbmkK6vCV3bZxz
ZSb/fxrr1kv1m1kMV8gU5yTtHjJV8oB0O5a24D7dJf2P0OrBn4YCssBUqG8SXQKuRnei4ixLDBd9
n/jpaAAPMvOWJvRx92/Y+4LYKB5SPQmS/pjPXrmeDSsN9eSv4E4ONNPtGA2kjX61XnWM8ldt70fv
yk8lfMolP8xxDbTxb6oHstZ+lHn/FW/So7zc3QeaB1/b3VPkoYKWm/FcFrTsZF91Cn6Fu2fOO7kb
g9wcfApjWb3Q4mH+gUzLu2POPKZ7rK1ZZBn89i259Oh3i29t10xs9pH1Cl2hSJyv83G3uXc7Md1N
z3lpJS99MnSPdYVaCDt0Pg5kKULMHgCj6E7/xqyqh/XEN1qaeCm5/bBgmqtmGLIdOgObyUy2T4Ud
E9qqN37ULd0ubTsNUazVSzjORus3Va2/YYPkJrcSCnFyIs2e6PXCX9P2que18seweJSNdhtRdcvk
l9x/cpQL3tdEtZv3SSFlyvAKE6DP7fYZZpzpkoR5pT0tm51ct7dotfKKP3l4LBgLbivDvZvUkA+V
gS2f8dGJ+GBVzUve3zmsMQO3KOHUtjiSZFZiJS/TRp2eBgzWHFpvrNGbsNl0EJsLtSMV14U6k1xS
wQnglyaOSKN0FBSVf9XcfGST96bO+hGe6C82Uq4aLdDjvkQu5EY/mc+jbUd05k1huxpXYaHxyrF2
lTMeFHKg2KJYi7XxB2/7zKNVE61Y8yruMTO9gq5F0MbpZB6UJT20bDd0taENUBufiADfN6fVY7+M
h11oD0mpXzuDHj3VeNYWKQLAe97LPsyNhaD7sBT8FncJ8l3+WDYmMdQseVnlPKq0EQNss/HahWI5
6qlxaEspQDeFcaenL92qPVLN7tmwIddG08A+soycWN8oxeXulkMtnL6N4rdXJspuGPJdbqsYS5B+
KY0aoIxbv2OKrhUvvNwTGgEtmjZswb/ZVobUcjbI5KYPujY92SNe5niPQ8KGn5PAj9cm7T+AM9+a
3DBmm1nUr2od8ss/xIkxOku6HmpJCTW9C6w9iYTJOig2KKxvkhMdc28MiA+aIgEd7TMIkoK5c3vA
h4yDFpd6VlXnXONYbahuYczFuYsd3FGUimaI1IuXbcPjhlLSdPygRVx8tDsHVkptmb7eF42x09bC
k5u2DFuDq0s8fm5tdc3jgRnATl9kesTcrrPZV8bPkwafoVQ/Kc076uN0Hes8SNAswA7+qrokB4kq
blmDo2LoEH0tv5dV2dOnLrRrWztYW70FY7Vq/p7jgE+JajlLqT+sTIxjpT3O1XA086p3uVR+KWll
E76RPpVp05Ebld9c2QS1g3bESjxxOnt6TFflGov1AR7qlaZ2zxzGD1UarvXcB5K1PVviW0xBRjaT
NWLrWmPhk3Ok2EUIr1wMd+QOVMjzocyzfwZrUoUqLIWjT54TV50ZOZRLyfZap3jFrtRjjsiG1/l5
m15sCzi3erCpF16rF7WgQmE07+YAg4wu/nCXyyrXt7igqXk94VYs/HuXsbOmBvuYOjtZkBF8mFnX
nMgJ+z/UK5rUWS9xw0VZZsiVx2EN2s4K8zu8rSvMUyrhcl6HFpNOZf5Ie3XGE/JiTICBdwWL5DRr
DqV2TyMdzQ7omSBd0c9njjOX4oAPOIBRaek/ST9Gdao/s2cnzmpe0Doirq2bo23sO7ln0i7TN24C
wzrUus2z6ibcWiMEumOzI+oVD8qwGtbYqB148S1fOTaTjGN3q+Z8nmz5B2Q4ZFHttWur79iqTnRo
/ZvK7keS4lCe4sQz8Ri46tT/He38STJ0NKmpfwZczoFgHrOW7j81OYsc2HNVuuuUs+n7laVx9nXr
H1jn134tHgy8FuQoVvVBadTTKrfXlMyBW/Uz9gZajnBcugndhKcG6LTTrCU6VF5+MOwe5a7/Kqf0
YxliLeQGeQKZ+bbN3S/QA4IKCHnI4NJN5tFWEKJ4nH8BU07UBvOWTFQ4bLb5hYxMLibTJz9Lu0eO
4Ui1t0fbTl1mi/Bu2QCcGbDsXzydgnh+RCovbX6jxqae87q6It1ZblqkmN+X9ixV+JnSQmrcVNl+
gWjyyDOxjrSueqXMxrYcWi+RknNPpSuF2sz9A+5XXnIQoJtNOtrdLDsmjhm+xWuECb9xZx3xFqOK
AstPXMHCyOf43lnKx1O9DtR4Nqr0vY8jDqn0NklWqJBed8n6pD7FaukpSylggCHOe0/VGr6Kyqlm
9+D2XdIQ14E2CvTW4WSQwhavT9ibsw60KPs1cvGywSqEvq0i3VUhVUGfozl5tn6uW7YwFB9J6HqZ
Z839Z92vZ52rQhq0pG8cvcWqYRpvJIE89qYGQscw+9sswfSu0y+pz18Nqj5ONT0MpCZK41uT5F+T
3qQlVb6WhatW1bZ/QM6es20lT6Mm98XU9ziofxo8kQbL1HykpMEUlJYCjDNnYkc4J5aS0UlTaQNZ
O7wN2ZEU7CO/qZMk8KaxVXqkWttrZb5IKmuJEhtEGTPwp9dpuIj0AbvQSAuEP5rmMVdbwE39oevm
Z5tKt6Pc8lQZSnwzRhO/xIQ5ZlOwN4olMrX1w8g780FeVctjqfuyt5BuiCsp6/wwZtatU/kINRUO
dB/oiGLOUplSOErMNon2J26eegnzWyuA9muxzHKSlVaVPnfI06hyjp6KJwWH45is7+ThP4mtUCu0
5C+DVPwF2s/m4p/GxEC2OFoMysCZ8tUxlJawLY6bQaooYxFblJf7E5E3ASkGN8lfJ3UCFPScIQks
fqF7G703mcyeA7LJjihCODxYN2SjscrUqDYmObKX4pxaWMRs2X9NhatcjfvSvapRnZ86KndvwMnj
556oC1+GQY6oG8j+WUW9H6pJk/4VVln4ZTrXLzt+yF8tBa9aq2OgFBxC1ZKlDxn19ZsHZUBn+7qN
7wWOLerd7SqEOb9hMpjy0yaN9nHbOy2gzGY4b0w/58oo0u+YThZOc66uhEJMLkyrHFSx3B8kyyah
zJr0YzGTr1hgbzHyL6tjnQRjZmDdMrLrAZnr4w9sz3Sv9FQfpcUDrnj5qAzz23APZ8kxQqivSfUb
FUIG+3J10iKltBN2msVPn1CrVWNhSKRgV3RvnUyPXq0rQff3zZ4xtZlvA32anpLV3f3q9GiBWPGk
mlebxr79BitbeiK39NfUvhpmCrfNLMrDZOIpxWNXwPaf4oOEBnFASpJClsyV3+m7dsjm8bHLrGcM
bdnzYrYe6QN8VGq9Rj0Gag+G8b1CdXpoTOUjy8ZTo/7NJ0jtM/cOljMjC+iRFX1ehFBCHAoGnVjO
Pmz5ssQkfJYz8eXAYu2SmI+NBesfWRd0vEd/irSwXkylQz5J3qZ1n1r+vUMfzokeqImLJEw9WrJ/
Mi1vwSQh+CUDnS/qgKvG3vYvzYpPo8xVF8656cbs3BkUraggnoNY8pDk7REqEK6mBAOhmr33Iqal
Jdc63iogr/PB11cmprzGoSU9Njb3BF58aubp6rGpqseOlFlgZ5OvlXL8UeB3DDQqVGn4dtYF6sG6
N+9pHc5tdmqy7Sm/60kLXwk/1co+2gbBvRbyN+GnF3C653imQCUZBb0YdrYeVfCYfmn1f/rK+uLd
gQG4L75jWbLfkAfTQNsFQ3+bFq5Y5GCu78sAHG30QXD5Jw7iwYnyFfojSIxlsMVtztVyNS0KEShF
NtJLUuzBvCrv+9ifhjt+qTbCbEswLufiR6i8JNFYpD+WsirulhrJJQeA49jSfpKaJZzLDSq1uXMf
LoC7kvtgyAIeXe8rNTMi/klV1oAj1ldJzJduSs/W+C+Dxu8iTqkH3dh2d1rLL85bHh4qXbZm/aj3
xiewykKb85x9OYUhommduWMqq5S/Vv63b4mVofddFovhf+I/GJhIHYMJu2z70QUig+xaljmvksX2
M61NH7DX0d7DoVhZFvLo1Pi0cd62MaEDwNasf1Xf1p6M6OYlShvhAbj0mfzGmjt1J71cMGEb1eYX
JRybsmJX+5+Zg/+nbMb/b1mpOyTh/56r+C/TMPb/e67i/n/4b7kK6z+w1xBEFgrIBdgV/z1WIf7D
0JgyxJ2kQ2aKnPH/iFXo4j/I+wNIlu+8ZANn/f8MS5n/oRG/IlQBiV6V4ZL+P8UqyNsTm/hf4lLE
KoCnwDw0DP5+/Mv/EZfKEzbD9s6+XaZLJhomhsVyAwSDQzdJcfdZXUTFbChrodbKh2zVR94Sn1aW
g3lTS/OetE1vwtjwz+isxV6XHENBR4ooWZlBbpwntGekBga9hj2wBr0+M+gcL1ouH1jqsuw2bJqO
c3A8zsrs94QYzQboqML10abBb8JMqRYf42A0Z0189/0EfMCm1TQuHLoiC08nDdokhZcTt8SrGeES
wn+qqheck64x2E/AzHkG3yWFwkpx399aKHYUPaMqMiYvgxfvGis4tbvfh93NknypvyyATVC8varI
I7nc/tA0Ojp5X4Sd0gYdl9Cevlp94La/SQe1YHGw5ky/BqXmySePtAOKXWk/R9QwOtA+TFpR28KZ
tD9T/dO2ilOv73QJqt5WqFwHReXNg1o4gzlE/YTIXHJED8srpM+/e0oMFGPCa7MzAeClRIcizYC0
NODqylnESdp6EoV0sFB/dEWgqhVJtKhEcwX+ZX151tY4YtmxvmGhcwf7RoOFxSIJ4wfjO5om8bgr
CqXm1ko1hUWNVSC30ieO0KBP5YOkWSFT11leP9M5F08g8eW3prW7myJl0wVP39s4Yknvx89KND7F
Je8KczKT+h9Vb6OxoFKjfwFE6lZDllBgt2DtprLHY/tcOnHfHCiR8bmi7rZ0KYb9xOKXiwt93sO+
RHCvba/YtCMBYmem0+qtn6gDXbDjcT/tibikz/W+vSx63n3v3bT8s9t3orLo+9sXOUAvie3HKS8f
e+wYZfdE/pCXIkSxMvaERhtnVRHfrtq7WgBb5ozuS0JQv4FXHt7WqX7dymJw1gpIbcYWOOjyGE0e
Xz19QxTTa4oLIoSrIZpozcLS9hflku3lk2q2JzOWGOgwwMGavK/uH2IFW2+VeMOUHarceGpF/NY0
fKRYQ4oi0kukpHv5mTBZo1fHuCKpkFxa8xibOGIqmcU4TkKp4fYDikitXm0ixYb1Q4DAbZoTLR7X
oeIWpSHLGCds6QEhwdMdZC/EcFNT8ZKVf/fklGDkVdsTf+kFfvXEOk33zPlzr77F8GTqeaRR77Q2
3HSRYRUKmouT4JK7TmgnsQJEGlyogpeUQiCCUOlTrPLfa0h3XU/uYIB1naC4U6hWd9lrt8mP/Z6/
w0x7kOlE2VW8ZEh/G56hlOuFbUWlXZdnkXFfE4xu+I5b66it5dGKZ/ZShnKoBkaaZLU7R83RntQ5
mZxWWw/SIP1iScxOhp0/KkV/0brpd8myz6qfUpqx8o+GioEwTWW/m7UHDBAj95+MRXNubH+VvUs+
qGiwn5ayqfEZ07YLCUFld6fcUn2eI7Ltw7XaEU+kdmYBlrLBW7Dek+YHU1iL/lEdjJdea54Le7kU
ApWuzOvfYt+MN+Am6LsTFtxO5a7DfqWmooJfGFr7c5FkgYEMmMjDYU6lC1sxcmlYsa3hk0Qkww1V
Fo6hfrONOJTxyC5LeokRCVwr/6NXi5sn9eiv9pwENXQIaMqUQiaTzQ2b5hBalvyk+4rXycGMS/Ml
dL9a+106YPq5uX5M+qnB4FC20/xua2OCSyBJf5a7RqkZd278DjpgO6zF5ssxRhXG4xrj/C5/LlNh
nZU+jekCsxufrQHlDoUsQoZ689jdK/uKwZC8ocPjM2xEW3RofzExBEfrPirVvqV4WcJcSAPnxC7/
neG5IVCUOt7mbvOB4fhd965a3QdYFcL5/5W8M1lunNmS9BOhDBGYtyQ4U6REzdqEKVMpzENgBp6+
P1ZbmXWXWS9q3dt7889BJAJx/Lh/rnBZHY0m8G86+anvfQEq92DHQozkIUv3qCSqnmieCg02S+YR
hzC8gl1n/aW/pIt4NGpOSH2679QKRm90NeRAX+3BuR2z1txmfA3riq+s9U2Snj7IcmMl8xrU+Sob
2UvfiQaT/ZCPCdxhtlGeiHfm/NFynknP+DQJ8Xo0Q6xY3WasbsnIE5YhQ+WPN6F8fG3NWfrLmZbo
W+y4z6BQIuKGeZWfaCO+IJl/tROWq7ifWGHmIdgJNg/PTJLwHnqXNqb4SIscl+QnKmo+iyQJI5bH
KvHDvj3b9rPmfNXSxFcefdkpWy0uxEaX7aJqWo9BcA1crKUVK4FzG32oTn8ZqCfklAYLPgU8k75o
2J55m6DIw9hrQjJrFz10O68yHpwp/0y86eDq1yJvPvwaFZVT8OQLfHFjZM0b6mIpTlYYwGuWynHQ
eRe3pp7QvvMZB8I8SyeAv1NESNvYE5pkfbAXbLTFvc+xJqZQeJcyGnc08q7J2V9ypPtq4FOegx+b
oTnSRP78hn2Dw5I4zvNdPySnKdUHzBbQELhmWI63dqphOAQlC4AkT+ewtrNPCpFe0P3/2Hl9mnCx
IhSoEAPJuuAbDPoUIl01PPel2MaZ/yOnzA3pmPvp3OC9E2QfKUk+2jz5mCUkmmTRuLi2hXFShq1W
JQiyVVACTvcYCfLPycUNNU8L5i8cEfaYf4hong6TpphDS3+6zxF0V/CPMYcXPaWHKgi6NabLrfBI
jXrNh2MVL4ZQT0IvuNS6ehtjEloNiSZmiLl5Z3NUxd2yFbzhswpsymKdapcwxbSjo29d9fU6dfu3
zh0OXgHGmWgDlcXJMq1M6j0SJo3MFyfyb9c+PUBoT1fmKM2d9vjp6BlMb3YsGUfhZdyBGKeEoKvP
72olB15iuAlbtWXTtFuKICRndK1YjuFQ/zdYzaoOmL7m5IlIF2vw4okV/VXeReC42kyWKj7BlxL6
c5/xnHya5m9RWLu++hWzdRzbk4i+ydutY6s8jGa/noyRHVm+y7CqtDw22Cmi8iGuHwb/S0l6p98E
T7Qq7XVSbMb66MzvZVBiSSfZku6Du2tVlAxwAGiCN+vuvx6/28LfOM20ldkl4T8cJjzm9E+xk6aK
wCG47mCFmPZUiPO6KL7S+wWPkI8kNIb/VTlrlgorf8Ts4E/zXo5Qd6TrncTCBoSuYtPon9PRdzcJ
Unel0l/T51HqMzJX4xm/GGHOZrik8UHY6Kv5TB6lMC8gSbAV2n8bkjgBmU5uMtVedAZrxYhTt2Z5
gzFO1glbwBLm6d2kJbm+TX/KWu/HBZ9jQ1wVptVRJu7hnleq6OLaMv2/+gzzna9vrG8kVtQllk99
8uuZWbgIBuiKLuMYa/1SPgaCAZ+kDWN5l3HO9286Etw/uo1KFIJGozaYa7bYct/soTkkXJ0uRp7U
xbpVxFEooVphL+YX4nreoJSzywJ/sjYnRAE+C4q0/W1n4oZtj5bz0BeY44E2/rpqea1G/gmCLEoU
996NPbDau8AHqPWVjxWAhNVQPDl18wdGdgd6js/EnQCTp8YNi90XmdfNIoyrbMS1m7PDWP04lQ4h
4APIju3qCNyXOWBaY61/7pdX9pyroOEHWrUHKwvCeJGUHFf+g5m3WMSat85eqGmf3514fCOU+EBv
3In3xHoEZJBW5gk8RJjImMBGtZeGnNhB96eppdqstoeRM3uis9ajA0raeEExqlEQymYyjU8aPG1t
I4otyJ26ETR79i9pu+wDI0PjTF5mfuQGVcBtwaGSLuV5KDFAtBCKEWS7V7obuev2ZkzmYtmlNoqo
GTkkG7rvFokB15T5l6tr8+mWnP/ZJMwLexF2RZA6SUaD1lNuQ0U6L10nJCBls1jy5Eztoj6RdEj2
kZx3uhbWHvAHu9s0CpNOPYOtiB6h39ID2zb1Ky46Tty4KkaPDOqUXaclnXAV1ubWHuAgBU7N5sak
s544lgAzhPmOSGmw9fqcq7/mh4Hh6n3yK/VoSEa9ARkqX9imU9h8WBqr3rPjfSEjcPF9HfCFp6pw
XVfQhRpjFGvHJP8hUT8rn7GvGohKerHxHvuMA1gz1Rci9mNqGuxIHW7sbCuuc+otWzlm7SHPOtT5
rOI4sD3WxdURp93NaywTmG59iZOqXpdl+diA2FwP5U+SOpu86WTo2hh6dZIZOH7Kb+Gm6WOSRu0P
e6p27+d+vobdtx4Trm7aYis4eqmx8yujPQNlKtdui12Qzp+1TpC83I4XWRMZK592iaMz2C8kgOMQ
BiEZGSYtpyxDb5Lfg2ytbVX2eo/L0WA3Be5wad0C9lhjHbj/7GrRcPjV6Xo2IQG0AamWod1SWk0A
Zbl2OjskXsMiPLgWXP/iRJHeGH68Ra9Gm+2NS+hYafHr+vm5XFx8Vzig7w+L7NknF9weO0G8tqlQ
0rCqxdcJp9KuYpu16To+NrWUIP0dOs7mxpL31AHRHbP9qhv5MTbiZtVyP7feuSLW1VnldeKbfcqS
X237n43Z78fA+y2pkaS87V+DkJ606tv3gr0s/vrBW8QKipX/c5PbL85UxEc1x3+BVn07TftVATQl
OHVD6sIGZENxj5t80yzudx3xKJjJZg5irsxTd2hlHVoYMJPkp2CIP8VulYS+EhGBOkK2TksNwtxn
1Jgh0rdcJNJ+eW9MJ9pWRsKtfc5RFeqLYRCmapcnWU/x3sq/agGfKDLJfCdOd608MGIOLPHQZfWx
oA5fPDylK2emwdevtgv2isU031peIW1evLT3kTDp/4BmpkS1XGoOGnciS5/u5NQdK4yAeRkDuIDC
7rSXWsJxpp17VS8/Q9KvLF6867gRaqWzONQdr2sKphmQx83sm5Bh0h1T+Y3Y2bbLCIbN3oww7B69
Rg1nz49+E645IkpPuR4eS3P4CTpXh3yyDP0eVqul/PAXb2tS+E37iMWlnXxG4380acEPyAS1W9ZB
Cm+fmg4ZRqn4StLukaqyvbOwKri/SCS1b+Sl8829MWEyojAn2oAeuWta7KTgYEphne5BYjPvXx1Z
oGGzYFWTtx18EWYkQBNW/15ikeeqObQ5qTJ3xrs6rWhnsFBR5DtiMaUINvKGwP7M5gnzBN42l6uU
9239p9O1P/YJb8KuPvQWksakDOKmPYvKOchx38XreVDi0aqtS+cD6baMNxbQw7oyaup5nNTHcH/3
C0Rt3Z+9ir7iSE8HZGD4bXHKopAbUU8IR/61edd1xhKKkaufH7doaQQbL9jGsIhY9SQOMX0Nl9G7
X06oLcaOseDrffLGKI/wPLnjU9ri5kHNeLY0CyOqB+ePrpbHEVDDONHes+oGPEUUu/zRrrMJph+K
GcktdC9xMl2GxPpXlXbHiTnqS2TVRr127GZ+jRSJMQSpAqGJLmeuGJT6zj0vYIIOHhCzfWq05k2r
8sRfu1uTx3suZz7BhYdk04146Sdc/UPVbQYS887AT9By62vOJ2+wVh4r/RCbyTYr3GpngvYIITa6
oQ2u93A3G/mjXkcJbLY8fsPJsfFtZJl+dJyzg5hzobrBxGLJ3SGdP2qCk00905hqt6C86hFnfVvd
mj5Lzv08zRsvKbf3BuYdqOrjwmpyRZnbBGEuzV50A34CWBNZwJHwlVFn/hQiBeEKmf4W925HUXeP
aT9vvbtKUXo2k8h+JIKq4HaIwoy2Jhg2rM14mdbdELkXDvns3ZcIeymzAOf1Zz93xSoaub90brFr
7oZ2YD/4WZ12eqX/cf42cjP6zVgrqP6i4fcmOvpryY6+kBp7SZ9B6PBZqg2IIkfU+xX7hOOQvzmC
OZrkTVRjhfZ757n34rXZTcCSXHc3WAfyrb9WgvaRzcamcJInQlNbK2WdoQj5rwiC4fet3w3LPJCR
uo08xOwQ4ltrErCKlINpp9nd7ygWkRBlnuP0ZAgzrFxKpZx2J5r8xbf+Wt2A9ZFNod3fghKrVqGt
B9gKP3LUvEV1dRia7JR4Rb6Xi7qltn7QUuzMCWlqHvhfh46vfn7/uVCjc2sK84GQJdWo0WCTlrWS
91x9UsV5lt0tKG74p/fV0hyUcqMrwpTrsJrOMN+kk0NARIuvpZ3bdZs6JQGINKx1frHZVSTqT209
z70t1oNzSRrrA/9X43xIZDkkvWnB+Dmkl2Qy1gtvJYOFGmtBtbF1O3AVWT7QPI6eBzYQw/kaMunR
q3j75fclo9DPgzKY3xLn0zCLfkUTY7ZyuaCj0hPVIKkLtjLt3K95cugzJkbkNnefcFd4CCv6lDov
beSFdFptO16xPVpCGSWnvBJH30XsSRCAWjPdR+a8BrtIY+GIiiDtA13c+/lu16PjadXN/vukMEc7
WDvHO1ck5mVTG3AXy+6zNa4tojS7Rb+WGxpSQypEdjDEVm6bhra3cBwtKiAgGk3jR2mLX8OLfu9P
lYtFxSz1zmjMjw6aBt/E5VZDKbItlt1l2JQHdNBji3XYjWHJO+QNh90QvGd8dyZlPvVF9UX5lLMe
BrWRdQ4lhuN47J6r+1FhvFRuEFYLqW1+8OnUPQwD4A/zfjgHFD39xTL01QaUH6gPF1GiH7bERf6l
TDgG4mcGFaZY4jX88J3r9cds6rZxsSn7TSaf4+mfLL5z/2PGl4BfmiP7FDRET3uKs7PPNnlF0TCL
ZFcjtZv2EqIpXNrc2bYtI4MQFzug637IkdSIRBXRb41PLhPFQ6MmkGrmzu8DuErAgmJth6VjcWEj
gou7TNWpvzXid8/Ntgy5/ABt7C3xVyytA9tmmogf6S+p1plLc3Jh7xMDU6XjPjrls29hrbFW4Cg3
QyVvRc5A39jGrpcD5l/84G2SnRQzG0YoawMNOZysJixhzeDp78nyjX8KO/qpBG9B3E6POTgLEl9P
zuAfF048XSaH3F9YTBRxecRiRqAYUJN+18OlZAuixjdhJds6+p3YJeiM7uH3crwS8CIU/1bNEz/c
lmDpUjwuBo6E0S4PxnTLBlYRU+tihu/gZ/pHEmRns6kQhOnbsT6SBUJzPb7gf8sJy6eDdxtae0cF
74p+9FCoU+R82om/L+shZefivfYOXkfuz2ebtFOi81PVYVcjgC4SOi2AhOgUS3YFIwXnvaeek1Sd
4IGx8mYzL+dt6kSbJRuJgZPwsMnllI/0tkOExehe3Eb7BW/rypeyeHBBenVfhM5mxN7uALuE2btb
ZyMQIxwUei2aM3OULU5F/bDgwU4RJ+Nj5h/AJByM6FhyO47TTcZFkQhH+ZZDu3ELKmRZu1/G9FxX
xyny9in3h3h6oafsgahHbs68QAA4sCwDrplkUehrHeZ8Ze5joW1U+2T5UdYUBun0lFfFSk/vPgSu
iDDckOOY6bfVeJedlwvL1205WluTcK0MAJgKa5da+9hOLo1+cO4JRFL069TmmoSyRgw0tB158LRz
ZV0Nf5bjHxMLmUl9csqTkz+4XD6NfdUhFW2tROBi+jeVb1b7LtUmgT8mau+mC36pqB5Ughwi830+
uFsSwORPjbdG4ONJWHQMRQKDDF/Hgg3O2kPdJXgJF7a5NJLvLcGCYPy00ieMwTOEFOSVFfjXc1nu
cA2skYc7i4MFP4FH5CvgwmTiJ4y9Mlo18I+4O7ClYPeBvUQEHrZ1AkdRgatK2hAM8zQAgVX/qnrs
OWT6fcbsxd1pk1XLQWJTYU0QUnwHZ7gHRoFlOi1Mj+5L5e1nthlpvVCgABGG065nWRPz5skFlly/
AO/SMpvl51qg1+b9uV26CjNqfe1i9T261ZeF/QwE7jvwR/2eDnl5BIDJjVBk9cMcNJ/Z9LGYS7sy
2/ZvlSfnpoCl2hNic/t10tcbPw47098WxpUmudVdHw/medd4BmexS97jqkz+0fOXmd+SlpiMUW96
XSWvtm1eZ88+z1oV26ndTZitVvM9zIvi+wLiZK0X0p9FmmwKontFza+cv8dyUwRvs3jD9WFJhVsB
oI4BYIOv6Ey6VclzYQ2P5KJGyzgkVQNqiLqu5JYiwsrkUQHI9T3Cu8u8w5q74Z4wZhhx88Pcb2L1
IcdT6Twjcl8a+Bgnt1ugj0GncUw0qFZ3UOXucYTOglo1hnnw6Q/1uXbpD6hZsmlFElz7nCZAjfLl
wZytnzKCGxcACkOmDKgPWcXKS7baKy/IBRZSVD1hfh/Og8lf8j9NFaOzL5w2u5aqyT4pCXC32Swf
ebyIxrEm2UAjpiyNbMMnYzZPlMcSqO0/s6XEWbhsrdx6igrAyOSX/6mWzrxcPgRDtByTqdx0GXGQ
1mrQ5cp95EMSS1O+zFogTqOGhsbs7QfPwIRrE9mhDfFPZQSXEo7QYJj2Jaef9uQn3fAyLPY3dTb3
MorpJhCHpqD57Tt9mFNlrOYMZkSQIPgHqJPrpmMlMk1PQZCa351juPt26f2j2zBRLt1aA1Fjz47L
UUwoRSgs0eAWBy+YH9re0ht6EyDdUMuGJBhrvKTqtvQMHyAzXgMZWWuEyHodK3IWUdFG+7QQ1lMh
tveSaW7X1zHWfLeMkU7wxPoO4iVBRY0ww7L9uGqOpJUPs2pPqx9b9Iii6HfmwoCvULCcUmy1O38M
jGNB/tDZQE7Oth7KO37PZl97eO0mPg092tPGbt7H0d8bsfMdWM42c2322LZ8i8yFCUxuW0LA9Bxd
3QFjkk0W29fbpo0P2CrPXWBevHggn264WP0nEpYLaTJIq2caCulZXgxzR4tF9wg+7ySqaMCXWEbR
ocycfGsSHcJdk+b5u+xrO91IRJJd29oSIodMvZ4pyZIGp0r0kmR9DZisjdEus5g/N0yJAI9uvmlr
qyM05rgE+4C39jb/ppalAxItGEW1VnRNQxWpq11rljdKFspbJdiPBrPySJFJjec97TaZm8hXr60f
srGwNkya0GnvHh9RM9oMtQlqrEKpWGKze9aILhsEffFIO1kcrSk/7/bY3FhV91OxYJmQGK70oFmR
28LE4yoZjQHu+1SSiedM1X97vxfZpVTSIv6NSf5zxNrzO9w13kgKQAUjQhPVj80vdRrZKohoaeAZ
JDqurB4wQOPhg20QV4qUXXANOqrgv8PIMGNG8xaD34JljI1XXAQEPHzUipoMTR7n8rFxvbeBHhbs
rGqf4tzYxn1pfbJxZy9d1YA35GJsbJDvlKqPIjRrM986SxJ8RFnMPTfvxi/fl4Q3td3tS5eYECXX
1jeQzeoUYXf4xyV2LFaz5mZv4luPR2OPuQ2uSbBohDY37rl6LOV+NO3y7BpoTuSY+CzAojBuHEvd
/OsGAtVOEDM4so3klTt5xB8WpP7IGGyudvCLYiIZnPFjfxH57HwMgJiqtWjb4NdMJsJ+tmkMO5lj
9TSi0SFHXM30LaXTro4NZF8V65YwF+ssxuB8zv81tpeR8Vf1bSinlv3JUsHUXb46VRZbWunyf0EK
DCRs0YnYxA54k3k4y/Sp7SOsXQu3NwoVMHpZAcPdQMyEu4VcB3qUn6KkaVCbSsI1E/qAx7J4kOOi
d7Jx5KVgfuCSU3OpqnjBSOo7hMBCru0V+rdi/Unpp8tzLapzmt75CCP+0lpPcPr8suFza9inqKym
8sN8gH4OSK6fbP+ndoZiw0LbBGiCueUK0z34kzcEO9KFHMRQN86D8hxzS7zEON6rpGAX5eW1HYzp
3RumGfseBIiWkr2tC7cUrbJ23FPTWMHFz7D5DXWHEcZiqrACgIQgSkfNROEO96JpghtQChlbwCCs
Gwvu67FpMVrPMhI30UUFhlzLqzYqYJvLADbDWjEqhLmsY89nde0DjhCbeoVqjh579N8Nc+bwmLkT
/77ON1hKC2/E6dvFD45gGRxZMMd4lBnl0Nl3mRWRezBq891Xamm2GvLe3i5y/2vIumhYm1mx6JC3
mHGjxLwIPc/4MdU9mJTO6qdo7kj+kp2TYwmxSfBSlSgUCvJMhGjS5EEfdsDu+FgSByet8zgpXfDW
LEWyUTWsq9JziW7UlSfe7VxZj+g7AU16bp2Li5tlvUFZnQK5h9i/zvCQbAzDTwXPrKzOSBvI36kz
hJ4N21NWRmjNqf8EfXCmWXhMT1CLhk014hiKPNfb+5R13FQ+JU81I4aWXnEhb07LkR7Vb0Iaalwp
HfkPdUVeJ6jnXQyFWpSNue09WAxEvxGJaymxztbRx5jRK5OOzvtYlRoCazk9Sgm/c0iJe/PPkvys
ldqjIXUnnSnxcT8Kt/QBZVdZl/PraA58CHwnbhE1Qbv5bskfpoRvkd2YB9uu5he3dxFdpoJKGgsP
TYI88WQ2BMYQqmqDzTstDOSq4QOF1No13io1bKcO8654jVkkKB9vJDTt8aSyucO/3WqeiIhUok90
1E5gx6WO320r4l1rniF2KpqBZyW46f+kI5E69Lg/Vc/CvPXrXbAMLJK7DDUmnxYyvlXABJW23PBB
+dgHUtfm3p0kX+HR2s0Bxpk28A+eR0ym9WnLwMB/1IzaT3Vp9w/sLKGg6QlMK6V4G6PLecZSinnu
tZu3SZXug/TH/joPzrQvKp29+VWK4FQHktwG7dH9xWJJQk1CYiruO0P2OFEKt43vYmwn49tcNNZ1
5rOlWMMxrI0RSW+fx9MbuIT8yXGD/jzYnnqvjBnIhcg+BDrDujBaES7TVO2bqtgGAzwyMTSgWbk1
vgZO/wHSwt/UoMvQ4ee8f/NHK/ZWFd2T5OXcDjVp8bp632iQWM6UyYc0tVn8RxUmYBeCT5PPLFxs
9pQL+9Gr5whcWQUqEIvk05SNsJO126yBhnwh9KDPVOP0h1pTE7zHhPVidHsUdGqKprpZhlXHIj2/
P41yU9/bhzTdRSyLC1iFQ+klG2/MSwzRMckhzUWkzNoa8O9wKBDzclA6DDGL+pJRJmhYHdzS5sSZ
VEjFSPYtSj46JfEVWEVAID1L7vYLTeseLi8sJ50u1L8yEv4ZMsZBY60JF4JZkU7z0Awqb22aI7kB
8w6HoSHjT5GRWKdahNAFnw1/UOPt8iV2WfIIaVxMSa1rU2WwRnuSuU00uQdzHNgBTVbE9Dx3gNio
GWeIbCH5YGRObh2+Rq6Y0FM3KS2S+477x4o/1n/P75hrjbFuXvnJwMcS+cIbwpbeN5dASDFdZdZ3
qEaY2C5kV8VjM5YT4Q+V4veEU7aGlZe+18wIWL50IsOaauzfsdDJ1c4Xd125A9J0FhM0VGMwkRiH
pbCK+f0S7sdQ/c6+X+vHjFzMnxaS1z2d1TMe5Yb+mbtq+aXzsDoGizlnGy8yWBQQH2UBO0VfGDCc
q8FJvpVoUEc5DEmFN8aJnwB6Q7aPRHcae1TyMe7EfpmG9rOLliiMAofbtAXXPug1OQfc2ZtiJEAX
x9NnzvzAk1gZCIYdHo+XXk3Lb56lxUOg1LCFhRsUKynJ6rRwMda9ifEPwk6zmWdUi0A6WGPJMC5h
s2hMrMXoN1caX/ZQWIt1zSvp4PqlOEqaD3EiTeWDbjFuJ+k8X6cKN09DSkGxntxSlQZy2M+0i+F1
6U690VehMbkbEC/Ll1ZT/dICjj3otGLj6k3dm9nypVpNidmg0XXeCRwy/sTxifQ0iiE1fuRDmgtI
R7Ixpeyvk6lYTyeZF7xSH17vKxpNd0Mh9Mao+vbJMu4vhgmgkKo98JVDtwDzaHxCtwAr/ctS4rni
mTHOsSXsPyCPkocYWA/vz0izZcd7jjV9EnTOLeMTbeCkSAYXMGlUu/A8J48jInNS8c5h8qdnqXhg
K0wYAnVhM47GvC0pk4WEm/KMqCjlWRidZfx2gzl48qkxVmw+4lPgPKoiLo5RE7Q/eiLqo9VZk2lD
zgau13EFgAGz9cT9bb4YJx0hVdo0HxBcdGiClcDRqHvGUVucoH92YQcRk3FSwVRjZWJFcNTp7N5z
QXH+spKwP3lzqB1WRejfY+VBa9eGeuuLMt7j2A9YnrOhn2DvmQYX+9QNvVrYdpjn8JRNG+KA9ONd
IRqivsmbiQJIuHAR0aNvHX3POPWqRNwDm8Gtr1kOuUd1ZxIhxCTsPGl1/uyJ1RjZclZ+/2ZU/D9W
zJ8mEfKd+d//3NX/8v9h44JwMNT/v6MBD1X+Uw3/V4/Kf/4X/zsbYJlkAyg9CxhxHZPGlP/KBkj3
P3BH2DSbmcLDMyz4Q/6rSMX/DzoaeGcLbG22FP9n5YLzH/diSpqhXO6/5Lj8/0k2gPrF/94Y7gjH
s1gOM3lxyMjgv2UDtKcxrSA8YhxpzvhdFaHTdu6e0kxD3BgHoZFn6wg3B7qISSRyw9QMvgFM4pU1
QZHu8Q+Y7ZbOVAwOpCg7ub+jqsCxQCPjN/yxQFmvug5ottlyGgZe5IcRkI83U9A6WzX1qbEr9cFC
NOAGpNLbQus2Zmv7wXEhHORZ1B4REXlwCwNQwzg9CHd+dltKSKQ9WNvEnEjQlkGHqiHafuCEoajK
PsZJhFBoy/51qYroYjuqDb3I4gbsJFVWhiIaEiIFTE80B2jczn+JI5sEQ4krQQY0LYflHt6yqmGj
P1TiK64CTH6GlcKOiKORorJAw9rhrhOwaeqriYoAbHFr0DQVVRQLAe7GreaHQeq3bmZrt5NyVre6
ouV6Q3+BwhBnIDlxsCUHASeW7c6dGuFkOrqmbfcqi1i++wy/MJZa7AFjIPg/I6blyCoxZ4oWvExv
oX+XwCr5sL7pn4fR2lTmgLZYelfAn3mz8iblbjIYi9c2Luo/ftag/9iFBATv2oCdDXWNSouYPPB+
59UpeFOQAGS7uYk9Nb0EhnCeKM6Cy9GRMPlrso9l8OPDQfXW8CM6KGFlk8kUkRzI5qrvx/7bKaj3
iluwUYMd2QYYKqchi44io/16+Bs7IFDSvgLn0zTlV6Yc3EDcqKqV03juunAN5zR0mXOKyQVfO4bQ
/jAGajh5Y+E0oWfZr+r+l+9dFwdwiwGunVnuNlK6tzl4BAuBrEUTWhBmnZN+SdSldc6GIG+5XmbM
oCwga52cW3oe4PY2tCVk7rieF/wUjjEhYJcFRB8/cveD76NPmxiVdUt7g2qTgM0fVxi7r+ZtW+AQ
q3yCpl0VUk7YQxSH8uuU49YYk37rNDap2/mB1jW2BoHtbioPvls9AsQ2QEFmqvQYOxmpPAow3XRr
z7ST+S1JBm24T0rJJ5dtxJmvVwjrylrh3mR3sdxFfp+mN8OkpMcpl89oWgDbQYJEHWcuqSlkCjVp
vsUFfOUI6bJKRr1cFoctaG0mhzpKz2OnjkGGNb50DjODJkF8pHWrdRxkxo4BSNsUxlmAVDs8Vmw9
gmeHuo2d7RN87fpcIv1O3R4P8RvoD1oBsdFKo/aeLXfqqdkAGMaWDgrKhB9vHWUmhMVWIIt65qGx
/AfRu0dKP89eFL9Dguu3qqX1uEpxXJGYc8Rrwaf0ohNq5Maku+WG/2vTjnQaR8wUs53+nZkCrCRg
ZydQzNt2fofGdM1yjhaZZv98u/qc84R0iob00RZoG6yDyYhEf9Li3t0Uo9ppOKonwZR7KHr330w7
KDsEDxtmNDAkGlTST7V9cNh7JQVKmGrp33CsnExqM7q/2um/ikBeplEsb1FkQ/afnOq58QXdEBGz
MmmGBBdlNv06qsQoX7iiWxX9MMk97aLVGLoZF6DRyYctUXDc+yq5LAvP/pqnmQhUjBEk3vjzkL/O
C16hlexbVtQ+csMV0kQI2uOcV4M646xUA/9IZ4OmSmwFVJfVy6dlMJYnY4EglozRv35kvUUt8bg3
REKnPNQJE2anixc18uaLSPLx21LCPelK73NSmTjga3/Ty4p6SoQr3HSkGYM3p3axf6TAjp47L0HO
N8opJ0uNPLKFEapXlgbRjk0vfeKbI++7Fflpm7N/qPi2kz7TNr0PLQD1oqv9Y5c39VtNYIeTM+bs
3Tocqz7Fdew1fMkgIA38KytmAmFuRoSp3bhgncSsHm/hSwtaQtg/dcsEyCWeZbuu8srBs9O63/iA
1JbGArLLoOH2zOBQdfyF+5xXYSiwjULGm9YRPVj8gumtU0GxQ4hr4CZPijchVjDQrPICKO4OLpha
wBHZcougfcPhtNQmMDn16mGMzlXGloxidJzalW1YtyT2eFtQv4zc0g1e8uXOi3fV9IZtTafIHiIH
ZjDVmaue5/KhzZqPccaAxN/ccZu9JcpNXLkJ6SCCxGyLYIzwa1U+LKfMkPnVHxk+jUY1DS0BEArz
bFFr7dpF6Pcu7tQo/V/snclu5EqapV8lkevmBUmj0chCZS98dpdcckkhKaQNISlCnGcjjeTT1+c3
s4YsoBuoZQO9zJsRIclFmv3DOd/xiS9BUKq9BoyBtl5ZHlinxO7rSxE7cufQBV+WngMuFdXW52ly
B+0hIqlv05bSEm70fTkCCO+8srkfmpYFOzOj0aBCK7j/LGsjWQtt0WKL7dzmQE/d9gqBGmCLZj35
A45G5FPEj8hTkXzIp3SKP9OAAIN0HK1DD+4DLDojU2dhqrjq5gzQfpOw5hE8enPS3BFMeBF22JxE
gYFwIIPlKSva7z53vsfr6BLNRM0xMCCrdNoSAdWdCqZk39Y5FDyevMcWaQiLK2t5qkZQesukQcgQ
KrBTvesesE6Ut0rU9gXFdnYK5DRANuKDd8u4hRxZNhc0P3zvrGM+SU1hJ1HR+dnkdrRh5p1TFf4I
q7l+c502Ofi9x/M4uC+dRXfk1Q0XGt0cli9P8kogoRtwvzFGbdqHlliYJyI545d56r+HlJvHNUZj
1TPRHWPbFqsFNqq2ROSkff9xnBh3eRzwB9ym6d6HIrNlu1IeXfQzmzrJENBMVndqtYGJ4PX9GQfD
raDnxDfSzGuRJB9tj29eTbJ/gNGIec0hwGlGcAuvgfKpcjJzFnIot0Hd6hO88O7Abylap9UV3sCJ
FRDv0QCSt6dTbavsFjyZdU1UCY+Q08ZjPS/FV29cD73lfLWRmWcGlS/4mHZFJ8xpdDqHVy2sLmqM
pm2qmdPqpFLPxoTmvqJMvk+K6tkJ0isDTIEHY+GKg997tGbydJAZ1YeaMclNx7nyFID3vVkadPBp
TUAVrVQrIUcvKn1rhWc5G83rcTWApwDSgHc+aW1ZWznndHSl8N2bBvRMTYuXmxveJDZZPmi6j1za
LLDrLvxYurD+6Rg7PQfuEpgjlKhxa0HT/zAjxBBGSD1nfx/LRx8hPEPEqX4pSU25zFdLq5/I/iSl
ep61JQ+C+/3GYaYHkDWxH8LWmfWKKSIFJyu4N+Mn4/co/HI7ZLO9YRrltMztrPxuGSANgzE1341T
jY+jU125m1m6j6xwJmJoKH+VaHtP2InhT8f+b0z50DKZeR06SJYQMTCS2rHxH7Vg0as4+tcEmbrO
huGdXM8tcWF0lxaDWm9EylJoTEEdL4O18QuprpF//MIzwyloi6Lm1r3yNaFh7areFXKrZddyoFpg
/iK8EzeTluLEUu1uSofu4ClGR9lM6oOocbYgfxN3S4eiMvcbyXdEv1nppf/mJakQzCzMe9NWoVTV
BDazF51eJxr+rOMu15LDuS6E/6Lbsbvh+WsuJtCfmRrj4xRP0W2m6h5ypl9vCKRxmbvK4blh0wPx
OX1TfjBtXQcZRjCOmzgJnmMu89qzj5L5q/SviOlaRXtgC83+KkColvwWWWXLJ2j3yE9idnSQWurk
zIVHN+J6D4oshyYqbkc1PsR5yUji17T0UAnRqS3+NnKiryVK/P1U9Rd4HMOhVctHHVh3aYGBMqlc
9NwZKCmPQpPwVWoe5HZby+spul21JYhjU5XdPmmW9Fj145k85maP/y7eBlwma//qNO77n9Qix4gl
xzPtSEwsiqUA5fH+KeZmG3t2T9bsVECgFghSYxxtpwHuHOlP2WudlOgF0hCR9wLTOPXHbIPDJV1p
MX0KxdiL5A9ApBS2TLgAlCWL8zURIbOeHWDkV+Ee2Gz2wp5ai8lsW1sik6HoqGwsp7ZK0Hz10beT
Nac2iUPcrn6wJt2qfEqWNjrOxgmI52JsUSLcwkbcM4eGoXEaGhMDF0wB5SdRsV6WqllPbhThu4MA
j33xZE085YK152GUuCli8I4rT8pxndvdp5OA0QJnwqxR9CgHq3EDjjW/bQcxrltFJzOVQUxU0xz4
61mbD9txsnNpWeKeA/kVTHP3hHs02rvapeCa8+KkZu8AtGra8Ie41wvNjoey+bbhM191oWbmhP8R
ri1KFzVdhj4IUc94Pwiad3iuw0OHg6oWw9rzxLGMWgyKXTbt2jx80ZwqhGP7eC6RfpQePHsQ//w7
cTxsG5kISuWp35nF4hith2wjSdw4NGH1aTE951Mm4E5NVXDruB6pWMH8hhCxPNgc0iDpNkknttz8
VsI+a2bAm/aCiPESR51hobmPPPT/PvoAaRHK1nl2e5hoBTadGyKxn5tnTywD3g7UiyH89iBMkufC
yov3MD6ngXbwhvkm4CvhQq7QqG800IxrmLpeF/gvuOrhcHjtrWP4h/tm5L6JDmHMr8RB8YjEYtsO
sOqd6lm2GTddjCgcHu6hVlRsSMipssOd8flzJBnvC5HPuy4XxBOw1NKZATrWmuHGGrShE5V/5mhw
N1JoqC4l0Kq/AgdxhSkEEEsGIChBTAdT8EcV4463kdhFZXToiHhYeZHOYGriucV+dmI1128sg83L
hlIC9R1CPwlCwJOxEKwmj2+ek//ouslaVLoirMSH+2+n8rBUiE0mEHYr16kuMzLgQw6Q9JCUSI7m
rL+upcETFUP6UC6MewtFxbxs+7iajxkexXWapZpgpezXlIDzM4jO4IaLajMko0PJiLgUl29yyCHA
dQ0IelGK95YfcVM4OBwNh8Rtju00/TK0skwsJAhR1zmiOdlAYeMqbn7m/jit/fIdUH99IMH2YArD
kOdP9aj/q9blO/Yh7JYZjbJbDs95jQnKRMUdCD8nNvzm/VcxBZ/MptkCo0bZjhqOjZkjHKkd3maL
qoQGnKGlQPK9MgLukWsJREzlggWC0wzeSou0tOp+2qqEYzOODaj2gFx1hpq0w47D+7LIU1f6iF6Q
5x8JtwFcO9Omsv5+8ouk2Qq3hbIDuHXA3EHYz5PdhYJ1HCp0qzWf0mRnpJQPSwLbLYe8z8WYuFsr
Q69GGuGC0j73Qu+gHK0PPkbmde6j8oio2BjMOoekrskBUjNLShtuVuz7tzWAOrtDlevh1TduiG90
agTSt0Axv+EXFY1YDDLMMIV+CcI834xjby4ugyyOuqXbeE59U0QQMlqSnTY28PHjXOOQaN2yvnHK
KdxYCVw0t+9oVBqLvnkWlnwYFZatejqRJxNs5yzvNiysL6B878vG3MfFQNfHtcnahcEA5nHoqOaU
sp3dKDP9Obu7QWDHo4+DIo05d4lV/ZEK95wwwFn5UNH5FRhrRYQFa6oEmVxiLylErzTcdKjzHx0Z
3cORxwMbHhK2m5+Ni37ZJVcJZzsubZYk37ou8Bi0kCpblIX4xRbGFBY/TUODxeg//K5yINOyqL7G
xNBbZHxWqfask2PZJPaIHglWb305NvSAxauJGqyvKzgy9TAlgwWrnZllskQPk/hOT3hHT8mf6uke
snu4CQ2PA11GfqZuv7ag4omv+RAQijqjyjurBd4HBEaY/RbLkXIiA1Q47g/VRGdTcGHX8itq+73E
gMh+kdQRFHPS9Awfke11iRbkHs7HuYwfgrrCilCWp1njYJbxi+vbv2wSG3YOkiH2PVjTixFRtdd0
uM09VnBRgdafXLVN3b/6KT4IIuyfJr/pN4sPeimYP4ug+S2TGuu39nF7X3lDWQOk3nG4Q5Hxt67Y
VNNyV5fTbeyoA+qjU+sZ4HxcActsxj1MlnGbTJnNDAOxde4txCNUnAIu3S5SGedNOFa1x3J26ZPg
vZjRQrkBbsCJBMmmuRDPi1RZYlxeKoJt5DB/jy0089iD9pCX5mMuohsfAxu20RS5GDGXm+EKzHYx
zu9LhCYbEUDbJmEBSskYfxSIEeF+YhnyAIR3AvE/+P/RGwmgiXq1Hri9V7gzHhBKcx1CZxqv4Tz4
/BhAe5tOkTvEemVXOgCzApjeblKurUw/wEd8YdpApm2Dz2KqUmAtEA7Y8pA/4s7gBYslj/b5XN0D
t2XB9DrX9XcXtQgl0SYgCUaQ6nMisOMuLm7oWztC+Np94jFEWVxk0Cm6MHvGE9ek5c7v43DH2UDn
QDOZQJCMre6G0JXzAFET6137e3L1S9z1uylzP2bA4SQG4TCKPCRIMlUHNC+M8CzG5NzO7Qaj2LIe
5+CeJKh3MEKfGHf4OQb1iLSQgB/VKB7QpdmYGCm5FVIwgs7K1xGh4OsrBG6uubOCTMK5s6b14nSP
AbLJVWJj7asFj3eR6aeCCco6rNyajSRbcEtnGCxtqNuTwwA4QhK07ggCX/lF+2wZG+k/dN5oSsWP
QjQvNGPhphkgbIk8u2tr66lePIg31ZeqJtBS5Hv7gvWWM0P3zZmzrBvl4n4R6peyFUIL3ZQrJ8l2
nQEAOWvU7zHkXEbT6Tp1qgeLv8j41o02sJSvkVtg80ZGof7MDI4vh18zm7EzTrilZ+AXosslFXhu
A8PHdMbekcUrOOxd21q/vAgkg5tKePeEPmD7YMXm11A1x4opSeJi5yLm04kF/TYtj9u03zC5AUsn
NTvMsi3WZUThHl8J5oxM6RI57qDBebF22P2hnWrCUJAeGWksK2CzZ+KomeRa3yobj1bLtBFIhe2T
ATwRNaGGjziYDTkA4iVVLnllIsGtiqPbSg7DpG+KnlduQc6BEQgXVc3Ffp/XiNZkYPPfqgwY38g7
DEkeuqlN6GnIZGotM3Dn8hpmR3LGI7OI1aA5b7zmmM2d/5IM3Q291SdNs9mT4zJO4z6BYZLG3jOs
D+9mHOPrnDg6IWBDEsu8M/1ymuyUyPHngHrKaT9SN3wlD/Id8Yr/UmpsAUot6uTY3DE1cYm6TbK1
x+GzTvBW7omFQPcpiSZBxHZwkI5P2n8B6vOptfMCIiQ5sEja8GkFBzTKwOR+BxRODQzVWBT5xu3m
d931yLsz9ycdIh7YyZUb0CFAoDIaax1XoAIpwowvTiidvhquvA0xItMJrVC6zx1XHj0UcSt6B3nw
HQwQDPA+sj8dFGX3MA8Wg3gsUEY8BI0FiEFdrcLACV1bs5FoGJVKufxCiNmeoxEJdz28g4wd8RkN
iCOAX6xJu4Jrm4K07azZ301L0EJ88Lob5ug4/sMbT4S3Fcln61Qtb/ViYU2vk3BVK+7AUpVEd5dW
+1stZgLn1iW7zpf3yOQzggTyh2nQLGE8dFpD/KOOvEs5eJcpw5ztEOo99vZaBmY5VCU5K1RFwClS
BM1243HJ4DhPjS4PwTXHxMp6tBQpQB9pnIdxALhTgmIXJsk2Q9pvZJT2PFwhpo4mJA+mxwA6+YbU
36APH0FSjuuBIMl7lEfsPFmL/o+ocOf0qyOW8lv/+de+6mbuIH7o//2vX9O//Of/+n+NHXeFt/2f
F8Sruq/Sj798VL/+cvjdLb9j9ojVP+2Lr3//Hyi5kK0we99AOVDhHOGrf98XO/IP5QZKYMiFMcfy
hr/z7/ti+YerGLPawvU4Vhn0/PUvPemayd/+6rl/SF+4rJfDwP37KvnPzzr+XV/+jojr/9v//ks1
lJc6rXT/t78iyf5nlJzrKCED/kFMGtJzfQnqrvn6eEyrmD/u/K9pqBpZjh5v/9gxx4QVh8Y9Qvx4
dmzyfMGlNOhqpiHOV4uMCUILSOVindcyn1vpSZtsl9kh3i2vH8xHrI3z3ANIzUDwLKTO12XXZdtp
MYwxuLSdGPqRnqBdsgEIjtBnGMu440TyPW5zdMuTH/XdnbSnCtBXP9vf6IsNEonRZ7o4jAXLAD+3
ihdL9uhUoPDFCzkyV51/5IVMqVxtI+HF5/ECxDh97eIkv+3CIeQ1LAL5ZAxAcADl+ZX5sUzAuqAp
Ya+U6opYRht9gCDsZtxnIZotaEDdWYcl519J8X4TjFgvwJlRV8aKUzn1ivDJLkPYYXOEldwHsUSE
XTDemSHCzYhto2V8PXJlLmIskXAOSHl1Tkgm330OrC/ubthQWLQK/kz0VZobyKM2cbHX/ZYDvYnl
dPsISUF/90lVRjeFx+dOMJ6Ftj0sWZNtyDYixbllficOC0d4dJt3Oa3ZLO1o67R2EV5BEsD5VBOm
78azFSoADU1OJLnEiqINi1rUvPGZg8Z/t7oyIBMJNNoXt7L6sryGCLexytsbBngTaCUUTIc4ypDy
iKBM2vVYRMmzoieFkUkRgdjXzvO7Mij1Xe/2NvCsgH3D9bTlKUsCbYgNQLt66+cNmrtuiDjsiCh4
cTvLPtK9sglzZvhZpa8gkfPhD5SuORlgFOde+kzLw/IIiUXznKky/qwSzjoiiWougJZW9LUMOiT4
hBWx7mbG8+eXtlluFnALULrbtrwsY1rSizaKlUrlI67aoR92KYP9gfk8IHOE80HkOzfIthjbNB2B
N0xMswRkuJ/oJxwifGutYicCEC07Ft1cZ8dmbodPQvjMnfKX/DOdbH03XQfQq3KMndvFFDjhBulH
Tzok4BhpYo8tHfkl64Cic0R5cq0BQ5mvaYR5w9Ck6cqyn3ut6OfqpTHvPRxr2qiphxPIPpvidQn6
5MkKXW6QIZ2DrzQbrVci3dlNiwHfmlvjlx8m29PEq7ojHRw0WbPz+cv7KlF5sykpdpyNIH5OQLDJ
xIJXzndeZKt8vcrHXv8I3Mgb1x177InGkT5+DRAcTzSOmprZlV01HUFvVlxfQiKGxHWS6P0CagC4
Iwyt5ZLnYfWaToX7RcJL9xtXSuugVCz54Ob8AfeA+VlKx/wsbDd/5F4T8577sYICg7Pb7Osxp+p2
4XI9RqND+FakHLpKR04UN5Mz4/QTRdCFAEVsjc3EiaoH489oCU282HDz/VUnrlbrXi9fXI/QFwY7
pfCeHcwlOOsqkJFypKqKiGgFieF5J3IkWIUHBG38ws/vvekwbpItao9r8mNgyOzyRBdugLITvxEm
en7uMgfLKKG4BLP7gi+/C+aBWVBvOdVnMbNrinPIRlTzE2KOyRsGcHFRFfRb1GBVcCNJl3sBK7Sw
ten9NOWnDJMXthpTuvKjHHSMlVQ+UINh4kVzW8ouKinzxT1hVRsEKiyE0CtdFyPXTpWXgJLc9bMi
QbTjTK997cKuCGVqo3ycBxpxlDcpRoE6IT4lnARSXWvKLGbzWCzLuzLuKrgeQeauZmOGhylEF7/O
IZo8wnmzf/dTfpXjLouDdiQQV/+yXmjWwTcvcpMiYc9Pik9jWtOLZ8DS0zphm2wviMKDBpPFOmxC
yZke+9ZhjETPHJfWuSZfxbNfnDAEmJIoF0lIJcjAYy3d4ZlAFC93wLftOx6sMlz7nc6ahzYFtbhR
LJ87sgJi53uu4JzC0yvBCC2QuIpTNy+W9eyHFn884cIK18pqtbNVrtLBDTKZmL6scUKLxXig3kOj
BDgaQ7jGKldKq501WO6d7bMmrmt+p5vQAoDEKt2fPsmYK179gU3egWpf3USeU4DcSPvhSyepuR8t
7V99nYqOewzvcSdVSKAJliTDpc/BoEZDkrz/l4rkHzf9f73Zr/f23+//46+//VVxr3uBFwifRSp6
MHRg/3yvEx0uOclRzIY66y+lFSdH7m0Fbw9woJux8SnGsLqZMQKv/n9VqOfrp3r9EP8vVeHv4gOK
KYVfpdP//Av/UA26f3CZSJshiStIvgyQ5ZnfveYfFX8AGaYAQwaoUDkJfpP/KAOlz//loufjiZN/
QoX/owyUzh+u7zKB5NVyqNz88H8iG3Sp+P75ebE96Ts2X4WaU/JW//c6cERdnqcRTRo50ITQ4m8M
d85E2kMxLNz3fRMAwiL7AUfaphus4EiE2v1oWkZGaGmLm7ZI1b7yqvfWBinjhDABlloyOiTZIUTE
QXeOkMLlB1kNvf1QxcN8gLRDTLQFxhCA9XIlD57avKTEzACl9jaXMPww7Gj9gChhRjWIiWk/j/oK
AhhZ5w0e8SxZAvjAgcZGJx8W8DUA7jfDdVBx7ZM4rhMliTkBYHsYy+at8foHqpdkMw49L15M3Eqx
vMjcMJmKEvtWRQw+YxH3O1uhtDDdW+qoFvh81h+5tQ2xXnBpZhB4oWTaJvU5qckCiGv1zYxh2srR
hmmWof8NRPtUJOQ1zmF4douRbz+Z3xQ/cuM5H7rOe7JfgxvjIJWUhdlY3ljeuVib1pWdIEHLB2Za
bDmSXeBVwx4NASSvjjEJ943rk27VZi9OEIHGWcr61+yBfjJwKw+J9NQ+GJdbp7GSTWmVAzwhaCWu
Yv/a2SziQUDPP4TvzKeYBf2xLK2B4bEJj5Y/UMVBFGzWQ83oI4Q//Nzm3q+QmLQbjfJlF3adD8eA
LV20hB9oMO7hN45rYIEufHcc1xjQSRjHMIQtFtWLkWaBboUfmMXShXCo/Gyp+r2pBQ0ro8TwOLe1
pmvN1HriysNzPxxFgV8lsgYg8XVqGCXloP/roqFaTW/SznkPk5bwdkakNThplCbh9ZJCCsecHS5b
BjYmCLt38jkX+JRtcUhMC+CglXB6qFZZngRkmmn/IwMgwryBJAvrNi6cjVcQLZVTBEyD2MmmvzUY
N1vHv01qeYqr8tW3cBM1b1jVGYrBnss653nqrzQOxgiscBDCtR3Fp3cYPS+E44VDBInEcgBhQ4go
Y/L7ijU66WlDJ3nSEVrwxnn9i54KGaClhfJXpKYlLScafzTDcox4U+AqgiXjU8dS13HRLQ4WcuaB
GUE2Y8dCsMcahrIvONC4Bve9iMVXZvHoWYKw5T4eSAmwh2bn2SYDhNQySiU5Rd869sT4RbYemRdd
q7Y1duRteXWxaoPWD/g1TksGar0Y03MWCf+h0D1+qjDxf5l8vgtLjbqBeWoq6g1Z7s6mIeJsY0v2
Ui7D8S00uvLZq9HMlEjZwSPF2aVsGOQHrpxPBqA4yYsYXowYpv11pQZgZIAItEg9XTyZ3qLoGZ6W
OCYJFzRovw37DGhMf0XM6IPOBiDEZDU69RztPSQCaKXImViNQyFPQ+SgX6acEoUx+yRmYg3qh4ya
McPLoz6U3ypmZ619UGlOqTR307nrBqDYswoA4HkUb4PTIXD2F+shddkZ6DHjZGGIv04MGaFd6j/7
vNMLog9yV4J9SJr7MR7VNq+QN/tB+OgTzIuxUZEqje1gMyGi3YH84qjMpvg27QmGJcEtPLV4j+kP
UXDdEcGM0TDhHEhYWF9qwgEUzgaKO0hEqW/BpAy/G4gzZQOTFsnzu+x8cV6Y2s4cDGfGtPLQY7jm
645kMQcR+1er5IGlqyZ/YhyG+xH40y27fn1IphRUYIsLUKMDAzjd3iUEGT1jE2Kv7wRARSKt4MQ0
5sTCu9m2MP/2QvQ0NK5UyOomgRQQatl2LPVAae1BJEvY9HqZYOkwzorxVVWjoPW6sdgVUf/R0wq7
piRO17kvw/Jtnom4XJYfOSd+3JEF29jbDFadE6JdHxSX0bzOQn+d6XmN7RJqnt+vBr//9On7MWjz
bae3EU6OwXPviim4xGGKTgfuxTjwMtYPZR5023bGc4Z9ie4WeJ3QA1hehMjjqyFmTdImYwd/8PCP
ftVshldFYAEy5mebwuISs2pxDNRsuIr0A7QOAx0O2RyZ8zlmwXl22UFLSK8Tb1eaPKhE2PdhXYtb
ik+mc0U912uBEm8zT2zywqkGy8CJ+6OJg1/sfkiHt+UzSGSzl204AhEyFIeVcWEEyXa8GZ0xXmXo
EbfaTr55uAKCqLPc3ci2SWHd2eXWJUEXZLNHEiAvj/WKzQZHYN5F904Byynu+c4R6WM7xryDNOfs
JnR8SM5NfCh0np7Z+xVIUQNZ7pPZJCwZ2wBtexB/WH7uvPgk9XLEZYqkz65MWYOUKj1PwslPYRW1
Z3Skzk8N9GTSs/hEixKv4z7zP1nto9MdEh6a0HDxiwlHca9deeC24TzObS4eaAzzoa2K9gfilPAO
MXFz3/dsygjLBbwS+n61z5uy5XG7/jfGPr9rNhBXodqxG0JAzjpI/EuegZSy+vlYkiO14ig4JSQ5
vOF28ogbmFKYIgnvZdENDx1W0y3bFdTk1vK1LOhQOZQ6HIhs2W4Tp2dWwmG/AyL7VIMyhBCgiddh
XbVUyFZLhPkrd1ycYxygoUSC2m0t3y8/xzEJzzxY7zXzlxW/ophhRSjtY5sWeOI6GTwm5aDuitAl
saRfUKPb6V0UJG+kt+sjisC3SpZXEmLHu8Couutoz8yc2z9MNtlHnYfFYcAAt6vkVL+WJbuDgquY
X3rSni1kbGQ0pEtEtW+CW4RpeDYaLjFQ+dYunQlE4Aki9hCNFhIbpEiG4EtepuY+C0lHAKLBohG9
v7/yQtI3MwYfmUTvoDFTvvqhXOWMi0pic9EWf6RjVL8Rdk6oUxNMqDVozzYBuv11n8CyYpcbs3mR
xdYVwUOuFSPyvsz3Awz1LasXEDBFle4Hx5QvhLjDd2ERRdoO4F+CeaJNzxh/HxKqCiGcaq079zFd
b0t1uDGePKOIAgGpGT7ZsPxd+dTW5Tv+zieim8lxgualwTz1jBwTP7rETgQVOQCjhF0L4BEAOfbh
849lyeXrQPNbzum8D4s6+wrwsTIRGKpTXyXjpe4DVl01Nuz8GgpZpijUlsjcLb1jGUReTrGVTVAB
A40vuhvzV2V58llAgrj3G+g7gSNgdDZwixid1z8KPsXbMHb1JpWMpepR5ZthnPF7uIZFqgzHXeXA
P9MIKn/lLBxv2KGSpMMqgeRXkExR+RWLCXsvinkZNjuVm7vrWiu80sSwPLipf6iv2mr2qI9qWo5e
PoNIjo/+IBJqAG/bo9mCqXxys+BnOk2vRjaw8Wxoh8itMNPvkUYI3kwq3WC+Gndhs89JPR7KKHnJ
kFjMMPih1Q0PZsBdEMEJlml4ctA5BhFJhgaL3J7AucegwacCxKM3iIKqL3tQG+AcN3k1M7ITSfde
WsH7UEdgaiCijkH9PAbldzC7OwyouGB4WysT3EENNeult87VOO1FgAAZxlJSw5eqyBUFHcAEHrTp
VZoQuY+xicvfSLn8TT2p6dQOg7xt8sEGL+NnNz2A67vesOAqAm+TpdGfcBFKpVhRGqmkP1tsNBnT
+Pcqtt+snqt3KjG8ex7TjZqzjm8pLQ6YFl6rtGNnw65ttWAD5y6GUOvUe3ABaOrlDIcXjuk1EaEB
S8WKBihJH2/ybC7OTB3EgdQl50JeenaoFAlX05LsyNK+s2Bl5GzFOBxjWz9o6d3FE2OgzEzuHjdk
zoNEwiuQqfixBHHxYeaOZN88A0puD79FAjaIQeyVQh8PG6cbWEmhHbmfc/SlYYbHKFykuC9L704E
THZwPDIFy5wPlRbNjuIp+Z2lJG9x3mSfMGTvpmrkAFO8O+P4yh6zeg5JVCG8A1RwsidMBrkp31SZ
skjPgYowVpzusAz88isHRQ/hYnB2uEqFjS2dKSwpu5JYd3IPV/MIFt1u5M60Qp3nGsEEAotWkoMR
iVNa1b+joVcshmf3HIr4uXeZu0deDaGp/8wyLP0wlOCwsZfap05+dnUWf4QQYFHOgPZcUO2TbhE5
AWhgJoUfjI56jKFduhuDZZuL1GwpOwkLzguAuT2uFIVVCRpDUB7mzjsQYXP2WfE9gZl78ANs5qpq
H2qZPCVx8lMV+swIakIIk35iDUa6FKdbcmgOVlafuN8I2rKH9NRxBZ8hHDZHzqP0JhFMgoJe+xu7
tH2UZcVt1FO1hW217L0RpQ72fPEadRPCYa/2P6pW6LfOY0yroYELa5ONiA8pVrc12p6kkaiUNXGR
FMWeEYeCwX41dEgUuYD2xVVEaUIwL0NQ33gmfh7Zrp+mYH5wi/TT9yK4Y2WQ70ENfuCLW0WDZJ+b
f2DA69fNJBRgHdfeSQwzq77hLII+tMIrxc0Gq/OWoZi/avPiYnFQRpHNzl6Lg2N9jGigSmvcSeP5
h9Ql5qe0LpKB+4eekER2blYcA89QyVpkKcexRCa54JNPyfD7IRUPsCO7YOcLgjR6XLIQqCAqNY6N
RsH9GtLuKDC13bi2nd15SzFtQ5UTuV0NdNVu9xTmdDOYBK8b2+Y9YJN8CMbAPzCNLuhw8Nu1mcPh
Gi4XYZXPCBZBnXgNyxws8vw8J5G2L0z10nVnjSgnjcdAO6WPu0GUTUdFfV9tWAXAp+P1XIWiywDO
2yWFcuk943UqQAU5PfWXax11X/TgPVR1aymJFrNn7qZVyds9zC3EpWWBdjkmoADTK9WyQBxEBLeb
XNIGx3VLUDo+d2oOBJHjbc09/zuE6nOYtU3ajJ3O5P/5z7C3moNwC2JLSef+Ad3A3bZLWv3umCNj
25urnZq8fINgs0T2gr87hA2wEa6IOHREvqtJFPjZYnN+a0Q5fLCGvMZMy9+ZO7CbCZCCLaCTdwxR
c3boYbxLyoCNWGLXh94jhkhNXDu1SZqTHcz1LkLcuV3KZfnMk8baY38j+GZu0D9GhdU88quBRVAQ
sBhHKfTU2Z/YVQ8tFLpqVE/ekDHj9kmqgakikJYrqDqdNZUHPcLqnIep4jczd3Bz5XARY9tcaMCD
W3RcZmUTanEzWQnkPcS++FgHxiAZbvV26qlA6nphnt7E22rp5l2h/PQYpJb9A5hxeo4K9CulpfJz
Bmef0T1ktSjrT1kUo4PsrHL82SIJvNVTSJKwXdvH2UaeitSo8YNvqaHnB7Hf8OqwxF9VE8kMQ+Xe
ux1rezmaydtqlWV8grOmY2bi/+mpttlTwlQ4NuzkoKD3PQ7J8lPY5Tk2Q3uHSyjYijrnwYwVVqla
O7/aqItwyGZc/74E2bXKK7Jw1vXUF09TMX0ihyBNik3tU9GLaziHIi80jKM3x3KJ/iAUwGxc2up/
o+48luNmti77RLgBIGGnVYXyZNGIdpIhiSS8TyABPH0vqE1096Aj/mFP7uCLK1Gsgjm5z95rr8d5
/umJUUZlVc8IfT2iC/AY/54abgJEeUzPXiAZt32afTjg3IXIyJsYoMhK3cnsDwkt/hh7auQB1fCx
OekH8SJATdL8I925xsVTtBfmzTXjt6S/VVM8J3L+MOhZgbtAHyhZoV07Al2LvflswFTcmRgZGEVH
C6tPC+NtLgP/OPoZmJ7cYAvkTFZAwNKgCbrVRYxVNaDsQVKOtrN6C//bjGihRjM4evVQvInBSo54
ytgEZ9Zy6bi2LxJ5/pbHzvSU0qT1FhTmrWsbOgf6RvJcbhc21ViwvNWvkkaG20gc5oD4tLmMXITL
fO/6ucuZrkoe67otz+YCM9iJDUxFoc0r0SVQxP2gvtFmJDUO03KmcM0+ysHoiNrpi5cJ42CSEbjN
dKpAvNi2VbAXNHfT+DtRI1/VPzVjGisC5oQt7mgQDSHVbN1COneYwdIjFMJeM3vj1Fmcef9JzFBl
Rbu1jRgOQy8b6OoWB8kJ1qGucdfgNdGYNANNO1u4pymU/qeWeiT46q3pM2/nNPu0oYBvYTTTMxu1
+NpP0t4PhoxPVEHRLcE55MMjqVMosRw7ekcvpQaFw+j74JnWfZ74xa/G7TkvNSnKSaODk+cWDJ6T
L2DqtBgvsWffeRMlqUrNMIKLdL7VxJ1DDqH2wW5UucvsWG5ypzsOxkJXMDyGvQvgbEcS87dp+1/U
yH8UCUW3Od7N0mw/rEIYGOk97qYJN2+bWEgSvYSLmo0QgYu8gHfuJJ/Ykbb0O5GYpEnuTLXjDnOC
QxwxW6xHZ6rXEphlD7MTwxJp0oOwAtzhVvsYpvj0lLpBQr4zl+amQybh2Ywjp8WD76CykKGzeWw1
Q+SVwyuXNGfHxH0s2QJtZGi+czA7h5oh3AfYhN3gULOm+UG+QA42nqsSV3A9tfGXBC2b4jXY03ZN
k8DSYYbiCf5mmeFZjc6T6UIthWX4Q29FGCGcV6+wEf2NY1ZQgxdQgy2RD6vK5F7q1VeGSbYrpH7z
OipVlI01YJsVBPVGECeelXw0KCm6IZkVVDDhz7UBPMrggwyL8Ke16z3ayBYyhb01iSLCuOsvvic6
jvXNeO8py2MT7JdnQXRxCdxrkKzAMVpRt+0wP8+LpaI5nt+dzoUea1Y/Fr7Kmk7SQ9qQK8e2CjVG
BweN+HxMs6q9TOxlo7FJztDwh7u5L/WRZDzPFADNlzz0yf9o+WWjbWp6SeATtb9ir4BxkxbCuuiy
/8PR3MIziU7Q58S0sjmlpMedtzXjL617Y+o8dEDFCCmmabI6Od1qvvaDmXfItRn4vUFjpBS+Sm9m
uvDI6WZL9HcEcep9D3gKZCnLZDS4fACqMjdjUv6B/pKTVS1Zq9I1Nwgbr3ccrImphabXuB1BPULi
WehWdA1OBVq6cru0RfPlqdC5r7PYyM8yyChtgEkYfFij6AmIomWS0ulCat7tLv2jMppt7T7W29Eg
GoNcTWSzySv1Cm2yZCs7faqYzBXXypvJyhjkH0+4c0CA1V0t2DlVpzwykNlYdpP5q8Lnym/jrTMJ
k8bU3OReVeF9HPfls67y5LLgNVk9qy7b5ESaO7ASaxqceBfzfGbtCc771NJwzAvMOLmYDc0IYGC8
Uygs0i0ZRD7aGR4HCC0QMj6bxC1QVJYzHm9YnHQVzv6Xoi2JfT75PXP+HtKsfGtgyFyVI8/8Vd1Z
DJW/b4AdUVYDEDucaVmQC0DPpeNxFiZNsJ1psTqYvf6EE/SorDE7LU1Jleqs4yfAczuXLRXB0TWy
RBjsRcqMUaRhuyvZdNnMXzxcdXZY3D7KfejMuVOcx5yDnhVbQJ+ycYfVa46IlmdgXVlq0PhawxaX
wY4C7Cer9ZDckkcac8O/hASm3/1sYARaeP2xrXeJyixUbWK+iHe2Vrghx0oOj+UwP7Cp5qkh1lEl
9+6xoOsIhzk3sa4LzSRnH0S6JKee2mpONy9co8TqYS/WwvxIYAL7QfxrCJZTV4WPVaLFD5oXxmgD
gMiaSBjukiovosEouSqk2/0K5om2PtP8ijURpWKknmWjBfAPJ+W3khCxJr+5h7P47Sy8jEFbi1vH
PsfxaBfRAKFQ7hcoeBQTT9shcJdP9PYqsqZq5tLOof0yjNDwjjfBGxJ2NLnlHgeMp7XXT1tioB4u
f6oCDHWSvWQxFHJm5mkPUmEEEDbmrfVqTSK4zXUynNo68B5UqYktyXLYe2NMqVoTUwwzdfnemXzv
PTRqjyeMKX+GvFiNsKXxnhUw6xdnxt+CG6J6ytuheGePRnsxwyzH4+qun9IfTKXbtiCj0NQYEmLg
IynRoJFhK84b64STBR6THA5NXX0FXOe84Gk0JFjR0uBkp2xP8opsvaw5UKulDbGv1r9CIitI3gxB
dRp88SIsorSBSmYt9GzI6i4T7gx6voK7afbdswMH7W79MhXkhK3bCWej2uLJJELIhbeQtwGbGOhC
gtQzCvpD6b2gwm0hcNFUBzKDsFBGQNo0l5x6D/96XVKN7vgv3lSddbJsSHix13QRthP8uIoSnH1b
dq8B26Eo53Nndobogg2IVWtrPPgOUEruDae82VM5cuYmpQd7cUOZx0zTYKA/Gc8fVToW92lbLq8Q
c/7Zz+XO0W79VJVAdqc8d1YhPYuAryVX7avkqZ0zTBqsqR5NW0BtVjUpujE8tlRq7qsphuWQmgba
DwH/Xz1jI5UGEqdNGRqnQIXZM3WK/Z7LcFBrB8W0xSY577HjNvSNk6YwtUeHl9cq0rD2X96d9oEU
Gm/7jkXmSt/PwJfKg2rTZxEY3kWUGEq8Lr82yQiDrUmYbov+NV5WLY4umt5rv21LnSxaj/ZzmTYv
XRLc0ZsjdkHNNEOlgA2HsJZ0arn2b/AlIuqmgNK62Lq3wUH8pTjexVEnii1QqYLgEwdD1Zg1fI6w
ug+81L3Imdd/Q1rAKQnW8w8/xz0poXxdZlFqTwFdDuxmXCrnEhaYDMeS8rgme1PQ5Nlq+bzNhLqr
idKfW6/VxwaGqTGp6hdnRGDx2v5lUFu3adz6obJ6Sj3Iwm3isHcppiQwPsysrRLAtE6Hj0cIidJb
DmSSGGx54UgOTMb0F3Nciq2lUvLRqyHwN0ZlHjoU4Nwzvgyc5vxqwGHJM0Joz1qW3lXX/kO8O+yH
2+nOadnjwrR4VcPwrbQCHlhxYO8LDgh1/U74e2YIQJe1C9E/JMu0nbrkHEodqV5imbZYZyMgb0mu
/WoTUgEqu7StFxLWyPTyGC+Zd88IUEeL3QmKUWhMzDXUWSvdpBaPV9nR9aLKGHL2IHe+x1WWK7YT
GA95j4r+pMaCk9rwGI5efk57kAkj3SytlwIFcE02o6vnuwE7ude6ZBHsOy8gbaji0kZ2ky0+Mr8j
2Qy/q0MjrQQUjAmFOeSwNKXzR8kCI+YuPfEJQXqgDMOnfoUjCuwEuwzhwLMDdFjZHHUvnQMxi+Fr
zogY9lOsCJEsDRMsGLAoqyf0U1uqyK1wo0MOJBmbLv6nizp4sfoR+Vp5+56UxMQlg8wt8F8xiwR1
5zwHkAXYXk/N0VG1h0muWqtkwCy0qaWYlzCiQmQG4zFX1sZsUYIV1NRjU1oP+GK7y0BaapdAiNmF
KYkc3NJmsOKd1B8Aks4xzLwPvT7uckl0llII1hcei8eysoG21wWIcsuOL9LvztZSGbgQUSvz4KMH
wca/Co8llllo3nKI2pQnLf0p4g42SETPxDFOuq8ehGUPc1ZN7SFTxZNPDCYfL6ht28TG2NByi6fs
fS3SObJ5t/iC0gULfVbcuUFB85v1XjSoy0H7bIDm3xDcYpQhqOyiBSva4m1MzdpGam3tA/m3jTda
92oK9L4eAT7boX7jdj1rE2Z6QAvJ3Ngn5FrUtZFQy7grxyrKuI+qNo8a+LKTNtfbn60wXrxKEXfN
S4GsQL6pb3hSLwPkidI+kf8lI2r98Ynw2Nwp2Rr6i02uT4gjAkB3CyWZ4i94KKo9LBrMZ0hwKKCH
bekQG8CAWD7BHj5mj2w/ON0DNJDltNSOdSPySUiaLpD0pSZmshkMRQVCQZkPqunDyNH5kAPZuU8U
JSG6GY6Zy64IjYnP0DRfFm0cknqqHmIjVVtrCHhcOUFys2GY7JqQintMNfPOVgP4U4kwlaMx3lna
/vT9FFNIbeUn7g0nv6Zx2T4ALSWmQ2MEyZOBcwBsl63Z938mz2VHa9a3BUcwxHZP8x53XigO4eGV
JsU7bwvcAlWN6zuT4SHpqAzt2RA2bVJEhdksuADN76By5lvqNwQLp37gKJnOO4ccBvq1770tJeER
XbDlQ1in5/jg1YA2M58DufiAjEQpc3UIST3ZnDaqADlC6GbNxLFgJ6uY81iM3No6Sr/dOZ7HxxGk
X5xioq6tDz6G4GOc9megum0U5NOyi9MBZ3svM1pPBPgfgUj2Hs7WSaQ2K2q9y+CLbNzVwWrZ04mO
Eez863Mx+57bcJ+AEdGjl/CoTZftYoo7nyrZADwitJ3kGReKe7BbuyIpko53nufsXROZn+4S3zKs
x54zHmed4CmniMVwYEcXExItlsMtMOSB7R4TbJeGD3wTxq3h2ECgsOfYrWQXHAaYifjc+9S+xwvJ
vwI5qzGHnY+Jq/kRHPJYKJZTAFXEhNQwzw4WbrCZbsIaYArTel0Hv7AXv5C2Gwl881rLxNpIUATx
NTSK51DLEiqi225dj9JipBpOarAPmGSI/oniEnPerzO5NTPvATPszU/bp8VIYQuNh6mPD0HnPaSO
/2SnpaDxNTFo8oLMSZbtObYBWcSEByIrA9xM1Ge5VE4LIdbk+9pMbmL++FZAgs4y/O7NAp4QmVYi
wq0rguylsniXHcYkiQHgVKQIcLUjgS+tuDdZ+6FY+4+w37YS7HXZDMgzFm892EFxpDNKheFsetSu
Ja6JIu23dYJp2Q7pOBi5I3eYZRfvV7h2PNYJqPxujM2XCSZmtuPU74Y7fji3s1vje3aLnDvd9Jq9
q5b6MQ/K+Mw06e+rUKyKlslzCXZO/A3fDQeeDDZzt+xqVdgQJnP6iVunjPxV5aSWhobYmYEIv9m9
2/vFtjetm18DXMOOA/HOoGQqlM8A2tZHrCAa59jxyU/i7i7BwEjrQDijKmVvZTon1KWoN/zZnBAE
ZqW6I0g7F2tgjxVERqEJ5q5vkxqjRdspZKZgjkTfovgvAgB+ONKy4WUEVvvGBJrp/mLafzB5DBEs
ecy44LaJ7M5NUd+bk33z8/plVUP3PX62E8GscCs01HlTsCoA783Cq07Dl3ma4MlNxn2X2zwUCELv
KOfqWad3T9jMWG4u0YT2DnokBtSx3II8BpiwLorHRexqSzxZxhwhklJRbBa/8grzggkBrDbkws6Y
7l+foga41SSlCahBr1M0d+HY7437plfJwUjCwYA1B2Asqec/Jb7qHTUGIXUQQwy2B50tUy2QkTX9
S646inu80dqf6yfmSe/iD+bA26cyrtDl3UNh/7ulaA1vnNamYzKLt0M4PVfzilUx20MaTFPkS5O0
SQJQeyRxwXQWsxEfMTrXA+GWwoKG5YsUMjY9bPs5pY8t9NtL09TGoctrRfVl6QONKsqPeABV5lN3
d61SJr620e+NJ/Qxc0xquWVPoD+mRmZYuuXA6i64T/v2e2SzQKw71hEA7/TBGHueaTyfKSMyoz6U
f8tqYKZLYjh0fX80xlCThlwnV4epDLlGXkNTf7KG7Y+YNXl9kinZGQLgXwVkje5cD6F+0fEDsDSc
LRTs7fKB5YuE+HKPmQ5kgN1Mv3qmljM/6yUVqbtbMKIeercx6V4n/kxlktNFLok6aBgwzT1/zH8x
6U/bGSGZSLUIH4CldI9tDYtshufLtyqdP3Fn6gvu+uUOMDSRIw86bBQGkpCi1zAahQPlA9YwYAQo
s0dRuPaF45C+a+wwII2H24UmstlXu8BrIa1QAAcqLVdfunQbjtOZDH65o/3AGLkEu0qNtINPqWJj
CnjZaN7npKMiJcfhVkAkLEyQJZp2JW7+eGfwr4eC7pJeBZ3/Uzd20n42Erj/tsDn+2OPrctDDU/X
JglnQW2662DOTZLJuvSiB4eUN/1dB7Ik3at59YAUXKTgw2oRP+R2vTw2doVIQ4aNYayGdZwQ9kia
tR6FsgDGjZRBJl1KM1gf0bhTuzZqROMT8ObOIA7wt3FnRck6sf+uxHVPUxtTm5Nk/dH16Ftbgge7
oobc57ySDkv4OAAC2GFtNS9Ox7IsclI4X6fc0VbIaRJ3iIHatwvz6SKF/aupw+KWaMahecyv2gmb
R2u0B4qvh99169wochKbDJY8WSK7PZc5JX+Q1blf65VtGCOiJQ5/s4ekCJHaurNUeooNcGAysB5E
Ns3Hsa6hdfjA+RDi/fE9YaalCisSNOX1aryYfDtp1v6uw/gt4zVuJkm/Qw24Sjha01BEpo3Kx2wY
0StBqsYajXw/8HaEmu2J+NzGAwTWyU055MzGZQH0vMtU4hyYggLa4rS4xJnLz5zYmLNBGj/tft43
tSlhVWiApQmllUTliyhkIXimKtt9gkVBfTqwHet372cDLodGjq8LAY87XcnstyJqtUtmENO7Tkh4
cIIeb8VwCx8w7eSVVkH1zgD2KIKWymdcIdS/xEA+ck4um6ysM95sQ/btlWkeIXc/1cKhbNSdb4lt
ftcubOrGOJnZeDWzGlzLdN8247bXHXY+52rU3bOs3D8Bmy9mCodzI5gPAAqBNIjbG82LZ7Mo3mDO
vocaRN9eCx/DGcrskIFDbMaJlza+eQJcQzAVwe+i81kTCEX/T7dU1IwQZPuYFJNdEqdEgTp7pEPc
KE5CV25k2zQV1JV1G3Q3EDxGj7x6GiF6w+E+/kjWULNT1N4rgbxlk09VcUI1gaeQCuZh3om+Vrcy
Me2XMi8Y7EHTrvNTcvGTkFK1ESaLMAz7A9H1CbBce/YLbg8OCMZXObgGnva0Dl/Khsskr2eCX02Q
HSe3IqtXiuU9SW1kDxbI39gp6junnLNfKb5ZlhSGcarsls+jsX6Prv0XGlYJ273KbnQpfgzF4Nxx
XJnfTBsoDxbq7nHGCgSkwmPTzxnhNDRtezPJGT/oFGIaCaHs2vPh3ngqs8noigI9m28y7yp98rM8
/wMxG1cwNo1wIuvjDIh+Yu6Ga2UvyX1pzGUUl91u9uIs6joLSBLFO2/Z5P/JklFdRo367BW4uinA
tO4zdw6pWgQVqeJcH/O2EJ9x1U87n3zQM/frlp0p/QcwiE+4o68QKn7oMj8tKlaXmW5MLCZjNh+L
oYE/7jrTt67wg6XFXCEygf+SQ7dCLr4Mf1RRnzb1Yzg0lAPnKuWNZRWP/jgjNZoBJUp1EaJft7P3
nNX8xVSRUGRu1v3O9vM3jJvup3LyfN41dDT2Khi+fB5weDxc+ElYWjMQkQkiVb9YzQEiAEBJzeBq
iexPHRusFbRDE1TSf/dFKhVtCHm5r43Bf+YEZkeWF8Obz/h00rT5zEYWjtpIuW0CKoGbcn6pDUJ9
IfLQNnRJ18OZuEcPci6Ckw8+A+79OVs+qNOm7tKcwx7/YvXsWzDXoQB487HX3mcyhOG1XJcewVRV
L2XhOZslBrG6jHypVY4Pxfdjnt/p+F17gqSnXRKdrdGEl8q090KtVdUDpTAHIVW6q4Sx7HVv4rov
k8I/qtpFfplEX0V4x8qjGEeX7ToZLw1g4IOzB/tj5Z0sMVxUC9+c/akzHD3TlRcIG87BVwa11xxk
UT8s+GElIdHBomUSFiPldn5AJIKAVpBQXp9r/9BXgFx1bUfQfMhATLyBvCwJHuSiLHwnlLNxVyws
pRb5ywZX9bcKQqi3CUZLRoYC4leQ0feNA9tk6PqNKxBvpI0A7CO0M/tZ87XFQBW5XcKbMLbeRqpO
6TMM8fdqlEae3Wb8iW7CcOR15nPJOn8bG3G47T2vfyr68BwKUW9hQN/VfvI3XQDAs57MrqxHOeDR
bRFl2Cdoj6g48wi/845UMyxRg09iO075X7Igr03KWZjMNca5djjBV5yOyqDxY1pca1/38y8ATfPr
lBg37NgI0yD+h3Rly9Tmx0j+jzIGiEupudqJW1COVXVfFc5zGFpQx/y+gs5WgtEg24Pc7hKLE/Gh
qqQZweh4snlVP+o+7w+l4ZAhTsBTATOrzU2AN4ryxkK/2FXziP/A3WaoiPho153sjCJrZnMIAyK/
Z6sQ6ZYu8PbfBVJVLslOnvJpPy9RDSx6a6+woTBDbdyoIFiLX3sgpLSP0Ma2d9PO24WDACNqmeqE
qzM9Mm/z6PGW4JWAlcP7rEXSq4322NLkvg09EOB43cmSGNAZ3S5zr4niugxisgZ4cBUgZb8T1V8M
Nf4xJdQZlz3Hpjq/M43UvB8Gw9omrSP5XOyZxHfl7UPiitvaZarBJ8KOVw08czDlTqLNdzE5R65U
zrleT+dFZjUP2m7FrQ+w3Yt4XgOVahpeMZLrYzc205Xxq2PHZvxdxmTVhyxBt3Bza/qWeWfOSrSl
dd6Ky4miGaGvdMPO9/8yaf8lZsP/bzQG8f+mMQxF/LtL/w/+wvon/nvwzg7+45mk6rjp/uXkVvT+
/wje2f8Rrm85IRA9y3HJ5v2v4J3j/Me2XM74pu2ErCEc0nr/k79A8E64Hn8KZH/g+dZ/KXgX2P83
fwHuA1erxb+RH+SY//gM/xt/wdGpBBbARaTjOLsBIbV3rsGEToC3Ng8MR1iiZt493B9DbVuULQek
XHIxEGBPTU7hHgRbiz25m993Tir77YxvisaRpbTkNqOM6d1yDBIgblcTxLDoiQVnyX/2t/nkArFR
Nji+UwOn+WkBQg9yC7CM2sl/m5IksYLHwXB9Y2NNtkftalez9q7sAm+4CGNMSBbfDiPZ9Jols7wq
ufBjWXLnctM17G9Pvlv4tPZKlijUKg05hXPsn1us4Lp6G0sq03z3Zovylrjq3aDUY9LBnQHnNkfT
DsseM3G+X7fNLpEvO54iaZdR0kxHWZFW6K0j/z9c/JkYo2JaffYB5zM8dkI9TKEp/rj2K9BXVq9m
Qg0RuiV+9W0ju4hs5RER63er/Htp6F0VZJemDVmtTsxMXg14RUWLxZ8cfI09uAHaAKJ/4pgD/hmp
ARmD/4kwZHWgPwMTsIGY+SPAMGRibBvyyv4g3smO7OeqPKkgbKy90aIxB8txSnmXGEgsdmsZ3/NC
XMKaylcqDvYq7x5Tr/4T48XZeA0aMFjKUxOAZqK6uLGgMOW/nKXdp4OT4GRMHvvF3KuiOLnN+Eh5
1ZaP973zXjNSGrXxEQdiT8UB5iTg7gIOkvLuMH/xIU34lms61YSO3wMe53u3B3QYxOZz4kO6nl9G
oPV2mhwAGWIEHBAP2B2Aoh7w/+Qh7l8qcHPFMzmPUhfTn4TQsWntSz1np3J2HhwZwkwlt+SkUY0D
r7A161DvyTOLi68t4gWr7BEOfHLpStMpt2x6d6mPMaknmGZxXnL3S/YKm3pvecTmiU+lg/3CkvbS
K+cQhwXGQOPTq/27usmTQ97+ZTV5c6mWjRmQUr611O8f+riLps59YqH1MzgYVKb+1WHad1iu7QCx
73yjiCynuSFg7Hpsnhl9jhP2BacM/Wi2xQlNiqXwmvJ6CthTGJwAR/kktbHN+ypmtVk8hIAvXhKN
JXwiL1LI4ujlI0tTbOm+2QAmMs6eTNuPrr0b2MhscFS5JKe6V4P/m21gDpzlcCvrZDsV89UPQI2W
I9v7ILvF2IRscrUzjKyumk3ShSbgzaKl9afUVNpZHqSBotxbaXpxW7lFJesjmEQpCUo28IV/chNI
TgjEtmw4W+NrMtPgXqOfjHF6RzXb0WyKM3iOaaOV9+A306nDa1ybM69cSXaBCZNlUL8NdX5PHuZk
jxyjPfdnAqrJomI/coXYRklZFR7Eoru3Pd3eckOFD2LBzNZTNFaeJzY/G9u2d+OcPOfe4iOSNY/E
Ui5ikGA8Mm1CHUSz7Ypvr2tJD8vtGnNQxUz5rlmz+84/oKo5m24g/ujMAOs9E5/BkG9ZYh4TwSda
sF9mkVbj8SZheKhibFIc8qiquGlcEyqBo453eaJIA//yQB4Zw7ff5s+Z5T2XiutP2i8utXcy7w6F
5FcP4rNvlaxE+k1qAKsk/ZZeUFseJnpI5mm5E3VyNYeJvDJqFVxNitVOCbUDveMcbYoYk9yDJSxG
+jd5MDDyc+P+TIRl6D0kJ6iOFtMr+cetVT4y+oAUw7YLGjyhOl1fHDnf7L49e0CzQpBsnWVeghmb
mIu71MlO7Dz5enLviEsaRsPcYkNWM4FME4P7SPuDiRMkqN0/rO1RgQJ+pZDThud1d2aB0SNLz75h
3ZlWi3sLIJmff3cQx94a0Xk8ueO9jbuAHc9Vmtmns8ZD0+RUoke0zvJMpPIuceItFTHTWleGJHvG
1M/lVLVbZ3D3BTjaCfO8WYifJaj37uyWO15r03H2GJYYnaY+iMC0v/m52ocljK4+0Vd/8E7CVLie
4S/X2t/yDdC6EAZgsv2z8ofH2mmv6+NoksmOihX7NDnfhgy3o4v+DbBuQnY2K0i66QNAIZi1cAlT
8uSdD4h73dIuxs8k71hfnB0y7kOQXVlNsFyvO/p3+drFdK/BV3Mkym+TnBFdSlw8nAsATTyA2oWh
CDyoXp7S5r1sm+mvn0xHp34OOuIMYUrjoHnXKqPc9RBp+01olTNY3amGbB5MNSkpgr489nylRw7+
tay/FOrQe6JV84ZZeKD6tKNci+ShCBEVM00CqO55tYSe1X2hl3Sv0xIWb7it1hKB0XUfJpT+HtoQ
CAuWGf1bN5fun7niR29ISMwc4LK+uroiY63Y5oq7Edeki2sf61ijO4o8aIdf6DpMbIT0sBzBI9L7
QqFskfR/Qsqvn8XQuwX7Xsu8inomz5/JDhohHt0w3RccxuB/NqGmuxWYbzRNZv7dOz5JAtTZ7kp8
WFLL0A98CCMIQA5ZDXf4tS6c8pvFsP7ri85M7kMv8AjRzS1SdIgiemjJLhPY8I1mOCQBQe2937Ea
OWJbwy9fwUR3yPI5srtM/Szelaf4bZmQcCq2bJc28+RAr0o5JaA16LGsr0U5ZOkJL6LXU2Hh58Gd
BY0NnNSSW4/F0JHWlDkuACgqRoAJ2e81G0D2twbHISgj1yUjj3vQkypBhfCwJYmB9CEJhnE+xKpg
Gk40YcOTO4OQBU8DEimEEaxx9jYw6nH4B4G/3ux5Q8tQskgTECbRSiPKhmkuMW+sZtiACPzRH0H6
Qt6m/mCDR6cIrmOW6XSFPvpexOqn1vd6SpBYQ6vxqq0KlOoP/thn8taUTue956mriq1gqF3YNQ4c
ZPoRBigShqXqh9xdOAiXPXiYOxIfCU8R5bGXRr2o3qmgmxR2rbYfwXeyN+K38nFxobd6SbSkNRkC
EomIxL1JQcK+GAyTOtSQHefWsR13ObI4mbJoDMFiba2a2BNK8EJInPvH1HCww+XHcoRX3nRgYjXg
y1erk5lwyAnjaA/cchAQwv3RHW6I7eJF1qsQkzddU+2bBqXw6Gn+KsyIcobO5UjuGC8w0vikZLoq
JRXb2kPbs5b6KEoKC2nMZEeJKD8N3s4IUIwA08rqgWt2ac5YcGYCL+SMzoq9rMFZrUZgYkGpmotY
5uwNGFJDdIiXS3d08Zu8kVMcr7KlqnFjh8VwLuPCo97RFDjA/ZhPGXm6J+ZCW8W4bl3QOSSTOw8T
U6XTVnWoNCewXkOxmmx93CXeBHsKecT57KqM1p4sHqG8m+YMeKioyAyLbPQuw9RgUtVG7l01Nyb8
YZlAT+BQQeDHsAZwxUTDEfRiu8Phw36bEI2bIj1uQ8Ze/gtpzmbXTr6a9iLQNvJK0gVrJEWsROxQ
9J/zAJGfqkqpKQJNiQBvg0xCp+blQ2OmdHD3bjCfJdi0RIIe6UkPg4pft/TRx8VSf5V9O/4ZBAo3
buABJqfopXtNUea++zYmTTp6XC1kEkc5gOeEpWrZz23IX26VCTsCM0vM59wVfEtJUZTHoQhdEJmC
OYldkX5z8E1R6aQmPPZ9Vu/6TNt/XATykjFQrwgJbaU4OWMYziMzHxZMWRXQbcs0PUDINR5nu1zI
hNEy9eH6r7S4sCIpneFLsbx3790kHR7zsROoWTGG803gxeFfBys6oGWc6Tey5arcJuC7yEdancRG
4/N2NoqBTTofsPfsN474S2UCcSJbuwp8iambvwEAqC6SbVeLQylZ8260KYHMsZWmuZqsykLivUSI
x4ntbxmUeN6GeK1BLwbix5VafJG3Z7FktJP4tLVws0g5foD/cvaIfTt5onnq0YBYsqoNrB8Wd8j3
ohnRSpEVc8b1pfYwc5GXYUhwWxZAS177T3VPwAK+cN7/nfqVvubrga9PtR7wWnQmviQaN3glmSHn
JGHPJHgCrATKL4on0bU0t6Al44qrqeZut3TxSq4mP+TFiwUQe4NdropbX00tr+TFcs40ZRM+wdEU
Q9IOcr2fGz+gE2GUxrTTom4fE3wB5E6GLPlsvS78soz/xt157UaObNv2i9hgMMgIEri4D2nlVVIZ
VdULoXL03vPrz6D6oLcypZ2Jfj3oh0aj0MWkCbfWnGPS/NnwqEtYgJNb0+QLoMispBr6eEcnbHxM
CQ9/4PzcPRvTgACwZCBHW2itNZ0w5my9DUO/uESWVAMJ9i06auTV1iNzpAPzUGc4c1f0yWZ7O5uU
p1cCcy4WRTpl92WhHGQaiuLYOs1qpOfkTkX2+t9XbP5vUjYVWMv/zlPa/M6z5zp5zVNa/oe/yzrC
+YsCDXQUJTykd57+B6vp/mVq16IASBKj0KwU/ynrOPov7Vj8mWUBxLL51z9lHcf+i7/O8rzFtedR
DxL/hqdEtekVfIupypVcmStZNkGMjFX+/FVRB1UjHX8kaBSqiTX1KjCNfltiEYiq4uLVM3mH87Vw
vP7D+Xq5lCvgP8EJFUJKd6kvvbpUEml/tjsWY0tybuJyFi7/JrkZdZ/fhGZQ7oc6Sz/HJWKeMurD
y9OXXwprb66vqWEt6FACLpdK2evrIy2Y/CyYSTewwUV/EFbogqLAubCjIpODBrZjFa8kso3bCSrS
70CAXaH7HIiPWvb6ZxBr/wNVuBo7azoxX2Oyr7C7CHbpRNUbmdhZc5zle43G8081ECUDsjFEblG5
PNbaSDOEJn1BYSGsq5wNfcEql1kEW9LZaMXHAIBnALyw8n+ALOifaFBYn3FL5bdez6S9JSYo/Hz6
oQjB1/f2qdiAWm2Sq6VUy1N79Vam0sRUhXRzPUQeO+2Out9z3jtQ1afSgX5iYGt84uwlntNGIQIB
90qKeVmgq2c9kdWvmcRi/AChjzg5TMERNJQyfjZiRLaEaibz12Q2upoOReDEe3ay8icFOkfsWbna
T35rAfAI4zT94XRhRcwF+v7xwm3L4uvYubQnIuVPjw4CcGzbbjguadoGgdWeC/4k7iZkFIlusq3B
XQx3VPbDu57jlHXV2LRK79lgxMnORHTdXHJ8WEILY+K7iSIoVbcZlQW8IhmQB0CvsMN6E2bRqNce
/pRnM0VEu4IHjoKn6SytbjkTamPTNNL97gvm/QvaJkO5ZR4nvSSqR60hJHkRu425az/idAyCDxJ8
DpEklRs+61pb6sIqLAdbJKavfq1qza6/afK52ibtgnApG/T3G8IPKHeEdWSSEupEbOkp1SHMqObe
7jglo/Cy2dOOZrVp5yGRNwRlefq68X1izwhVSR8jtMbmFmlRLjYWTn32Ki6N5wvgzJ71kxtWzjWi
bkj/mlU5eoDeoIdbAto88uoit4x2Eb1hIDh8FbSzTOqol76UiML9PmmsbYteJL+PBWBH9PsUb7HO
DKlkhRP1vaXyudhI8nK89QD+FrO0T8jJj262w2hnt1IHa14SxOiYFJlFceXBudCJh17fzKG6opiI
6xKiDvY9IwEJvyO8z+w3pz/+9yYkGrPkiEt8fqbDlP36029o8Ca9CbMVJJq3VyGHs0Y1lIIAfMAo
HdpxO/dGsevB5xBD1Pl/Tl9fvR16nq1tUy0JvUovC8Pr67fCCCLMDf26JKRsC+rcvgbdFF1ZdiYI
m/Dim9PXE+/MgJ5DztciNmD1cBay3quxrvAYcuixO2SpqJZaG0FoPeZQCurCfe6qETOZNdub1kEE
NlW9eZlWpfxRDDT+d+NEoTJDqbubMdNeE8kd/C+OEbz2f5DPr0GQS+zw0Vxkm5Zrew7CNFoMcgkM
fvX7rMz0xqrCuk2ONQxpb6JBy6FkO5gkNK2g4lCGBY51kfeZ5nQ6WmItWxvzY2a0+4aj3JkVa1kR
Dlcs1mvTwZRNJLKWS9vl9e/JjSY3aQeba5S9lMr6eAgolC/drzMv5u0k7LBHIOzF9oBhOs7RJCzK
xBmwoRO7UQz9BydtjWZbwYL/ndmN/m1QgaFzHTsKMUAdsh0Eu8xqbasQybfoBuTMST0NXyuySTC4
UY40KROTw5kZ1HM2XZFxgD/9k99+uxSmaQeh++PBsA85fDSuox1i9JZf3M/lDyGLZu+PfraLYA5+
jNCu7U9f701YtGk7rqUs5EeW6TJkjgYrFveiCwxrsT+k9heUbp5a0XkdyCwPkEKqaoDvkdHigQ6U
JF+GoUa6OKBz3J3+IYffBFsXNi+mFFCbhWMitDoatOHslKIUMQVD1xgeUtclbLJPpk+nryLeuwzk
2KXXp1zNNu3w+YI8ZGFMQkIsi9F7nBACU96qMvUYden0s7NLf9eCVv48NbZxPTVxINfjEtuwYhOT
JDts8km25b/DR0Tt6ePpX3c4cS7PgF4jO0fbslz4m97RPFK6sdXYPj8OsJV/WTmusR1TEe7hpXwO
uiTeupBBNn6FGxMlWfPx31+dM6VrOkqZSh/3IaMaN6kNBgrdZwulvU2JtymSyKB0Egbk2YxkCNI7
BLIo0H9va5AoZ4i1h8P17/un9I9YVzJvUyE/fDmuNkP2eHwDPYCZed2WhE2SB1Yh1IITj7E/RQIw
Nf329I0fzY/LdR0T7KgFr5O5ghF2eF1ZFcqqS/SsAOuKiPYidoc0qNgZ9TBRb9mq6a3RAHNyMhVT
HhzDYdxFDh55CvDpXO4Qs4Tj5vSvOpwJXn6UZvFiHfWIRbS8o0mbb4RoRklVcCYbdqVJLLnsTLQE
dmrP1xAT3afT11u+/P9Myi/XA7mIPeRlG//S8H49KctxBjGYsIiJXHqbBAXFNhEUB4zabT9mnMO3
iONJSi48deb5vx2TTEH/XNmRy5N4tTyhyMpTl372uorZKQbkI299DS/29P0drdJ/3yCnJCY5j+eK
6/XwMviByb6s6n6dliTpBQiybmUtE8pRIv/UkcOzLHU/ukbonZ01xiqMdPDZawPz1gZnftVkBenm
tZ0/O73jnhl7tvn22+ecsKgKCJNRnukefYMYxRF0eqpaN+XwIaigpUXG2CDGN1Pix/HPbogUJilp
bhci4p3TZVtYk3iOjb0bJmOyRsWXXIOtB98acEo0V0CXWN7kDGmB6INW/czQUdE/CZHDbsBwLlms
iQi/kmnqEfPesHsG6pru+fBnDK7eUxyYwY1myfC3CUnNmATNSH8IU9bRFbve7o8TeuFX2xgp6ORw
NOat6ZSYITLAvcDpxnL6iVO8Crft4FqX1I4yinMZ5BaK6uBV6lxRqiLasPxmV4N5b5TCzdCUqZ4Y
cgTuQMIANGFl90SvNyZV3HvLGNC7N6WwLikzew2mKwteuAXRfmmJl8Q7FLhJ1t0A12dV275F6Nw0
9eBktMKTxeEAXEGOya25AmXf7rKoEOmG3bP7x60MY1q5o6q+KAHId1VxbiMQqUmAZjhtVf+2/FCT
TO5kzrwpUyO6opPCZjrASA5Ku2s/jY4svqaEsfx2A1nNOEMzKNtOU8e/Q8EJ4JJv06Yx1UzgJ4GN
Dj/YtUX1amZD9Mm0Ef3sFN0cRKw06YmiNYG+72LY+2gvCjHd510qfiN2HX+4IgzvOBv38hPolugp
0nriBBA19i0aJjpedQE/FE1fUQzsRRFXrEH8otPz2wx2pUUwQbJVGjnmqgyYw1ZDOfPLWBkq9y4t
ZfQ1lLO40wOFBWxZE/VZoIFI1lrEldVmtEJvDwwaHklRltR8RT7NILYceZnXKXZEyAjIAMBHJr9I
E5q/2GTem3D9HP+SYp+g8zZAvlkn5ZIiWzmGx0tMm/iLi7bkOe7hIKxpUJnfLPamvzhKTBUg1mz+
owA6fQ0TmMoQJEYxXk7p5MCfBhfzqTaS6htOB/MBlYz3YKQYQzZ02eMrlMpBiUObB79494gaydU8
3oFvWbJlqTlqegSd/rlI5CmuZnQhyfmx5ZWTuIq4MWEtFrxCdvXWKp2gvw7sniOioRooJQ2ZS1CQ
4iEG51QNRbmJUfXe4wolawKWScEJNBnHyxidl7NKsTJyL51rRldSkdOxiXrCyNfwM8lnIFiW86lQ
RfWssqRt1o72UX9QGkCnPlLMFmtEZGRcpWP47BYS0aIzzh3UgwijMO5UmM2rAM83QkjaV8k2wdvt
Xk21smHhJ4lx2U8W3cMkTAEntqz4P3wIDuNKY2Qvr7h9qG3d5ARin4QTW7BOmg5lmXKkU9OizqTI
P0sO8aiIcInu7bJZGl8O7opFU2I3m843p3wfNXwsq8RoArlLLciYQBoL6ysn9yGGYOvLu4QxSLPY
bFV2YameLi8Yf1VuF6IA8VxYGj95HQJhGieJd1fwotwNB2oTETvDvOQ1Ru1NZSwI7UDhDQDkZbv8
hVlgfQ0iF50RqkOwnLMTqy8D/ul+o9qOmlGK8v2rTegx3R7D7YxLaJYaGHVr+EgSmuxXOunqwegr
un4d8RZqb0QGaE+CH/LrGkdaRtJiSXFc1RF9GhctEfHK0vtmGdL9Q16mT5JFPn8qsrRbnuu4DEDp
NZ+mabb43XhqFkYCHA0C5ALWmkaTjyecgI1XK0HqEGLnSFiVyLd2LIhOi+pRWLdtAGBzq2YeDRaT
lBZN2VdUE0o4MPA1Rwfjsdvg+OKkRzBf0g0fS1qzyH960Uxbe4oRLVqWU/OBzH12E0XCgfTntpSy
Y68wr5EIzB8w7qQfTQQc06pM8QTgjq4d6jmALQtsvVDv1x1quZFmfUkPtM37cN2MStyVRSzHxYMf
XIh5+fJz9s6/HGEH6XpMRvMq4ovwNhkpJ/atACqV0sQgt3JNxqxh7NxWseVqUiIhA8LUH4zByn+D
Uoqf+BvsP+TBId+Ixyr/5mb1gAdkTiJ6u36E8iOQtLLIEbQxJdEporMUmiBQCcWJHgV42Pka3CYm
AWnJ/N61ytZfFxXkMxI/PUVgYTV9gaVCRB3n+/GpT4uxvEJv11UXBBpNCTz3Gnoe2FDhbppyStOL
UcyKwgyGko7O/DD/YQ4Vd17sc5SvGncI4AvjOdjMsWxBEpcmfu9h1Gyt6gpExMosEMOjoS4SlHDE
TiTWfcdMO9yEoWo+pCGwIrpYhUIGgXyaLko9gvou8zL7ns+zRnrmm1Sj1nWReMwIoranfUTUhbwV
2LMXvFURO5hObW1spUXvbz2FjgsnAQOIvyvMricKphRglCcRAjWzCQvYZJ7qH5LC6Xao9NQXlNrG
41yIub2c0wyq4tiwJoZWaC6UqK7r9mDet+lQGDc0GsvowvZJMF839SNJHCwXYG6QmFfNbeblze8s
TcsnUQ0f6p7WH7ubKySu9MHObPHeHqCIMHClKWiqCslR9XCLlxYMz6hOB7ANCWSUHPNHsAaNWRZE
wdXJz8iJO7W24ni+jy0a5xBOli0CZC3a5nxSA+VaxYy5wlbm8vN12H2vyxSnU1sZNhkrngkruzEn
PNuUbNLuzJ7/nZMIR/Hlp1PuXTSrR6fxakS2lI4w8mChNKQrSRg6U4YksytF+8vU1Uc7cmjKhyKp
L6kumTir7JHI15GycW+CVj73SE355lxAPQJZKlpY21p20YfPFK0UWMSEbp3nMStf9SY9vQuSReUz
+gxKsF4ZeagCLfy4sHqAwpR1UhFvOkTxl8yUeGIHV/QPXl6YYAoCk8IpA1ktWX1UYCHVi/C3Y6kw
23hpS+fOC12COLFK9+TDePnExhc92C8kaTABIPeDwbc6i/EQyDL9UdWYBq7IOa/AmSFSvegQsbFI
CIM2Yd9P/kdkslhjh2IKPvl87s/kY40SnFsn/1CuNb+lc2BHq8SruuwFn4cNHYjXuGkGPSTLLgSH
p4/vzLzAZ4XoSwWZ+ky+J+7p0Jf1t5BW0kcY2OhGsryvUJeCW9zjbbbY6bUtFnCbKrtxLYsYWagT
EI6K7org4BTnwp+oiSu1mIpwcAxsKpyNLW3cyQ30OahMLE1uX8/P+F1iDFqYa4uVbjzT2OSBQzhY
Nhg9CJwUKzzQlqjtF6snAqscsiu6noJw9aCrnjqPQKxN52hCjYmz7c113njp9wBkB3OJU6RYXZ1e
EEPfJH8Qqvg27pre3rVsH5mKALeGK8m1S2Ksyexa4y1p77158fVTIEpRKhoYtyuzLBt6p5ilVxxo
y1t2qo5A1kR6/WrwwsJbnR7vb4/IeNltBS6Kx+9wTD78NOsAwI7Z+D2QEFRl4oVUEEvWAvLgmC6R
rp2+3mGdd/n2qUpQRiVah86heun5vDqo4tQ0naF2mZat3Ln24Kk8QfZDcgmnKThzrbdTmUNHjWtQ
trT0m5ptVxigNfyiXeLO0y13OlIJmQOKItq4pridb60WG2gSx+adyltrd/pW3z5azuG0VSk90Cy1
5TIrvLpVAf8etJPRrGsso3dz6Jd7OJs2JKcOz6yCV3z6eu8cfyXlDuZuvcj09dEsUxK9OSQN2wvE
ACiRiRdf56Ibdy4bls8oBkjoow7ycPqiYplOj2oezKGKaqBFSJItjtYLGkR1j4KGLAkvKm9SD2h+
3Jj91UQTfzXWnFAGH+MXOU8+/dOc/onhqnXolfXfnoz/WqJ/5/YXszoQdFpVHrPt4eM2gCFRj0CQ
0xR44RvQLVtvGHpEvvi2dIiOFHWneXn69uU73xifs/VSYUJndtyoSexeg6Ptm7VMm/5Xztdgr0Vf
s9wMEXj4XWtgEYUzhcpun6sR+LPvhdNz2AJmpljTRlC0yPTJ8dLPwa4SDkY1P+26W89Cj7W2dM0B
xQbK2e6gaBnfTNmwRbagOs1TiXsmjG0Mecm0TQpP3noO5GGsz5iA4erUhVo7TV+gCyf6t1xhC0sR
W1l5sHFpZZMMV02+2gR0E5s9drWG1pxJJvZgRuRyIObz5ZkR+U6ZSkvLVHQkcYXQTzh8RzQPdEYY
yIAcMrP+AImgNiwbZFlnrvNOIU5TgSVhhCaJSTH08DoGVybRzO/Acwrsf2xsOVIIHB4gax98mxPm
mh19TTx3PZy7x7fDXjEgMLWYJps+vC2H154Dz3LUiH5TWaHYe844oKSL3XVJfPWVEXvDmQ3PO9ez
0WPY1Ltty7SPO0FmXxM+XWftmkj3+Y4VvcIzlo/+fcvgj/BnT5Fx5vG+fY00BT2esKQdptRxLJru
iGXQZbvs9HAKh62LRIHvGUXw6dH1dnBRywF/KVn/tWBwHz5K0RVNU9tM4HpCK8yYjyG7c/YLRG18
7TIqHg578kuKlf1WZkb84fTl31mrSHnS3J/DPowj4uHlTTSAs9mjyujH1t11HVgD0ZXjOjPN4uvp
S73zEkFxe3RVWLCsN/VbE4BcygzNnep5+hh2ZH+TpKphjHkcf2CiN1/+/QVhui0vj9YVqp3De2Mk
mkZdLExmnK47RF/ZBcET2adKK7ybaojPXM9aVp/DdQLairLoUdEzYvwdDckin1SjTL6ZOuN8hbkm
l+2KaSDfVAS37UVD2tk+GbrpUwm+CG935dl4OmKsqY6uAGmpJA5LwslUdxdS5YUSFgeYUJC8d49x
azhoNksg1aup8EqTdPhGnGtyvPM5Irfl02em0AQHHz2zrAsbMUlqTMhVp6u6GxPo/7iDrMoBOqed
ILgaB0PicIqxuljj7JwZD2+XOCY1G0WMs9T6abkcvrSA0lqXw/td68YHoe1mcj8SMv6n9bEtyDYY
gZgj0Tj9pbwz2JlJLdOR6GtIJz+as0sPcGxTE0I0YoYn1jWh6hbG8+2/vwoKLDq3jPWlwXB0awUq
I5zGLTH2en6o2SzBhtDl9emriHdOYtqTWtO5lEzT1tGQZlxp6isQwahkfKe+XF9jG6UyzrHjMipb
rMQwjD5QFKaK3lYw4qLQuuuJed0lpsLcHvRpbZ55q2/6x+yJXaEY/Rzu0Do51uG993PtVVEyAo4I
DP+enLrywp3i4ksryqlbK3NQW7f0M5Pw3Cj+xkewJD/jAzvzbJbLHI1Q8CP08Fib0djooxedtwGK
9Z6gO6+rbA1P1rY+N0mGhJjUQBJeddeGNAFsDL4mWO3fbt17pHNEofjJPppYoyJx3eBMY+udT96l
0SyWtqLFMzp6Nk3fuBkhouhCDP85t4PpUiIVvTL7cd56EafEASHEmSfxdvewCFBoIFHLo5VnH23c
3dRw0zEIcZznM74gP0g3wgbESZ24WmsWg+0MaOAmhE378/Q7eOduMdKyrkq28fyCoxkmGJmUYw8e
3UBs9IeQnuu9YeHuCCipXExO3f7gmFo8n76o9faqBKhrwZ26y0J3PPaKKAuWehljTxU1UF+ns9o7
NjZgjhoWWIBQSdvNuLo92jg+m8MO4jG4hht4ae0TFIaYM3Nph/l6wh5KjFFgEwpju106rqh0DzGl
zVLcoUWbHrrEtX+HrcP8JYVPgSZwRsyJlZ0R+seWV+3DIbKwugXNdJvNfnNmoX27piN7YFU3Uccw
1o9LMUZKNErhUkckFxH+uw3Ol50VtiI/Ki5PP9c3l3o5emo2Z55GCrtIaF+f/xI/BhNcuGjPrfbT
XBnjnqwAZ12GofNvP1iWcY7WSz+bPop7PEgiNyNeYaDkRXU/2gyi8i/xkeRr0xDwXBvhwxUrm0dp
5c3u9D2+FYPwsbpikYg50rH5DYc3SdK1dHzsVbipUvMjqm6sEBO18Rrv78U8zepDmiMLNGYafDRV
5F2DifZBhGjAuzbQcO6q5q4plunj9C97s2wpfhl1dMbwokhWRwuK6WWSDAcxr2EF+beh26lrpOjy
6vRVrJfz7cGsyRYfnfQiVNb0AuxlcL065TtJZ2VVYUFZxeXp7iLCj4mk1gRfb7GkuV9R8hdfzRHe
wbpxRmK4/DweaKDKggw9HNLQWgealymeRMo0KxBS9XdvTNwfBX4hsQ1zYq2xm87EywyJaX40jKq/
z9ymrcA7mHGwYotU4ZW2gK9QQjQhNAkiQsJLe6gs2OpF0C4mZZpC6DFnGW7HJqvqneg795YUI59E
TE3Fe2UmIcXFyY5MUmNxzMklpZrCIQzFb40QaEGtrEbjZOuMOECajPPvrurAWBdhShhVHZLxchVU
S9DcUHdNv1D6zeZySBQhNYpM2emy9Ay8uoSyuAZWEhxwFx3NUv2YuRM5ZXPAB/FHVoPz2avG/pfj
FnN+EWZZjHtLyxLxYV1jLGT+KeWOkyvNsxqhMhiOvidVDqjzd7pKeMN6I8jYW3YjNXpwKhXMazCM
oF4zHwW0NoLfjg5ImmpM0Kg0bCv7Z1TZVoEtreq+JYVv/6ENbV3Po4WE1KiT0tsqMqtyYK5pfksz
SMRXc5xg8lAostD1yKD9SBMQRp7JMY/y+PTCF0b10q1MNaUS7WjD8UhHio3rOEiIbY1d1h9zByga
SGzUyBunb9G2Dm0+f8nL3PxctLYLZnlcJAgAzzEb0+Ghkor0tPI3XTOU94RuDD8B1owmGLN6+t7O
/kLDrMrss9FVRIyFyQI9CFUi8XlxpssI07BMH2ncAOpyQPZLTsosEtjEVpBfmMiS6guqB3Ctk6qE
em7Hi+1VGyNJSejFF99JMuE6RNFi/QFBVjdrvwa/zhmJKQ5WteGCZjMFAbj5YhDzBqu4RaoHmBfy
Gc3PLEuGAFdQvrQOssIoL6u2JEIGWdswoR7qOhvjf27iEfEDLfeEtY0/Sjq/8gZCu7cziay0t91U
VzEJPooAoDiy6681s9yHQoVuQYJc1d0iQ8qf4hDGcUfPvtg26YgpqoPyA6HIqr1Hj1igT7E3koiJ
v9n/ga+//NHM/QA7CPHx14zNGlbxSsyo6VGcouKJYM+sKrdylsgJUnFWpIIYm1pQAkZ+alifQV6U
0Jvm6icngO4yS6TEmZbh8NuEMIR+Ul3Fqdz0hFzk9kztuXVsHkzfADiBc6TdahfSGeYVT0aRgqqk
r7ryXDTSWPIYkqswq7xfTqGqr+m8QHvaUNroWyxRXgsgZL+noQ+YC1TYM6AbFWI97wCPrfooB19F
HRjGtkQnBS/ZdXpzBwjfia5Tdp937P9xNNdGYWG8JsjdOrNGvZ2Pl+KvhWpVIdEhJOdwnoxaiDfR
QOEXY1q/eExxUhjlfG49erN3o+6CN8Wj9IL0EyXa4WVaH3EVHUwaxt1AC7Xmc/meCpx1oW+4V3xL
zQcrdfEO2uW0T8Oi+ob4gG+GyDSgVYtUDKLoxTghowHpEe/pKn8D7mh8LngN9Zk16r3VU5NNjs/F
pTv05hTeUHjr6fSa2Oltne8CK9efc+XSvIhpuV3TBIzJmVDj+MjE4z9WtJovASJHD0MeJN31ooZS
oMJF/URLhFTd04vbOxsYTrmQQ/h1wmOdP3yW7EHTHKcI8Ioslj/aBflR2HnzrSjCM1vQt0cgXhsb
XsTMJHotDcjDS6GoKFKYmEAEaf2SeoySn12nG/+mLKLuu9Gr9kU3uWs6R8FtGI3FdU+398zpcNkS
HC7lmvoZpYllKyNogR7+CJyOkkWT1ifFSWM/TKQEuNX4TTqtfdd3pThztHn3crRCaEwIvtjjex57
ypCuphjah728C8ws+zHacwJnavE8eZF/bmy8KcHwkGm8KI9jnl6YPIf3R8gAeumRApaCDnOBTrf8
VAhITSlwLkD3Xnvhe76+IAjGfWxoTW1LdPfnahjv3TVHXLZLluXxkI82jCThTgPgEKxWft1/k/Ws
n504/o0YnNTZ2RdP//Yb5p7ZllGwsS2UNkf37Io00Qk7wTXtpuYyBYeKqi5TFxp0xpkrvR0uWghQ
pIg/Ob9ZevnzVztB35uM0Kb/uqa/FUXrCB3LuOpqG5D74OkOqmHffKPukAZ7O3ao0pI4F93Mvs/K
zsC2H0mY7Z4iI7Y+tmROtStcKHO3751SfFaG8IFtRM7dkjP1YNJ0z1aVOaYpmUUDIRbGXJo/QDba
WD0RHu5TSm2f89ILn0khCVBrcUy+Hvrcu52j3g13lt3D5JnaOPtAKhvUEYU/VW9KUc370fHSaBOn
RO5sqzrOnyctwmibGbL84RCvBAd3HGzOazZimdYAxAbQIzMtUlyN0NlrGfR/qD0TSWg1AL/W7eDV
wS2ctLF66LMQVQDQQ3LiKZ5l5YfTb+Gdz0vwZSnOsxav4fg8QtOhVY6sOAqNKVEByroZM+7L6Af0
WMg88jNz5DvXY7KgpMkJj/bTS3/o1Ut3pRfNCJTYuXgQT3kkvoE6S8PZIyE13YyhbZ6bK9/5zvAE
21Sv+NvxyxxNU7i4HEMwhhDhzvPdyEq2CkpZ3CGXaZ6LNkRiXzSCZAYx7SiG1YiO0Z7rRH0tPXO6
QLzmbvuYtN+YHJv6zKT27o9jhYcFxjHbdY8qGEY1kOdocxyqxBg9ydBLgDT3mtqVUvOZA/abugUn
L9dkUKP1oMF6bERou2wIDam5lgfHNKqq6qbsZvMa0SmJsZDC9z5y6zM3aL33xjliw3hY6vXaPZpR
uiImVd7hDvvQwyAF91L51zkMB3tX2hahEV1DjulOD6n1FFYGZkoSKcyVgI0BVQ9EJOlYOb4MuJNU
soC9EDFTur5MaQHG1RM6rfYjoWTAy2rCh8bdnFXuPX+nrbdU5LptT2Q5QYNlXPxBKUx3sDP61j2z
W3urouFEb1nCxQRmK8mrPJzMeobsSJykWLuqq79ElKJAR9nEqZci97aBT8Y3HXdjHRDVvQ5THPNo
FWFJ+WD8burKqy9Oj+t3to/8HhdSHIdt0zz2ttSi9D201Ei18jKJ2L7SmVnRNArOHOixKB9vAl4Q
clicmTzQmB+Nrho3qlc2w7A2gym66IRZELmGZPZh0jk+fehBLKADgJZn8BLE1ggWU7goXQbAbUTF
sEp9GV7C/nXwtxcqezTZVOirymbfzWm8EeDF9TQ+UDIan6LUMOFoRQPkYRsmTYTqKgQh4tNevE6C
ZLaJ2FLFL4684ndijZpTuOnkjxh64xs9eeGHJEVUvFIG2S47lwhXwc7Rr57EXCLeSjRitjVaIvUH
Ml067yb4MgwNK3bOtQRfKucHmyekfTQhWdfpYdl4xw8/mKDV0Cyikoig0CN9TAEVWEB0ckAXM/fI
D7V4oipnPQJy9NoNKtkxuyoz1/4SOb4EC2HnwYMPKMHeEZVRdDeGP2bP+YQ3elMSI4aomF/fbXUD
CeGj1nGlt6ylUf23E/FfoR3/b4ICFkHIfwcFbMHp5If8x+V/+If/SOcOhYfJ4knLd5Ht/C//Ufyl
NdUvSI7IPyzWwH/4j473F3V07BiMWvxxQlv/AQXovzgIMpIosWMgW6pm////HSg9mqP/PjBnHk8O
tKdYCLg++8plLTiakjm545WOYpQPKGuv9dx8LQPV7A0xOzftPHlXkcjya2YWb8+GUO9p32Gf1hoP
6SqcNShlgMdXeU4s3KtH+OHvz//1LzteK/hhLonm/DDglKzVRz9M+7ERD6ltbqqxrK5zVizAbc3A
D+U4v3boM5zZjrx9EpLJUdCwW1ybTECHo9A2hzpqRqKugHl0qHPd+qqWRvvl9G0tp7HXY50ll3qz
CbwDrc2ysT68ylw1BKm7tbuZ3ZEWpD/TyqWIQMiaIa3PsbSqJz9FZOiYZXdml/2mgydf1CMclsFC
LHd6dIe+K6se8nOwlbNKvqOATa+avJxXtE17zvupzPdIf4adp2IIAY3LPnoOO2ufYXa+S3Wj7lvU
MN9OP5A3xqjlVwHLcSTuP9bB49lPE3frST/wNwgjjR0nfX1RiaIh+cZYdODkJ0BNHO6jqmuuywmk
fIiO8kKh2n9KckTdzuK26DIYbLXU2dk6w/JCDl8YP48D/IspVlgvq/3rXeqs3TmgTLcheMAFjemR
8Bbb9fNYdCNHoUQ80X+BYakicKlCgFzwSBhdFvOCBinM8NOP63jjxtNC6c2cwVjFt/byjl/9HDVT
9Q6bOiRDwmUg1lB+ty2bGMqphfpOPEy6I3f2XJfkTal+uSzHAqjObBdRPR59OpYmkzsieHnLSgZz
Oe3lBkhD+jCmkuw0isuUH3IAPGFJfkHtuMPeqHilIHcwd1teswc7kWxxxpRXBmzSz+YwzmfG7ztP
hlYOHVg67WxtraOfODaNU1kpCYQ+Sr+HuvWXYEOMF3bgj+QuozPTdeadeR3HkwZiwUU0h9geGRGe
8qPhbHWl7Oh/xdtC+yQBSeIJZict7k+/9HeuYi9zIeV9F9Gts8yVr156rozaixKMiWOCemGl8Kqs
005mj6cv8+YJCpq2bBTpaLI954UfXSZi6kDRCWGbuvstFi77Mlco6tCjt/5+pmOx59yjPpy+qnoz
JXLZF5oxpQaJYOno7lo795zKjOxNkc2Gf8E52PhjizHMdwt9b5cNpEERYps6SFOMeoJWlRfAw+t5
AA4LuJtMT4P1kgwlr24/JkYVhvtCAmwkAR6/bOPAIsGNN5WPtSZkdqWxHD3GsRPc8CnJe6xT4qFy
ZEOqQ0vlGjqU39zgPhfjOu6cKV2Vmbm0wfxi3HeYYfaNGVvFHY/RIc+rDxmAuSx3lWH1WIBIZX1J
NkTPDXui/RKWo7ozjWzId30IQo/vhM7TqD2AhIkdkpKdRAleZ6vT6cfGjVIo56IKrE0+dGWPFgbL
wsPY54S8KCqteylwddFg6tPvrQM0bwteI/0C/iPyESQZRr+ZWxaPtZPgT1kTKa2qfV3ZUOq76rIp
CVaC+Fx9Se0YnFdW583m9Ot87yNidpJwBNi8MFcdfkTY6GbLRza1oXFBKiUq4j0iBbVVKNw3ck77
O5K38u3piy5j+2CSXj4hJFkLXWLRpxztoAfaqJ0MSmeDwVJtZ1om2yonroL013Mq7Hfujy3CIkoW
/PN3U/PVWCSjImEn5XEpBgStA0J8/DBM1qUs7Su2axP6ZOOce/i9i8LxUXA0UOThkj96qEHQ++Oc
qI0ovPaWLtI9ZlCco0AfN6Zmu6La2vz3z5RSBLUImsEo3F/AS69uFANiaASTzY1Gkb3zeOHrMnLz
nYQ3fXH69R3v9Rg0C3FCcCWu+D/snclu5Ua3pV+lcOcskMF+UBOSp1GT6lJtTghJqWRPBslgsHn6
+x3/wC2n0rBQ8zIMwzDSos4hGbFj77W+RV30+8ejmJv0ojuemQ3fkl7Jsp0z6e3Mcnav6mUYv7je
n9sZHS607SdhIpIwzCW/X7D23b6bSIhPGk9R7zRB+Iv4rtCmAbggwgjA9R7MDv4PEM1+uzMxhJPA
Bf/Pj3HQdQePAUmXkB9g3kD/xP9Fb389G1sj+EpC9g9PNsIm+s4uLih24NPW8Le7kI6hnI1TRG3L
pPlymgoI1RKAqSeJLPn3u/BPl6I0DULLAlpmfjbCazQ5Yd9m0I4YMUYz8Mqz0jCY7bAYf3ED/uF5
ZlRwelvRiJ78Pb9/qjUXI6F3JB6Om5teTmhVoo1uFTyesYDvoeryAnuS/uKq//ABgdCcIBfwFk6d
7d+v2oVhQWLF5ieTX7W7KqfhO4hxjaZsEYd//y7/fKI5TNg+Yh0iLeh3ferl5cvm16AiPPJK0POU
CA93/TYNdK9xTViVqv8fNYAsRQhIaBt5KAH5908PdJrbFQ46wjEYcLr70VjVZcjG+sUT8k+fCpgY
7drTyu6J4PcvsC+UIUNndJPCI0rEsIrpgJNxurK9sENk2gdfXI8fyU/8fWFnXUEMhEuC3hKF7+9X
rKsw5EjWIsDwCMhNymIB7t1ajg73OHhR87WdDd52XHN5Pi49IHIATySopshNdRQEsrzz0wAD7cjQ
k56yh063KzT5BDihU3ItYTLE3bhQPTBato/hpjYiEaFQRukq6/ci7dYDybXzrxGz/jU6i1rse1Tc
c1Tb+Qx9fmZfjcC6ZtmOVIHiatma4QeGZaoVtPQN7BDSiyImKPVLXy6LFzlmdgpHNYfpI+86/Pda
QoOIZlvMb2lH1QUWFUknp+uyv+C8Zr479M3AWsNqfRinqX+ouNu/qnxMr1JBxCU1yEaqJ+Q089S7
NVrIXr3fkC87Wk4ZuebSvbmdo9Lz0K+hlpZFut64BkyfGKZYne7HqmAgvjb5cOUYA+DUkowgUM8V
1suImFYfOHrVVegpsuVDqN4/ZVp5zasnVd/slkmKe44M+qmuVlIEqnq2ssupJrCLvtO6vKV6AJ8y
SiyyUQ+pn+QUEO1POdl7cq82myMdsWINsgkAv1ts5etWHeC1uVRMi60gIhGl1WKIqZt3MlqMO1mF
ZFR2fcovMlPnoE8ZVmJHifvlv1AJuu/NkOa/PKFnPldVZNN+KObsjug6xLGiR/4x0GV7pGJTRNRD
4j3F0GxtgOKgx+uOYY4oqrky7IwYOlEugLYtZAzlNioj0oRSthEDZtO/REuQTmcTuOCHums8DkAT
fvDIJpjxXInWprW7BSgm7LYPD/3izRcmvBEcJpYDrVmGIam/YQHOGzB4m15wBxcrpugE5LVup7Dn
NTMIf+De8gd9iS07LlN7upqCTqE2NQb/vjRbQybFSUH6bQ6a7sxw2/yn6ERYHcjWTs82NXuYXMq+
PSvsFii6ts3sVnubuOdCJg7pcege56Xd7niuC7J7cqk/+m4Ip0NF5G6LfIlNDiBp2l/jO/frLyqN
02L4x0seom4PaCQEzufFssCmV1vMB5OeXvmhp2ubsAWLb5NnzDtKDnj35jwnfjoPdCmcL0Yhf7ZF
KOQYRmB5xYbFAfdT2xoJSN8LsvgS2Rp5GwF66EFBii0JVpxPjcKoDpmJWAbPaBOJnvs6dDr/WnDD
k8DFN425aP3iMPvnVsXrzKT5VKGcBkKftiqY7cFMp9pL+oBDheMQkWwEYCkJ1fvShnb6WZ++fkqu
04eHV8ro4tO1wgq0hOMrO9Gp3V4Q6UG2sUJnI/SwfF8Zbr7mrt8mWNUQFg3ki3Hu6OI1IPO09xCj
+tPKQoX2ev/ve+ifRQKENhSgnHpp9NMd/33tL2pvRi3GBNIcSAc1pxkHuI0MZ98FoGjQ7bePhtLz
Fw/jH+MbSkL2Gy7KmiWYVn3a5MxwGrZKYzytKy87lwULPtOTkZAsUkc2FJqMDCr/xi+Uf4aRfmxO
ut7xB4Kc5nlUjJr//VugEfb5/tA7Zlbmu1izaQd/PpZbw7KQQmpnVBB6Oie4YXP3pCMQENPbWN9J
g1kLcQDXP10R4cNRREgenwjZon2e8Qz/1Cvt0zjcWv9sqSzOhk1NmCBsHlSpTKmpL+PUrQZ5xkmZ
ta5l+H6eySCcEGj1tYxlZruP1WSasDIqRF6t1SOSakZrOIoyzxhhE2TXkZpusY3CGhxxN62u95S7
WethHVytkXwEYae8TFNxVQuRnzJima1GTVAR20wHDaA00DM2FgtF1xnRbhLgszvMD4Qs2MA0DeRf
sXTm7MyaVPFsSxugILExZOUNPSpI/nAxNu991mHUa9bJRLFEg4p9rTACC82Ev1h15+ztwhfXLpLe
B2+bN7W3gJ1eT6y7doyJxyKPt1zNLSkWb7gffToIu0ksjXWEIWQwsXfNb003eO2NZk1R0bL4Nvlc
uVk/9hOGvHxBXHVQS0ufi4RScs56yP02kTOqzwihAKgf21OvbpZOuT/LLiB+nn2xbj7APJvqvtjQ
+jxsYe6KY08UMfL1dShNsj+lP52zcY9nGzOqK9BMnr5EYASpprIZ/SRrvXTOGTaofjisuaqYokKO
sG5FFUwQXJ0T9mUgsw8hRDAwKyOFUcZdPebXhe5DPOBw5+/NbHHpJObMHribGQzPdRpwsncF4oYE
8SOBfINtju95ms4okdfs3echQmMJ3P+NovcEnMc0L6LOITUWIw4bZZubaDdyA/RBXQ7w9/OuQGUd
rHNBcM84a1p0TUWXICSPPSqqkdCCuc/V/Th6p6V/WeuDWrtgxJrX+PddP/uI64d62UsAQ2Xc+fAg
kOylVbVTxoJBeGt5TAl6qySyP1ym1+VaBOSmu2UDEDZVOZpAocZHqobRhBwbgm4nrKVZacrTBd2D
beh+9ARfrpGzlOp8oMlU4sKfXSo9Q8sPxIxdfkQ9MCF4ai2BWdKrIA4BvamHQ18T5lniTDmlfGeB
uCQ+gkv6qzEe28XJ0RTaDg33Yl1TmFcKbDe4Vz0lPI+LvEQZaT7kUL6JPQld4w1DGSncLUlUoHC2
0YVPC1T9GfH/fDSaENtIkYYLaEirtp83vGIvk5pWI1JT6jmxqBgxJOs4UCEqcpHN0wHW6ON1NVeC
JNd2+TEbtBITe6mX581AwhdnIQ8dfiinO/TDcipysuDZ6IyF+KyxCtvEDJ2TMlKO5sM0qmyEvWz3
58vmlMiDR+M2w8V8QrgU+s3y8sGMSScyX6o+NO5BvAAhpsA0COC0cZAWdGu+K0KOSVrxdP1SlYH3
rEU43btWWf2atae/DZksBRMJuS4R7MztAXt/9lYrBMkRSdVTE5eoIhcixnICRXjlwJOtwFAJ3+6t
gFIaahE4h8DFEIhsHA1umq6+G80oXcLoNH7aCScjqECktVXwhtbWNXEjKdQitBDNoeUE8AP5TeXH
ddWv54GeJW+Im5Xi7CQqb3eTIsoyEkERvI+LSwb1fMIuXWBwdvR+45B5ky79/IyghvxLQLrBA9gl
93zsewuif02aLFv7ln2zNLYA8Ea+tcbI6YIatfco8EVXjd8zrVlt98hGM+TYXIDUnGX1YhZncvLJ
Jqt0U1w17QCLYlAcBmM7qANrN3jZ1iSthfZJyq57hN1lAtkMHYhpQujxp20YLG1BVhrXmgUz29EF
IA5Y8cUCxRtKaCPGUpmPszJCoBK8oAPpgMQuxoVw8keISTYS/G0gPBZ4zXroCjj1CXRXhlpZ0FXV
te+o1kvwYy7rYQtDpOprj+1u7ibjiTtNXnMHI0zyFcxU3C7BFeSua6uAgIiz9XniuAA3PyvJ+Q1K
ugR1U5L7EVaT96DTlu0rm7r6Z2FtZhvbMEWfFOkAt73JqCGxpra97Ndiswld2xw3GidnSWPlgF1L
lt6tHahwBIlHQ9Atb5kn8HwLSuhnWNDb25AbqT7mHfjiSBGOh+VckCS1OD3cf2ipdGtVB6cJaqNO
0IRD/gnUqVCDqGc9N4OSwzFv7VOChGg0qeFpMSNMQLBJD7hhfBD/VS38/xH8f5GR+LfCKXlVr//r
o4X4tF69Nh//578equG1aD/+Duv/6//4zxDeMf83HhNmJ/AN/xq+cgT5nxBGNMR/MQiQETucAf7v
EJ58Rub1TOf/cqdgRfqfITz5jDZ9ZhAV1OckO+IB/jR0/7ch/OcCHAv6Sf0Y0rahK+n5n5pFdFD6
UkwDiKlKhOeZXzrnBIV8Ncn8x6vQuPmPktz6LOeElhI0hdzmhPMu24PJknkkOWh9+9vXfvOfc8Pf
5/an8vjvpwm+ETpe9FaZE5o2RP7fq3blNpIWUg7wzIdPxYmOxZbQsSOAfVK+pnZ8MNpxu+gq60vR
9R+j5NO1g5PZ/QQTNoM/bJizpDoQrYZa3lnpj5osP1LMFJT2geO0bQ6XzdoKwsMFyDKY92GGUXSw
Xlp8SCmQ+BEZIpthzXnf8AWZ04PZtVfNZCLI+6Ks//NuIJemG8lFGF2gCvj9a3ICTXbRBPzcym11
x9ynTDnmqX754jjz+RCFlPA/tmeOUUiUP5vVy1EE8wxuMFF1pcYot8XiXgv22/lbQO9qmCI56a18
zsOsUF/NSv74kHhBka/Q2Ofvk1v+9w85KVVavV0GCUUBIJ98pZPUq+GLc+Lpq/rtiUMpQz+f205/
kPCMT1fp7bVMM6sH7OSX44v2gj7SVPiPbrE9//uzffpJn65EvxoEkgATgxTg001z11A22L0JPkWi
SWq8hyer16mfgBoyLurKpWL89yv+wzeIup1pNnoNgVHwdHv/1v7nyOlMJKTbibs6wRE46SnsF+jZ
v1/lj4ckoLtKZAiWh8Dn9PvpyOu2rjM4JVehBZ/elR65z7VfmJCyCvtMmP0jOWv1F2Pfr675aZ1o
itZZHRB1iSD4kw5TutEX799l43lPCh4vKaC+/4VC8c9rsiTxWUPGDnB4P3fJ/Wyhj1Zq4hcDIz3X
5aZuYJws55XBqTFyS4q2SGO1Sb94Cf98biiWPZcOF5OV0P68JmbtbARlr2hwLX19pylTX2vAuBHL
r08dDWzzC8HAH68EKyB/0TY/6ZwRRPz+2NALTMe6x2xlqUBeW6AoZTKZVE30k0rj7N+fHotp/e8v
hnDQb/N+k2nD1AN90afxg9X1KHP6StMjAxd9mMatbM9laajtqVRDTX4rHzLdZ80m2gOOd/rBIl3J
SamRxx1da+itV84fNM0BMBJzdT5KEGaQQzk07SWuMD/u7JVMzWWRLcP8unS6nTW4qbdryRfVB5Y1
YN2rPy72cZp8VCeajq9PRT4VQ9wgWqPlOzabc7Fq32rP5y237adgW3yyNoBEjpt9FtbIL4GhWKSX
MQfbxLHMw0W9OUVPT3zlwNpdzsxXvKM2p9A6L73UeLeGZjaTouC427XCd8/gxG3EW7o5hzZXT5oU
TzhmbZyZnWsl+Nl42oEc6UNRD0RlpI1UVWTXcqq+lfSe/sLuZeKQQeW4mfuQTN8NzYa+Mao5x7sp
fPkMqwNoZbmVdCYX1TvBJahFAQh0MAPoPKQXXjOItuyjl5njY2qiMowDK6sG8sdbyaGd1dFZnJ0U
mSAo9hQvwlcrZ1HNpyQs33lQ5uK0kcSpylcIDXmLOpUKsSOSGmDhNhHWuHKWyQ5hXQmL9n0NBzkT
fj1cbMywj2IhzHznVMxeos120ttQqtk8mJCsfxBJoiYZdavuvQv6uoM/RE69BNb3me3CunV6tyT5
nV6JOGy9oyTZx1vXZTsjrNR8JHByE3viOzXox3wh28cwGi3u/a5Z2qjbMnvkjBdwBOuU8iBQWiUK
llQor7oRFpksZwx6nCa2zJp/TwfPKZNpznygomVrPZWlEVRJOlfuxThy3yHPbYYcL9OyCO+zVXVW
lJXpZJMaqfvHgORJktepU8N4sVOnunJlKdc9Gt/0LHXYAAEKEhiXdEp63weGEkuU2lXf0WaljRU1
MszISR1G0cTe0Lqv6DEomPrgpO2ifSGD514p5yPlBLpiod1I8TNJHCLCjdhMPKOwDB+1so17Ifql
2tu20YLNr1Pa9aSgWAwrsnLroiarQN+eHptfPPmQL71OgqUmBC+lsad7GS1o1cEOewvkAqhavBYF
UvzzbnNn4oCx1962k0WeiTEhh8YT4hMd3zAhsA8+eWlPXY24+2RhzRG/jMIGbExX+A07ixVeFWWn
SyKRvNWPl6DCiFxOGkLgtuU+dq05tX6GxoQsHsbsuvB4oRKKuY56dxuxmXHg12xGowOSLJqMYe2S
ZrbpFXHvqvWI0j509qPNFGS/2oEMY9cRGzGNFFYMDegkOjtz5b25bwwyzu/YBMuCOA0NpYL9rb8i
MIeEX6tQzQt2UfPZ0H15HWAQdA4TswmYsCUTsrPBxAJJe8sQwYOwbfOcV9d8ITp1zXaDNMT3dsy2
8Ecl1gAaWU6mXx5XgTWEP2y4oPmNDfoRqb+28KjRxjCr8WQJIBk0P/TawXVNHt/wRE7eMN7Y/jSM
F0VtTd9p/Lo5vPFB1DO+/zQnttWs2JT3wVqL7MwGlbfEVTvl5aWsqfL2AyEFAl1C4Y93s98JmM6B
Ggx9ZLDB+dRti2r4WVaVtdwbPWOnI+9mW+9mZ3SCj8zbcM/R+p7KWExpbkb0kpY8NgDNGnEdlBQC
qqLVzHE2r/e6n2e83fmmD5lDk8Qf2GZiRhtbdiZLp7o1DTZdooC27ZbWuf28BAojPaaTmrZVqotE
0mB8KeqiulCymT+sytp+5UxH3QPD5vJ60tU23MxZbbymvQh+nOD6935AHztOi4Ag7GDJx48wSOcb
05lO+RSeO3yQJwNwB3OeC2HcxhsCiRmX91ndMVos2WhUEujQArxZdz45RiowD+4GAv1ozW17lXfT
lhjEltMFKRumh1oUYkpyxLGoE5yuC6LMVGF/bmElsWPMx919YbF8RrRxGZSCMfYQjVdQ1CegIy8+
DlNedozN+bHhANInWrg9QeeWbbyPhjm5DKL95ilcu+F+Y8ax0jVdzJI2py0+lqpkFCr6zlbn5Sr0
MQCwwqAb6i+huyqoj4CF0oE0K+W9zlWAyYzgwel5tGpR0S8jRj6R5Qpa25HbbT0WBsaXPPP5EK6X
GyDYbXOD3p0WsHtbgNlxxy8NNNctX20QCcwmQ9ATTOdABCS162DzJA0W831torrad0YZ3NpW3Q/3
M98KOfKTrV8xX5nvJD7aFFYMIAkEMDBm0mwr5uKwwn74NvvmEsSqXpxDo0Fa7bpyzLiLDZtO2a5E
T7t8/iQIyrHdsfuC/sVX3AtyAwabUPq0rW5oWMI8VaNag6NuCJKBneD07Ny+XEuoDYXxhnaXbI3Z
6EIr0fmce7sKoPwPJfw0JDu7rqYEhMoCAn/VOPOaUNff0N5ZJ4BEIHetWdrp0R/b4iOvPVnGreGj
R7RbV757oELGfTWVRngY+UZ/0Z4ajCRdVx6FxWudR6IUBr1zPZWlh6VmcMWmu16nwUzcQe+HJKoz
Is9dwra8+kmQ2Tfu2xQUYUKyJg9SULWnia+iVGb4bLn53nLnk0HOmtMy8sOuuFkGaQOEIUngdQRH
SKS4WZikR1YVoQRiM4LXGv/zc2cqmvr4HaGAp87CkGE+TS0LpHwTePSpezXQytUJrEq0gssgaOAS
C0s71RvG5UcgamK4UaEOd1npb3nCmUUS0lOF3Xxo52A0YymlvyRIZOtlB6nG3BujYOyEP4vg8NFu
1t0A4qSL6JpXbyDa07uATRkEBZHJG42+2Rv3Q4usIVJUXWqnaMaXkYVGYoiYWfj2fnQ2U51pQ5GD
MAWV84IbfbSTCv3QEo2ZKKfdmK6kAKebHtm45QSWw6/EeFwAid+vAevKGbGrEOsX/ONLggFRmldz
1rdGUsiKu1opld/51KNGMqeVrCB3DatO5FTInT3gGd9vtavfykBXlKpdkanY8EoyUT0VugTqFsyI
YyaohJivzaQpp4YquypRCM1HoIIk3I2Ymm2C36R1VrRSUDvKirTjPG2XlxqOCXTlpsn1cfZ8dZdm
TqvO8Vq57DwzzVapbYqxYMGBHBkit697CdbsYAI5wphrN6ck1JIJSVRYY/E0b6l+HRjqBbvWKgI/
cXTh/0qbkuHaaCNbjDWo81+atfG7V0/huTlLjzzzUQ6PiASqR/K5bclqkvI85xv5ZSocXTPuwpOH
Nus8qPEOPInHmY4xe7s/ybely7vvyK31wzjILaAOl/Lod4oPPcjC9RjDBETb+IRuEUeGzYX2qwPf
eWGeewsIvYTkC/BXIcKwsPRVmk67SwjSOcSKzUtybGVDxBDGfzRIhEBqsWbBsINTEM479iR+IzYc
alKXtgYyuVH0hGSQGgVPYz25q/zWm6cow5d6gUxU9lHONPjbVhlul9DXGnwCki2wpyc4KSnRlG9p
pJSJvx7sgwzP13TVemelnve99RenOkjLbb+hjdieiXPpy529EIbIPCqkkBNF6ZixvfXzma/y9ild
UyZJpP42V9zOXkS6DBS+Lz8Xt54a1x/51g5t0uqamQhG0+9CrO0DYcIwKu1ZpR+6WGCKZMU63TCl
ha9BxsVg8KytwVWQKuacmA+zx3BjcBFnfd2FMaX18q6R9F059nI6a3BjdeRuqE52GhQHhS9jv4ka
EYAAR1KzPZMBw+1IuEhfMJ8SGcHJahFPhjMxAZvcgcGtvZV8+brs2jMyDnh1UgrV240VEubqpLty
j9ou/b46E5tIvdRZtK6O6HcFGMhfEPgBc3fZ0r8x92cU5uX2cD2XKUcBlNH02hECzUREqFB+t0Qj
90RjOybztc3wdsUy2kQ6ZsrEKY6k5oUISlwsYdu73wj2sJEqjHP3vSRYjMVZgjiJSElBO0K8WNac
pwitaL6zFD1oWeZvmG7lcqyb1Llu9VbnFyyRzcu42k13UPMSfK9TtjFGIN30Qw042CMjm+3DzJyn
SagF0seAB6E6g4LDDm5qZloqLS0q/8n1L2kn0IIE+VI8WLw7Bo+EjQ7KYuo4xSXjOidaDNw6kS/7
jSGj5pmk8HKcX82oW4bq1pCdq5wMDqZY6CDiln/i4EHJzSsykxcQoZtL8bYie+x25laHPgTfpuGE
0phkLiKZN8ydNjjERtovmoWZayOQuRSuWeyYN/sHp2bVRQUXwDyd+aXzw5AZOmVIatn3+DJZnt05
cF8aQWxXYrmlvO5SRCvRgHzKjmhYt+BgqQUuei1N9qsxLduoQLef3k6SvE1Mn9P8ou2wva84JtWs
rWV7NQ2W11/REAxZYgaT6qMnjIki1xpsIm66fnGidqok+qNi7W8WRF9qT5QlAQQ5QoIVJ/YMoMms
R/Ee0Nl6mYute2yrcjN3K1u/iFRtyI8c+3YfOWG9vTZM1pcoOIkOyCQyUH0NBsb7aAIB9ctb3PyO
o9WU71OdVT96t9AfUkxLu1/ygk2I2a7hHpaxKFcajI4LZhRMD+B0ZXq/vNJcu2vmc85KSxDjHCNw
Up0SAhcWPykF8d57jttE8RjlyfZb5vXBcsGBnKdtZu5GekR2XHOCqBimruVHYcCMjxqwfT1iMbHB
Yc6cyov9keo9EvNaX9rK6Z4nhHaXzFt9A7aq5EiZo3p+FVZjXCLfUS8arBlp3gMLR9TZpbrrwdc4
USDNvKSstUhWqVy3dgmiz7p275F69kYhMLVx4ZuMW1PD4/couwwlhTnw5Ee4FQPMD5X/nSmZ8YBt
oX9N03pjD7eL7B6fHueVMoUEHxtD6n1fKJfQNDYM/b81bR3ah1CH/BzKAPoSK8eOn2J08meJa+Eh
9UVBxx4atToitCdHSkHLk6cT0mjvUccTCMExlEJyEANKQlKXAoboYNDvkXNXDIIb1z1WqED6c+0A
fY9NhQeL5BTKd3NpLxg7uJI4FbOYj6yd4EJ6NNGYsYW072Y0rNauUDVKJyju/V1VzSgPa8feWD3c
pqRk3jYwQT7ErhLCUUapaVTVcNumzDVjjmW4oVLFirszAlQTUWNoNztM7iivHcMQL6FSmFYQ6FAm
sgJ7WRRMEw0kSZfkcmrWzjikvs/pAxmWVVEmtKDAm8F3hhNgpAheW/LaSBPZmtWMiEFwnmAYk7rj
hXMA6NEycwslqVtek7Lr9jvaVBuYCwavedI3TXhWgDryyL5akRv49aIflV/SjHGUtl4nKlEIDKAz
CAyWPJvnLaex7KiBQI2R0Ea1P5EpiJ0pVtBPomqUvGiA7fAnEJlyTLfN53mRmRu7BaE4Z+6Azn7X
kgv92m8VlyFJEAfWMIadcRy6BXkLcW48WI4GVxzNqwx4M9rcc49oWvhqpzU8KUAgqBZ7UcnxGzny
eXM2hyNk6nEiSwAqvZJhpGS+Ai7v+3lD6am6kFws3HOkihCnnnH79L50eqNOvJFnZWdCiJDPJu2o
ct+0OULYxYBTzETWlV5sM0okGaa3xoMFZwAEW18ynRlkKoKE0PjlgTcYDZY90hXhqOiWRxKuKQ3b
Jh3CaHClyQTe9ZYPJCT2M8eKdWWpUNu7ozz3XGB7Z6kbM+/ZdVb/aSjF8J41TljF2kHeF5nL7H7Q
H64pPJysACRHXQKPYhbTTxQL7l8lef8Stp51TaJyBqAFmckD+1PnR07Fc3pAy9/dnvI0/G/B4MgH
ZTcQqkazD29ArlfPdC7SimSLXFEy9+M4JaM1Qn5A2cwObyzB0KFhBRUdubJAABpwjnjfEJuVREIz
qBzBqXpxCrzDTQTD9lOUT+a8EVeR4mGakCc0fmq6RCvDJ9yTTLP+8O0VqamlavpJxqDt+Uj8VF3c
QN2fJMKWHBuX7Y++OKKVMniiWWYTNduSDDMIfiUTLN7fG7EJ3ogJ/duvthsnfYRVS72wZPjZY93l
eBBLk4ShB/jH3cPaM61BYqKWezkoJ48nwh8heLkcN4/aV7jB+LLJmFqWUl4CPWQ5d2YdsipoZgh0
9uCrRZ7bC2od+puXk1Nj7hFTLtNkdsk9i4wwb2+DyV8QkgxeM0XKSqvXHKQebQNewnVvFG5HSIT0
giezQUMdG+K0eU9dRrDc0pUr1frYeNfrhkD2WDsky/EQ5dlTaNC+iae1g69H146m2lj4zk+mCYOV
EPSGBbocpEPmR1eXL0WfA8AXI7y3xFoIsow6GHzBkaVZPwcIT7K9ubotlbZJcynKGhekXL20U0qO
cy+fur7rPpzUtL6XbaDSnTflMzeTBlVMOGD/wIqpr4T2XcWZvW4JB2eB/gW7v3oTqw1Hp6jJIjsg
cXNsAp+09Zy62VLGE7qzMdZzMX1z+8DM4oK0Ew+BDHqhndG5pC7AYhMrvxfRH2fEh8/0s8DbZUdk
6TKPUepnzzYK6puwNpoh5vCf3q7kqa2oBZfyJlxKZrrozsQxsyucAWi1myujWptxXwL/CU9omeAB
GtfKWzzaxMOM3umcaSLmD/adl475jub8RuWCljXYc35Kia5v0RUh6yesj0i17jmlkdrvSJLLf5lh
Jup9K4wckF1Yy3uoLS43DTbEjxRAK2BIvoRuL2nuYQuYayLnbCiIN5R4wfsc2tqC1pU1T6ZnrGki
tVU9FJp4lZ0FxgyI5KIbP1aF4T/oBQQFe3/jLPuanJd3xsmjFTNDAS7kDIg8o3r00xeomafAtsK0
+zctHXyB6PRpIrNGhtlNp12zPutmY/6w3Un9tHpnqSL2mGE6By/HeWA0ZiPcA6S0rh3bJ9WlsubR
3JH2Uy1J34cofgWdiW/ITAFgYOZbj74z2erSYWd+gq1qzMg4SUa050krlo3BeT9RkPq471N6soYX
ABU0iwCfN7DPa9LW3DtIhOLdnLi/sbX4xls+IouMHWLqgwOpWUS0ISGUv1CEYyWU22p8W9gq7Mgd
bXFkYF3Lc9F7wUW2Tv1IM11Shyrash9huBmsTJPRXBqG9BGejrXbcUjfqrdsHhC5jkXX0rmfOoY1
XU92TwSOqPKjubRZYFd39YFRKVUHEWezgOIvsDp17GzPPze8uv9Zuib6Id9gLsB6ORfOrgm4P3tn
rdw2bmmHw/UfUhJ7VnpkItHE1bxYQc9jwqls7uLGG3l//XRU13jw1h+L54CY7G2q3IgitNgiOvRj
fzAYxBLAaK7DfS6F8yEI+NFJif3rqu5tS0cmoJCBLaCzkYdXhnVn40HIotTZxiox1lzT1sh4LIjZ
SAu904wq12jlMF2eMUFzr2db6ZHjqK3paOD6ynfeENAFsGnLiB1Vg8TlipUr4FfJ4U+a0xbez02T
pXDIaMpHHtWidyFxBrjJhDDMOlP4Ya5AtJk3hB/R18+oi6ykV9LSVB0EpDEratKZsY90L+elVoyD
Wnczrm0DtOQO/UiKAa1aeZfroRPmziIAlMnYYKTBAfma7e7DKU1ZmNqlmndyrGl7hx19l6gLOtCD
KcnJ8tL7K/ZRCTbGbxW9T+yodNjw9BHG+dIEnmHgwKisIkk5UN5SiRjdjkKTustfdf1Q95wIduVK
IiyHZs8vdsA+dXcYN8xdN7Poi3lHB8SjeQuSYIsqCAECnRoilV299GmTbBUNAJTH7tYlrT97HxZn
Mo7UKfmDsdEwxIqm+b/ZO5PluI02Xd/Lv4cjMQOL3tRcLBbnSdwgSErCPCaQAPLqzwO6zwmZ9rGi
972wQyGKrCoQyMzvHUG1qC0pcSCGsxfse58vUPfY+cfIXoZxxfh5NuvUsjYR8iGWrWYmOrS0lF3s
K9iNbqPCSJ2YlLzhSGGWcQ08QhBCmgRZvO6EHdUUeqXJD0d3pdyksH0FtQWMzjuZSC9YUzTamWuz
zjLq4/HyP/DYlsbWdHp240GzKOwaX0TXaWE7V6K263eVBgYFo8AyPrmjtKsgq50oECg0Z6C1WWRY
OHA8MSIVLXTTjhgnY2Zxm6M7t4hC9INtki/LN/A5HYs2s6lggEXaaE/+jkkYoEaRmWNccP71zX2l
KPBDnuwH/UeK4DDYNfZMRKdRRohZ2abLKL+um8rr9pzyYQxrgM3yNCYCYnPJ3MkZZpF/r5qZeWxn
M0Cc5rZxntkse+tgNy0bbUWFi9xB1BfZwa6L4ZoEDYgOAnyn7g7BPKFsNcuWt4pjX73A9gMUE1+r
BoZfhJbzys7yNNkUbM/OLnVLOot1Pdg7zvmYerCfldwdqBXvECSlr7JOU5BXKuyW1Fk5XgLic0wd
3LC8LylyPKNmmeMzgeD4mDnHJsZOAvzjhzeRN68N7KA080605a5sVw853ra+6ansC4uItchyOI8U
Sk0HOykjbzfZuvxmssgzWhBoQOG6Vt63rlEDEtMsFTR10JRJ0U9W9t2RVy6+hcoQJ0UTZbxtcpH9
hJ3IX5DvenAquhg+Qndouu+ML+isdolIXedbzWJV0p/rwOq8BoCu5c+cMtnuWReOEW+8goa5dZjV
dECAftXUeHsD1GDkV4VkhkErsMJpy/pgU8k8r5BTBupnWyYJS5vsgFZRYMbRA2RD0jNLjd3biHOl
WRmJ38YrK0PxvB+TmFgnZkzSe9sw0u66QC5wWNrGTLDiMA22Al+Dvc3YJ++rgKTbFbjScCSnt6Jr
V2TFk2bVbLcZ/HtzoruYdT3UZpuuW7YHfT+npj3tnYQgrVXWihyuKCjEDCrvNclF3cEyUlfqxgno
rJcUm87gH+1yEhuMYzO64U3AIa/c+oY0vSUlIIvcA7iLwiJgxRyt3sKQ0PinhhbO7kgwb0OUMsM8
F6r1rYaxPQpK8lAyIgYEBUqobLHZU6UWdhGYqtLl4pOSlW3x2A418mebdmZ4v9rQOzMdqY4DyvDG
i3EcJvQTZR7uInq9Ipggh85TpLkMC1OfSPpK6catLdg/PRz5XwVTTMC/TxagCxjChZtNm/NK4tTL
Iq20psU1aTKSquOeSaaGDl/D0wQ8eY0nv/dsUvcGFgZmQQM+ELPf1DjrApv50YnG3t8afTuAIFYk
WG1M0FzqpB1huVDVZj+vcrpPADrqCXbUrbpgPBmuYnkbw77Re3NIs/CC/C7rrOfeWvmZX5i7qkUs
jDuV/N+9lS1Zi4jXY4vlsZh75kcE/s7QWemeNEyPH+7ktX5s4pySsaT26HMbTDLZgJW5L6djmxdY
Vfw6/DDbfiQHGjUCjaDKN2rvzMxAO2KPKqFd0aTil48uKH5yE+dT0fwMKqfb53LMyquxAOQ/KhDR
YoUn2fG2veMn10BLst+CnxgxCCF4HDV94PLV08zYSmPPpCWeIyNOxS2lA7l7LExFcBx7ufB2aYcw
YDuZAbB+P7hwtk6Kp/bSxL3TEpQ2JGJvwxkm11OXOuGW2Ny2ebHYEqsb2whbY+1OiDpoalagfHbq
tX8qvv5Xm/wflIe/SKb+pk1GNftWff9Vmvz5Df+dD+b8AVSKLI1zl8+wuvjN/pQmm3yFUBmEtCZf
xfnFV6qaFPv/+o/r/BHwL00GePzzfA31nKwpEfmv/zjhH4IYZwz8gjzegH/0P5Em/z1dGIkzQcYE
eiAZ8izvi7JLkHDeiZiYZVJStSY5KhP9Dpa3AjUdF/Y49/HioFVxgpso0t62Sy24TWuwyLj65aJx
jRaA8Vdl8VdRm0m4MAowMkMF6CqB4H8VtSmnHVuJ7R5pSDdv48KPtkPX3SG3sH6juvzdK31RXfp1
a80D3Ny6BBHadjHpzYB82bWXchb99w/1TxfYRjuH8hsRHRLZ5b38ovAscHqgBDEFrhuPVnOoi/Vk
Og3c5FhsqwScbnagfDxrpv8O5cjOCMLo27+/iX/6vL++hy9XVjuDzDzBe0j8JL227Zaq5HhQd77N
CPbvL/VVCrn8EjFYotgl78sk0+SvH9el4ILVn/sp0PNwiXcLqZ5Hbg15N8TAGsAS0yj3//6aX2Wf
y2uSabRkqpoB8rMvH8+lKthxEz4eohc0cEaLrdii1ZW6Q2kAFAgLy3OqD//+qn+v7eJll7gmQbQj
7uavsv45xgSeD5z0OarXz4E5DJcIN3S2lWr0KEK2J5oiiCSyzA2UaLhxwqgQRwKOAvU6a0HSshs7
rokyw6P0vq4qjWQKUeW97LVxU3nAbte03VI2npWt0d7ZTpfmf/pJ/pIX+LtnjlodKnWIsjA/l62/
3J15VasgwOPoOwibqCmK8kM2JZ4FSxrlL/9+xf5mvcVKIRBwL8lm3Bw8D3+9ObyalP2IRIlNQS3D
nebwcCyNClTfRWawJSAkO/Rc1Gzr+bK+aoCbdoOyjIfMm+sz3Eli7v79Hf3tbuUNLUGLKF7RzxNj
8dc3lIauzPM8TjaWPX9TaTZARJL1VlNcu/W1Fr/RRP/DyzHr82RYeFe43F/WgjxuOQ9PXroJ3XIx
ozE0qyRPD6hofiJrtn/zXCyX81c5O5ebJ9FcIt3whSDs+Ounc2iztFLhEglLw6p8a+uoC57KuKq3
TpIY86uFKoedzeNYod3e+82iw1Tx9fV5JHHcLFljPB+h/+W5nLUTThXZKetE99UAX7qAqDENFrdL
AgmIzCfMqj4h13FBX6ETAGL7xgWUTRFQ+6vYqKNx3XwCt2bSN5emQYA7TqwF2h3+hHk/Id/2E/5F
8T09zElnMrAGCgJ48qfyUacOsHEYD+gqM5cGD0ZSDJqHKGranxZTJaI5M6huqqQEDHPNSoFJ+ws+
jd4QqNpv4BoOMKZA2IyP9JGIIa3Sm672nfHQtAGQN3iQCXNS5fq1wiVX7MqMyrhz9wmW+7SX3Xeu
ct6HkuPzDh++djcyR06ytlHYbcQn9A6oFXyYdFjTcvEJzsugDe7MKVD7BZZj7voE8QHy+2HjfYL7
ljUajIaDmb/gcQ5vhk8iIFw4AfeTHsB+W9+6n6TB/EkglIX2HzlOQyu4eN+v/U6237hMoGLBwkCg
WYOMGD6JCUqmICmkH7s/EKdAXYz4F6ExikJ+eAu3kZaD90LCAYRH3WTeRbOwINLK9MyEADfi5pW+
orwx/mHO1ngLWERMr26j/DW3gzqAqNKaUA50t7fYKa1kQwm0y2mYhJSVqr35PuuqGo2RrsW9Ngwy
WEhpU/cLK3infcWFKpQ1o2pAZuGspFXoA8RWAaNclMOwGkWgQYdpBApWVedj2zNCP66pwlY+4q4p
yvYIQ9KffeaAEmWOkV86UYtUcySYhqC1Wfjq2kXvetFm6Qjbx+N3xwmJhAwPxSBIbk0EqH6aolio
vWdMjneRVLXjXDDXAp6tGNVUtidJLXuskBIj044dOayoOQKSrWu/e5TYa4BI8tBpDo4TLnPSUHr1
zld0lKwcnE1EIaSZCypa1aRDoK11ZGpd4ZUmDMcxZYyvCDLK3nZlO93GQlTWWnKuaFcNW5e9NiPb
mzYlEu4Pm7Vm2uoug9vsEoE/K5xV/9oA3be7xSRK2Qb4/3yYiW3iUXHwnxNR7vePEGwSg609p/Za
96qHr0h17m851so3KndiCs9w363GJq+If9Eku65VaBlXcZkw/FpJO1bIeWNvPOe66YhNshpr3AP2
akqYy6bHuAAliAczmLE9rDL2kOrkQt1kjzUErrfqDUX7TeVpprw5n4L5HPnzaJytDlrzecImobZV
07rtjmphGvjA/LPpGI8IArFmg80NazTCU/G+SOacdTgW8orGjnJ4wtKQKCxTVp5ciw7h3oqTeH2i
Ty8BTCN4Ttw2rWE/u6Jf1O5sRd0+GgsD5pm7MwEvbUr8t6GEbrEEEYVX3ALhMyhe4x0XrVaIKp/c
xTUyjlAfJzwqKa1TGXewF00FpFgCTGGSxrga/MqhUajp7BtlSYbEJBckFfXpLGF7sFcPSP4LF2WE
KVhB1sQjuOaza9jJjd/E47vpDnBBAOSp3y9t81H7ioaro6a1Hoe8EufEUq0F1wswXJ4iO2r9Q+2l
nvLXSqHVq1cNiD1on6hM37kuc0Te7iYUsoiph49TPFPHiDoDtUnj1HsoBkRYpAZpnzMPHqNmZXNy
GM/WkJflfnQabsLBco16A16LKG80p/6hdbwAlWxm0rpciIAeqoEfRggQGpvn2RU6WpkQxfXa6AfP
2yl7iPc14GN5dmSTWwc597K+J0KHrvoqqzz07Z56APENLw2zSyhU8vSAUt2MUHq5TnyqO4q+E0Lo
Nx70ESwU0T/omZtHSXjOvQNIi7WhVS72fJNOqgLfw1sEv7cjvNxczWM130myHh4TiLpLah37jUdX
z1NkUEAZxEuurc9UZDHYj8Z0pmFpusqy4q12IhID2sjrttXY6I3sQfJ6WaRbmYRq51iI+HAJo3al
+XlcxVDMDxJZnUDZZooTvZLUVwT5ViBhQyv1Lca2tXHAzVBsJ717qMsh3ZEbGr6AeRkrTQw7eJeV
Hko7uCRWKzqLDrylTpA+hjDx3VDZF0THvkZj6G0Rm3ePAYISENNuPJB/oN5clVHB5HSKHZcKDO6C
IC5WTqLkLs2LZNeL5hD57XMLV8mi00zBmyxlwJGpKA9YRoYjyc3AipM1Yf121L6ktxtHjxvsw7hg
/fBNPW9xpnxUYf2c51GBSCDZznbLYm+hxcTVpJCCuVN2ziYqoFLaLU+5bGycatg9ndEx9yXcCu5r
wmnezXA8Ij6IDnmFQGgkgBbM3STYASF7PyPO8GVGeRcmT/o3s5Gehah+jqbRe46kbh5s1jdypnVw
a+Ad3ZYKiQK6/J9U6Xp4UZLFH/Ix+SQwqra4hb84hnGd7Q0re/ZN/2YMs2lflICL+XKtiIcA2clB
VnQ3D+E6Eh1S3YLu1IiABODi5EKm5oMFxL6uEHavkbO1uzGT/oH0OPdizqn5q9LWXqeGWsTfAmWE
QBn6EqV2320ikoD3ZmXZVxk4E9Ews842nTXmtGMpUCZ8R69O1Sb3lbUA1oHoW3cDaB/QtRc3N4U3
e7u+VdGRCeXBJgXjakzdxRHSVtdIuS+6NDyUDeJhGP33ZLSusjC6sDpNzkRmymPQ1/qC1uXr1KlH
WlAljWMNokA/BFaqlgUEWBZFNmPNZaOqBLLDC945Qhtg25pSNS+c1oIeuFOmPenxEyCEhaLEjYNg
DB5olLQTj+y8bJyXyYw6bS6caEtyyHEyOQi4o309ZP4PMfA9PREkB1dmCALEz7HydhzH+uvGWFDu
KtgrCyqdjJyPCLn2xtEYRjvbuYbcUi/wuMbR0cltrqEoVoCs4MpWSleZHSjAWl2g+/A7ZCPECJJ5
xE2EzAbtGFI1GJGRsr/U6Lcc96Jj6o7WhsxWtU2r+bZ2uniX+OVrLFVwb1fmRR40aKTEsC+RLlGj
GZwj3Ca937yRYcZMash7Q2XHPpzXSKheejt6mAf6UlRL924tCKxK4jeKMscV8BJ5bW10VRbG1ksb
VDeyTU6NybQbLWkEvfkhW61QDNbBIm0R+4Tw2TVavIDhE5a+mMt0G6KWBcuMnWgfYwddLnnqvdSz
329I8fkpijTdJNW8QXqj12n33pS2i5HPqvD9oedsGtBMf351RDJsE2/YaiPsL22UZWR21/TKsait
WM0DeKJ4fERumAJ8zsRJVJ2tpo3w6I4Y69ZTnEdA+7nLUS4x/JFEt+k5HBJ6EhMQkZCd9m4NrcZx
1M/xLdeakniEsCxug6FvU+qGAemn6jkZPXwgRAMR/6EoLw5Xlp1ABqnREj9AZmHtMm9AKmtyq7Xr
Avl2DspS0iPHXsmlr4qRxrqy8aqjmeClXrmoBoeXsPV1uofyaMNjo/3+KlNz5OzMyKlvcoFSaN1G
oX0ohUwuLLZYBvfII+Sv66zpKPIiPBiTT1ITJUUZd46sYJ5Rq9nvsUkiH+HvuDS29IN2P7mMqAiT
nghESXf3924O4Hy7aIB4JeUP1F/HzpjsJOD5azhMDllJ1eyqY2OF5pUEuuMyGiIiJq5U8aZIfOsu
mNOiJijDzK5EP8MSI64P3nC+mPqeMA98Ar50Zbp2TGQSZNi4WbRtOot4R3p38VTpIOJoa8Fq4l90
MNVBQDbiCSTjvimbOFiHYHLpSoxtka+sKqFhBqyCPysH083Cayc/mwi/DHEyDgVLDelO/T6uW9GS
UkzsqGmr+jW27Xk7upH1hLS+t3bZYMhn2qC6bjPNFVfJt7B2AMDnvsZlEHuX8JO9IKBDdfx1Aj2w
9hWKIoa3oXzy/Dl9SuOSG3URWTyYoOsFYR15gGbSo5walVHUvcpGZlyruSQRMKIIco2xtbpJZirV
tzF+KLaEBc1f+35fvNKkEXgrRdrTwbSKGfbVctofkeWnr+Q9KyhlMb4GaBGPxdDMNvd2Be/kF6H7
3JNDlK4piaO5XSIt4DSt/WndjCCgEFkhlcKpHsx3laThsxOFLEMFeTMst7mBANGeO+9RNngPVrgq
qAwt7GK8A9Gvv6OxQ7Poxy3xNdRGzZcIjQBNIX8V88jgIMnDteJUe6M26x9dMDuvoozcB9srG4lm
yKEGNVUuBoOc4ExkggO2OQyXM0lgbliN36H7bZpXKsjjFbGc5p1T+P1tHLlleiF5kTskXjgfwPkM
tafnJWeXHL0ClY8ciGWyA/1OY1l9OxsxVpaWuJenqLbaD1UIfZ2TRQzTYbioDrwhbh/KzOqZbL3E
HVEQhBBcrkE/0CZeTMY4T8mnW9POGtubMHKdV6+KgpnPbaUfBqpYRGoiwmrIB5KYpZI+/Vmlk307
2A1DDgS3lBtOBvolQNyDBDHwKzKeehLT9tJqikfCmEwfV1RZfTeGwclYiLv2TtGIie5aVygvA1ba
eAtrJ74jdFm4/FmQPS6t2CPHKq1rvSX3iyOn1uPcIwya58vUxnexadzJ+FaooMN2pel8gZUDQccJ
M8l8h5VywreZFwEXuZ+ZmtyoM/ItmaNThwArsHeMtmwXyZjFPprFwr2zS+RFeCNa67GYfYcfixaP
UQx1pLnCDV/2JAiIqqVWhrA3NeBc3M19jHE6I/rsWLpzbO7yJOtpTiJjvqf1ywrns1tAPKxCz8qe
MFGVSNUzJ7n1OZeaK8Mdu3rr6lE2qIQWY0dt4wuGilxGH/pf9Q9C8YdkH9ZRxSFeKeMugEcLVkL6
mGtpsvPzndt046NndF699kM+Jifoqr01dRoT3zaCjx8CmJByL1D53Xb9ROoZPXgi2nZ5olJuLEw6
W4V3B0/UKFnOUWy0zGNEL30K7nC1BM+kfCLD82t2qF38Kc+j9zR/+3fA8B+QdIZwzkdM1MTxfo3b
qERJwUYJc0C2gb8KWFEoivPE3qiq8Td0yN/AQt/FjGWRaEA8BNlVX0gK5WW5HpaXmvCR79rSzjd2
NthY/j2kzVXxuzr5f/hoy4eyBDnUvuf5X8BJf8Ay5S7IveV3LO5YmU/cAjyUBvXc/8OrGIAD0wVA
J5zl06n65aVse/Q7bNO8VEwjsC/Y3yqXA6KNBe7PAof/JSX/Yy5U0/+/tOj48eNvrOTyHX+ykoZp
/0H2O4g3WhDHDei9/L+0pGE5f4DPk+xD5gpmIbHE7Pw3L+l5f+DthWRxzBDakozv/8dLevYfS0A/
UUuuywjPV/4niUl/hY4X2JiQ65DXQngG/el9ga6VIlZuSJ1ki0183hQZyC3gGwsjNjBalblXOkkj
LbJMqtz7Se5JLIzwRjBE9VBb+3mcx41JjB/Fi1S2qHpstrKeo5dszvw7Mu7w/+Wh3IQl6WJUZ6Mc
dnp3bxutuZ4bn3MuJoGtpNwMOVYzblWHka1ygQaTCtOUbBnBFtR7gzklu+SYUHA8RmeOujDYhHpC
B1eNyXOlLY20JLcIqsA49cvv8x/40i8E1HKRaKBD3OSGIIO++zUOCQW6nPxq8TaSrHKVMgrTaxRm
xbEgMedxHPzxEWVGe+wdPIqKreK7VBnShVL1ZcU0bqXFOu4t40YDVj8CZTSPQtrBTWb6xlstVflq
yM59m/Lqd02BSynWL9TE8taXpC6Td2/57PifTNEvrKipCSLGbmGQ7G0HJ9ITkFlafVafAvwbD8QO
6LtZV9lzVLnWPhJeej3qxcQ24o558oqOAGkbO9iC2Bzyqen2cTIZ14IK3PE3hCYX8ut7RbHvBqD1
/EcUxxIT9itHhv2zJhuWwFjaQytujx5X96uJXKT87ntd1NzgvqlbUC9pVVeWNBtrh5kCPW7RjLQ2
kHrJuDQFlADc9GBCyqYu215M84NMk9eyiErzKiHgI3+sjFCWGxwl7qVl2CBmLfKm9GhPsFKHTI1O
+zAtmkfajRU2wnJOPY4PE6YHY9PGiaou3BxP5nHOYu62uVED4mMUUO4l8hpMfYRMVO5zEflygnzp
+m3mT71+nIeANDJ7wthJ2bC4KyucOhniumhbIwo6kgxgOvfgsoF5MJFFzdvJIXbi0MRQLGT8hPeO
nu0JFL7T39LKqH/EslH3mpMdGEjQz5c5PVNsyu2hxLePHJOEDRTvLc9PPlrJbUKSw3tttoOF56YL
nzunEseQVL0OY5rt3GBaGt5KKcWxiALxo06INF6VSVwu4tQWrRB7V3d2VNW+4PgdD12/FKcovOCP
eR/El6k3Otah95nSCyTKdxMizDu3r0vyNIfuhUj9/oQlySO+004+MAKAcfh2rl90UzpXs50W25oQ
ilcRTlOFQBXLHvOduGRt8XZFUiT3SaKaW609LGdeDUoJBAwg0WdgKGagT2nTJdcu4AF+J1T1Gz/T
TGiuiOarwjCLHTKr7AzaVZ5FaptX5NhAbbhTgYlj8Mvu0eEMe/JjC2gRQHGDDGkgfMarTo0wwktC
B6nxSAxLXtA0qL/V+I7vvHAehk1YDe4phXg7N+Vs9WtRUxcdjFmKiw0D8x5JnrP3WG4vGmrYS3wy
VfMUdTlAVxiVixpMtM20nWzX6M4GDgLvFijLe/ZTZR8aROGnwYWmM3oRvHFSHK9VbQY3/swttpt0
NienqHfEfFd0Mr1PzDFg0OyDczaGw/3oS/HSE6djbDKGjSPCR1Xt8aBZBxRozdGXg0GyS5zWT5rF
4AmkGvcusKP1Q6ssDGkMrYe94OlK1jHhZ9lqHAPktzFWtJ2gz4cOr9a6qCmao+ydtISTQiq+r3sT
kmC2x/6yo7fhrnIijIg9qr5dKOf8kHoESrI3tBHTml+O21DJIDzIpe3tWDWGWW5gNQvSed3umaUN
F0vX1Udh+9kdCbrmqSM8AZ4q19WB68zu09sBzQ3IuD0Yr6D0k5VbkCxw19JB/HOa48HeNpRUCmxf
qO6uaUtWktSisT3Xkx3f4UBSp1lP6AgsTbubEZnZT3fApLCK6rg8zyVtPL2U1q0iT+k1SYfmveb3
sM9kQmIyNv1t5RN9U2kGFfI9yeJVDTZNcIOp++hDP39v7Sm+NdNwcnYzl/CinIR9JRofa2EkiuZQ
9ml03WcBLDxJUNcNQuZd2zoVgocuezXdPsVCHDacGyc/7i9IViQkyjObdyQxPBJuMs7ZzqUT7CUi
JvHgtEXxYE+VIGa/YLKFGlr0tYmVF7dI6O0Hzt89tG3R7JxOA5lTj6RO3Zg1B8y9ERnB+EjXgYrQ
Dydef23hdb7t6yi4Qszdv8lUBJcFE+H3MGJ0Z82LDnGqi1e0rcapT5TBaufF5StU7gBFEeN62Y9Z
FapDwanV2Thmn7QHn6gfbH4yWTJFIc0Tr4FWCWyd3ngyiXBe+8N4ZOwIxIF9f3xEk1wJjBUKgxbZ
SuOGzrjooilM980zW/E4YjgAV2mFe9mqNNr3vdteOLmbImS2SCaL+oZUWLdqLRJWOnvYSWMxADiq
kEfhTe09v6GAKII0oqvA0pAJOxKDoju8ZPI0Ahhv2qIybvohqR9MQ0+XyoqN26oIDILVszI4RUZE
0FathndMX2Gzmdw0uZh8JhlLxSF62MQka7WPh2NMIMs1q5DsT1qXBZkByRR/izuLJJ4MvmKd16lz
AXDQYJOhlw9pKXLFjBxYY4sz3rxqjAwWeYzHp7CX9t6SnQZbjsYYWiJuIQABeq8JkKkuDOopu701
zR0R/E6V309u6QCoYSDZY60oSZ3tPetYiiLms7dm82Q4NUU9tsbvfm2yfd6XfOJo8eTIR1TW5W1r
N/0FGl/LfyBNyGdbrFWyN3GoXVFEAcratmxHTRcEq1m4+SUDbH6l27p5xpaFE5tdr3pMafIlSNus
1cHvR+NWMaceB37HnJf8Xj57Tj9xT5jxMcDeiMQfiBZiLb5NZ68MNkNuBIcpLatt27rmcaqs6q6f
MWbPYiiuenuU94UK7R+LGXEbuEXeABUb84/QwAy3yiaVSi69G+w6xxgPAwlRNwnN4LsqiNHA+lMy
n0RiGy7MKKAYpH58js3GuNQGpEkfRvKuMBC2b0yLpw/8Nh8ue3OI1Jo0MLOChBLZDvgepW8yTbju
88ZNCbLoiz0RyMO5MzLcW26XXrVdXeGZD+xLO7fMs2u3FnXm+Ckf7IQcoFPuFdFZtwV4tzeLhyGu
Iqre0i5+8G0gkVVh9PGdhM/eYkEhxz1wxu/oIXR92bgjWpg2qmC1W1G5O7QJ3U0zmuaxQuqLpTWP
7K10TbMkbAj509YbpyG6kFB0mLbVKAnIJjUMTxBw+Zrnn2VIV2H+gNvc3/leShxcMFlPOOopHCL5
5hA5ffds+IYSxxTPPFBnmfcgjX5YrNM2Lx+EAz8wZULFO2Xq7Ik/DmdUWPUuAElBMVhmwzMQlzql
QVwTVi+gfTN7YEOGSIzYLYy6OE8oQ+6t0k1JI8iaU66JbV7NEQ1T66Qv05On5AwvI5vjXBJDlXi5
PpaUgy/Y5ag/YJfNh7wRzWsk4vgHx88wOJJ7PG4TjtREsVC1csGOMR2aAhPhtiNb+iIhNLtDTDbZ
n/jVyWgbl6B1091RPYxFzNL2gctqwNj27AZIkZybhne3JfktT0iCp6x7lcvYv6Q/J7whSc3YG6lp
HOneC/d24uIvJNLqirde3DeELE+7EpfIz9AeCYOwzfY+gOrdGUPt0HKdp+dcRcMrQbf2ZV8W1bXD
Dn1VK87HKwLXFC9QVu7eGi31Pe3M5lSHSYwBax4v6Ozpy22UR9ENTEZ4Av6fdmFKZdFGVYu1xkmd
ahvpQV+TzBa/m1VfrCnfrndOkxtnM684TMwBwUGOGdSS/hsf61I8BemLHxj1jZXmBhocH7aii1Lx
NoFVo5+PlqI1x2MpwBftH5pctidt9/m5jFrnAOnWHFM640/zbOUfBmFn2whtOnYxBzzWqJT1IHF7
BWtzwgV077MZYKZhy4T49V7dctTfIIKVd8rQ4jYHa+lfn+D6fnbJIK+tpKSVIBuKc9Lb6ZOXTTHM
StI8OlMvLhxJO73SnnNUgjV478d+d/RJZj85famPrpKCBCkVlbd5Wgctj7uhzm1tgKCR1+KfdEYb
NA8x+dxDI6a7gEiL90xmfrbLxFi8u0naXBMEZm5rjgavkvXlY+om6oDdGodEbQhgRqIwtn2uqOPp
uzR5i21ccesg89W33Mi6yyFv7Z1CuDGv42Bov4lI5idEzLW/bssQGg9dzEkYgcGJuXeuC/Qq7UaT
1nNVEFCx9twYoX8+OmVype0ivBGJInCS1iJKdrw65tm1/P48xAzS5MCF7VMyB/mBVK/hKsgmIZAg
EOV0SXxJecRmN917pDU9w2KwujSJFO/UbOdHN2l/lDafvteRuKM5KLwac5nFWzqa04tUOj2u+FLe
Ig1LNynw/X2hG+NdtqVWW2xOcbCBsZnsiygcxbc2wPV5qOu2Te/NOZtXFFWlr54Y2ktEECLfOsZU
3vqZbY4PQTOIa0dFyMS6ckl4xwCQfRhzK5uzrsvwY7FvcuDObf8E4m7XV7UI2kuy9WqBLsoNCFNM
kz2mTlOu6Fvv3lwaMKBIXU8dB9H2PyPpD29ZMcqTTCf1reLhNbdE+XniAKM67XpYpiMj6HRPmykM
K57NEk8mT5xVx92NmZiUZzlm9dNLw/6Ey6S8U41JokgBLHKboL87keK0JDU6RmCvLNrwjiM5js6+
GVyb1cBa0iCIXtjQAjS9tqLGs4FQI1/7MHZHVBBBfZVZHFA3ceSLesM9kFQnj2NvupKBpZz1hOvp
wINHbCVsTHMBW6ixJxKOdzl3XTkdMstQrwTzVh8lMwOl82YRvOYB9X1mE9Y//EZXL6kx11eDZatx
h2OvvqYcghJAvvsp8th4QHQ8+X/YO48mybErS/+VNq4bZdDCrGcD6TI83ENmbmAhobXGr5/Ps6rZ
mVlkZXNsFjNmzUWRrFDucDy8++495zvQDXsx3/UkcDN3R02F+c9szrJepEZA8mMInACDm7N0Rvmq
YF6/VduBsjFeijO5FPO7goDlPp07+QHl2kpLGgkYY4FmGbrATC3pM4mQ5ZQcBuH5EIv5JpSG2gc5
bucXGf0hdw06eM8wW8Uje1m+4KatqgBKm4nbs5s0H0kIuwwM/RuEQqSSDlq9yeSmhwLTrebLQA8q
c7S1SWFtjB0jzRTH/DHsU/XSEDnt64Ja3woxGg1mE5wROKVRPNsMgGpwpSCFCsKvNCxDpiSc1KZl
npYh47kzSwzM0OB0Ej2KiKmzUyy5yRl7lGnKKCqTSzSj9V075qni602Tsusac5j7SG1y8KH8V+Pp
vSIwS4/n+Fhl7Ko2oHURoe1Et82NhHTYsWl1j2zl1hGZG3xeGkWC30RZsx9keLENQIeXGWHuozws
xj1T7+jGkCJKQ0Z6ywftKe2WBxHIGF1JDmIbAylax2E6RphxLqU0qZdwivN9pY/CsTay+ZZxZ5Z4
zTSQ7laKvQYTZ9FglC6j+RznKQc7WZCt47xq6yMhH/kGkGd7O7SJAV9paR+wygkWw7VoZewvS1CG
FDMKoWOkT2arZU+xvqz7KcrGTdd30q7DY/PcInRDWYnz/U6R8deZfVNvauSwnSu2RXWGZo9pbFT7
rVbkJi7jpqNndNXvNfCuiYAjyKV5zMhovG4PKDxsemqGX9HnS84zEuvExXFGf4KotmcdimPmgMOY
Nyb+4LNuDO2RgpCYjoIhOzfIoJ8j9k02mbncKovBKqX0f9bKtXjKrUpkXmQJPmPn1i+zubwbpmow
mCqvHFRiRmM+uDZdI1yP8Ita7TCf1QsTWpgWunLKdGiBfDj1gWE1t8mCL45sHEIf1F0I+8+wQ6at
pi0x9i/8KpLS1stwfQigH5r+FWzsdEzkMTlJQseRLTEypvWSxujDRXPRCDfx0GeFi8cp20fpCD+v
MfLsVm7NeTtMEyUVlk1ZOQlyyZ1qdpO1jwXOVJc6zAUosEKf1h9RY63JpR/1CKVfRlVTeblOi2Ir
t9CL9xBCrOx2mDJlOS0pwA/gRszJw40u8K1veRr1hY3xCjJ4lGokhCercMR8ID0beceZxf538FLw
03S19lZEvGFgzXX9BJpKK91/z/XIQDwhDx7z3floFI1xC7QVIRJqHO3y70WrDSFTvsjrJE3wxhxv
f9ul7JacVu50dejuOkUioSkUWu9bN/l/BiV/wyH1F3MS/6WtPv5t212HJd33Hq7rj/0xLNF/kzG0
0GMnNxUrD4CCvw9LjN9Qd5AHbPHVa4grg4r/nJUQL2EpMvMQU5OZ6l/b8394uHSJL12dX9fRBqMw
xoj/wrDkagb7oZmufTOYEZBsouOQOdD92KCG0caxAEwgSKekO+MQlrZoke5DoGTeiHBla7VJxxNi
Vr4q0jDuV6tsnTQd+l2SZqUvAXwxMbLemRAUg1rq3k309QdR6LPzjNLtu6v7D6YW18nNf5kSNAwt
jJ04T5k4E1QFxeiPL7YlnLLprlG8UJCGi1Qmyw27efeLrv23MNuf/wxXHyUeXDR8bT85OyazDtNK
KBWH4h5GdplLhsMAybyvlQpwZqXWMBRSayvLV+flpA7NJR4pEZBnpQAOkis9z5KUwk9jxdwoWg5v
Lc4RPlvWkNLAQ7yBNnoRPjISpG7EpkAj1JCYVy+EN7HHpusZLazgAqDQ7mBYRZheLQGsUYo2gkjS
QkTtXNHyeVi6AuVsElfFBwm2tAvlph6/WhBSfpVJ8Q9uFK4/E2U4MwYzGP2na99P+apqJGA6jYDM
NO0XH1V8/sCTebzRQa8uLiLeKEDslYINz2d9kwByEO2ujadLPhJ847Aasm3fZzc9T1k2Kr2Wzwle
dYJENXh5i6r8KiDvm03lx4+SQbiBUxIfkkamxk/zF7wi08pfkCBJR0lnh+WE/A3RMofbPBAHfT0T
NdL5SotcSb1aGnLNWBzUoZI3ERNC5hgnaWTAy/IuiwzyaHis0x67+SkNp9Oqw4hzRPAP97C7RkKK
xJqhSj6hPqmkBe3RX9//317uz28HjwqfhCIyYzN++hAYrXZmx+KAc4MrpC/DHPqzJr+h+aBJAGQj
3olyHT4kjIFglwwwZKEttz4gr4jrHzWEYk2KuDyKjdI/IvYmInAA4ImOBNE7FXs3kyc/DIxI1wV2
+zIuCHvQXZCHpczp1zXN9BZ2MkrCXob1RnWvN4B78ZB85oOQ2+WSwkAiDVIr0XiVpjMs/QLYdJ4Z
cdDC9EKhRjhlCOjwceLE94w6w+cBELvD2La4EChbvwwiLz6Fi4wg1qoHJitM6JyZjsGXmCyczSKZ
3XuX1wiegLDzDqqiXfC269YR9YWAvNaAQkjhie29l5LzX38I12f5T08hjaG3ojOEZGbNu/zxKSQ0
RduGoiA5BAG0HxpthY2RclnQV4eJM0etnnmTHCKvLPUrXDWyfGYu6iWdFA4FgsBnAhJ3VNvxNsGG
rnooHqT7Zozm1Ua705zIhSNAS1d6usfmFKVHa8HxAAExbGNvkurlOITVpkbFRhOiTvigoCNBkeqG
CJ38eFg4PccO0hx0gA0ZvQ5HotwjiJ59rBSGx3yEbONnWcVTBPHosWxzsG6RnqV3vY7hxJ7DpXVw
1CGV6caIk8IcLQtRjJOwHIyGuqpW8fGbIQmISqwQQSh2KLA7udgLUdEdMbpDPJNzub5ZBdLnCOIE
fTBNBJklMxRyF+JDc4gLvsEZ9ES5TWT9dLW0u+UAq3zTZGcUnGJhW2vs44WI/LIOjSedflfn65UW
31G1tTk2K2EvyGEPkSsi6rGQzEe9yeeDWij5RV4tc/7F+vvRFHfdfzR2SsNipEuEkC7/tDGQ+5ox
mO5lXMbcW8nSiodMsfSbhml+sE4KOWZa3r1Wayz+IsNb+vPWx59GasEMQUY+If70ICsihJXFlOLP
oUT0NKGev6Qmp/1Wk/edOeZbtR+aQNPQISOJcWjt1a6Mr/+Ie1/16O5N9kSj53eFzD+1gMo/ay24
IrpkaRbLgHeO/frHtSDNajWb+SJhikmUKzZgDMAPtdiOUIFi5Vl9pVZ0hwRRUN9QAln5Uf4QVSG2
krhTbB2yUDC04VWaVJgQKPpA71UJjHcYMSLFUGHnpfJGDQUsqqPq/uu1rCFi+Xktkx5ORUFBhcpN
+WktL4NaoBNjfwgFNT3oJSh0j47eUm7CTKJ9o8BqLUUzQSzWNxsUrBZ8dDwm4BzXBTh8NBNNx7MM
LtC108gAEf7yTQsnIvSSYbTcWq+lA0uduOaWrCm2Oik2jmk4J25pFvlWQcEP9yafSedLuJ1EciV5
gthVG0l7GoWI6IXJMvfIOFAYUnEkPq2fddNmPD5UpVue5d6M4dCm0nMBZ362EzkeR5haq3JRsw7V
XKvNhNEu+kEENNvoRf9iLLmFwqVjsPjtgT4iYvnVXvVT4Na3xWJw3+sy08trNXW99N/JNLBTytIi
SdiDu2S9D5mqb9ammNEJEw1frJKGtYl3Ny/9HAzmgulnmDVPAda6nXiVNu2+0APm2h502qTBX3/w
yj/44MkzZqtExKSJ2jf/6XevrovGBQupSGEA4+SpaVCSkBViK5HKmCTFPJSLeGpFvZK8AQmw0zbN
l2bMpp3FBDyQ18TCgaQqTi9Q7kBblLf9MNLzlXALdlFKYyRWHzBaYNVcsdJEer3c1nEqeBa6hC+g
otKbnkzwoDCGYgMERvjFo+rPl5/eHdsT+hOJ2l6TlR8vv5AkkGCaiTcoZTJJ85JJJGMobQmULF15
7q1DW+DCk0Dpsn24DFJHa06AVo28gwGhcTTo7yJbzK/WnPSn/ZNXZlnXTU0RobT+fOSozSIsRb2A
KlWq6a0KpcYTlnZwJGPcZqaUbxLiIu3efAaLdB1a7Gbinf2//vx/1uVwe+K9R7lGqjfLXv9p3ScJ
QtZGta5k+ulNS1SdTgz5KYUcrb94RP75TuNPIVTiMIGD73rK+vGDmLtrSSTmEvLgOb8F3mc98sYa
bHxGGlSzoXxlM0Xv35dafYsMqPsK+SB6lHQkLG44Y7kbNU3YyzTP8PdZufSaVcPGWntk9E2ujrqN
17THLpqv10x3naAbwihxjo4kOpjQH+/FJsV1kFXtS4kaO7+mADQ7I7Jm01OV9FfxUv/g0ppoA2WQ
Cvp1tf504ymaNYo0vwl2pfZwy3khu4VUUwJ5zPVhWFTVG6uluSy057Z0K1LYo5N6qkbVKGDpTwoJ
BlN8x3xBa4EXjClKBTGu3xDuLXfJ2u7Foa3ui7bsKLTrsdLspTBbOn6r+cjGrfmjENFaknIc846G
rB39PgS+Rr96Z/OGNrGar47AKOKOoVv/QjLA+lE1i/EFZr35nBOSsVcE2Xid2IeodWs9O2KUID9I
6ifxgJe6QgUeZ1tp7XP0cPgYCHoz7/V+mJ/rmZAMz6oeOOGNUsDooApUKT0pJGh4GiaR5Pf7+H86
L3+zeGL/c4VqkLy2L3n/0n7fdbn+yB9dF+03BagHejuVbHTW3nXV/U7OEfgSRazEvYBYmULqmvT2
R9tF0X+jwuPJpPwhXuXR9Ufb5folzr4khEqkv5N88S+ic34u6HQ60gq/kVeokzmki9fK6rsNKFyj
GNp09QluIN6u2/q+uEjP1x5B75izXbu6957til3srAdpg9KkCqaAg8be2i8f2mF877c8LW7K+3wr
nPL39B1QyCa/X2PPeJse+9BuXjpPdMotqhDP2shOvY02FIJ7Mq7er7ZmyHJOtMvd5kwEx0t8q34m
m+qIePDFAmuVbxCPMPy+7w/dDrqcZ516F6ypS2m5zR7lM31aLzynW8WvLrIje/nt4jVnCCrV4Jr3
hZds1Mix/PJUnaeHifNkbHfn9WAG82F47LfNBaDjm7xTndifgv6gB8Rj+U0Quv0G3+rO8MFyfaa3
1Y5XeaPsjU34WFwEy7bezE8B063pxqMTbQYdUKTd6IBOXXPX7EL+aG+3J8vXNuJDNJ+aXW3dvg7H
ZFfwa6Ob+HbZWaflkUt44D18om/ywy2Gnh1p9J62L094GOzaz+/Ce3nL6nVAwTj3hWN4hVcfxJ1y
iN3REf34xrwPd6WfeZWjur1N/fJRhn6Lu+0Zh+0OLJzPKXkzHMMzrnlb2IdfjU0WqHdr7s7nGDMf
0B4fQih+Qww9upvREuH742NDrNRrLu2V0pn22nZwdAfJwv6qlJkPC7Hijvmlv1tKFz/oRBH6vB6K
TXKu902QFXa6bTaaqztINLa9nXNZ0m28NfxiUwXRXt6V991X4aY4mrf8hScLY5otevGWwtPksiOO
DXTXuCibprPT9wg661O2H09TYH4uR0yf45N1wZn7pOz7uxb7py3FkIlsVdwQWqAzKNqIN4kveXDL
A/Z0f3gxd8uuLx0X63Cxl07CHffn6CRxeUqKjeFLdnXk511yy+zI1/c5pZ9v8IkE0Ae/dDY87DMn
ZUiOva3ccNHQH+vuvCErvRVdCVWrH5e+UPhEPtSH0Z8c2HfFq+bCpg1it0+d6HhbOLbqVJfU54jt
G5v83e/vI+jNj/gTOWBPJpfpK+eq2Da90BmczpM9gZwPXkXztTiu+9LvT6hgo8LO+BXvKbcR7ort
jDdPOukABjOEf5yT8Ur7kv48GC0r+ZN9BG3bZx7uNfyhGjlwm1k59vbtW+eTiQJhb9O4KqJWphiO
8jCeMas+FBytCdgr9vw7LbPzxakIIXwDUm/PD7lnSg7eZ2+dgRI4hGGL+aFoiAVBRMJZBb3ZiO9t
dw2fXjbi26wSxc2tK3phoKIjeWl26xN0W2B4kde4Er3cXfhW3Q+3QH/j0tPB+867Zlt6mfGS75KT
dt98cj7fLMZdeGPwWOr9ZVce1KD3FfFDe2g8uXO703BXgzF1JJJ4TuOREAQA9UftEd+jg5XN1ZmX
8DTyK6prhHApG+u1cam6AolCKTiXmLhyZ+p5w0d9vVdrwx0D5b7dsYJt/QEwn0QYZnUeEcf3ONpw
5xEEdWSy+m7Ktu7Nftc5oDYSzGhbIz/mL8mdsNUDS/bRVzTB/Cm4mIYb76kCeGrT2MvOgsea3oJp
1jqvV16uIQDPXevK6pOOX8wpPmrkPgyZXHJcANGTObJuoPHJ5lGBvvU6CXZCrg5SvgR09J6TaveF
LpVdeNOFVDUXoqQe7xWJUs0j7ZwboufyjXYmPdHIoBz7iodYKpEtwOt+CxMGnr5yN6wb8uBmHLvj
TvayR53v+aLuDflYPjTFtnganhKm2kBuzA0OYfJupkAEFaM7Xw09MJiFP2axr+uPPdRb8QleQbWZ
MGoi34UekLsiKeXPg+Vqa1CRt7NdrBeu9XKnECi1me6mO+ORe8pBizjf9BdxdLDG0bFqd/05c++M
raQ5HOxLpzL9ZXqPzUNknSMMEU/dk3gWGbf7ouwNJFDafTAIzkYZ3PJBuDUv3ebdcgFSFAjObGQL
gvpiHEV8GMNzcxqyyu58cq2OUnQpfeVEJ+tqm/5qDA8DSu2kMQKibp1qFJz5jbTCAN5EYRvbxMU7
6CaXyVs8PQQTcExRftnxPb/nOXeQhxsEaE0+i0NyhXjXekN9ZE6rvxY2v9ZNvRE0TbzlsWGT11Tq
TwoZE0qAz9iTiJ5HgoYh/jgVqsvjDXypMbrCY67bxRdLhRlNOO0xeRbLZ+nU9gj7EdY4Q3ToPq90
tKZ+09oH66Rl+2FXWAdVDFwM4TaLanDH2XkYPW96KzpPT8kccXAsMqF9itb38SjlTEdrnIw8J736
OCLnDzJgpWhkea6iAo/Og9+naN6JiraTRLxlw0IR+9aBGTHLR1ROPljLJ8GNp2M5uNldmDrgiK6k
kwBJZ7obtrgMnebVvJDYQWPO7Y9NBv3Fll/5R3/Md8shPGkOwtDXyda2/Ck+1NrRvfyAS5oej7Cp
tzqbi/o13g6vdWMj6H5VbqeNutfAuYyYC+zstjqgKWqeJ+1W2uju4Mo+73VywKYac8D/AF0i0s3A
f8mNVvllvOFepS0NANeYNprpGVnQ1NsUORx42mrTa0+T7ETvA/mc7rzSUPJKgntkN5v9ygh28Y6b
jLt5PKrgfVN72CTui7mJZ1uqfKTHk74L+1ux2qECnnv3XSQl5o/uwr9Uld9XCF6K/7j+zFsFCCOJ
4v7boO6//l/wUV0D6rufv+mHnyEs/o+/e2VH/vB/KAeSfjkPH+1y+eiG/Pffj6bv+p3/3S/+28e3
33K/1B//629v1VD219+GML78vrRm8PZX5fgh+XiL+w8kvR/Jn3/u95rc+g2ApUTBqzEQ+Uat/M+S
3PoNUAOuMQxJBmduTrJ/r8hV4zfOzlAdVZgPso6Q6u8VOV8SKdapxiV8h2AfjX9lEKr9eGw1RPok
FPcmPQH+ztXe9mM9PoigTcSWSrKWi9Yd9AUJLVKzKsMAMIU9ml/meDexRip6rxLFroCucZVyyVyR
OdK9kSk9jzd1QI/VqUG2jo7cR6+CmpCvwABPRpgM1107WToP/AzIbdpnh5G+u4At6YlAPtJBclPe
ZrWBkCutF2o36FdezYGaWj0JqceiovqMtbwmWgqV/4z9B+LHsD4IRQXdPpMNpK6UTwyQdLuMzNI3
oQmfmJlSUYzgvVMxvhWEasSZwW4GxZ+INCVNgr4sYx/NYRyETWpcYOCq7rfb4f/2ijgmb23VVZ/9
z0vih1X0/9G6sbhf/+IUy9Itu4/l+5V2/Yk/DrEyp1GLDiUtKlOScdYyb/jjECsjHQAgyX8kWIh0
sfipPw6xQF7pNukqS4lV+4N2gC8xCRVlfsriVEzn7V+RDvzcxzNYtSpwQKybDEO+IWi/P8EyGutZ
AxEP1ja29roQZo9CM6Q3RiXEe2ByituTnYC4re6PcKC6XUtriLAb5NXfXbR/IAuQfrQ7s/K/PT/4
x5WpiZqci/H9KyHWoUxNuZwhbmdZR2ayQslWrNrrsE7iI/pqxxJG88h0PSJbhcZB0GpT9KXvhGuC
79JrZwIR1E0/jgU9NV1KLkK9rL9ojF0nNN/PbnmRpqZc1Tt4Y5mX/DQqGdENhpPC5WrGIfWFVFCC
ljYcJ9YJEpBTmGH9i9bjn3rA1z+p81STaYbQa/020/+ux8CkEp+LzBSQVGewLPEG4WR8J0iERoiw
yFC/LYqL8/M5yQBEVQQ62tQtCnrKhKwbc6nh+GZJMGVa+3/wPPjvLfZT/VHe9e3HR398qX9+LPw/
uFN+G8r/8yV/99G+Ji/fL/hvP/D7ipcV+Mw07eGcSrTIv31gvy94yfzNRERkWnSMruPH75Y7jSn2
TMOAlakzk/jOVq3Kv8kKj4crpPU659D1f2m9I7T94RZmlnBtZMObVhmBslF/6+x/dz8hbElgILYo
Cdp03CVxdpWZVdpOAIz4Aq13eJLbKbcXoOqcPuevCmFeDvYk+gSkiR8SRN+vxAmtYP4Tc5vHS/wU
p+vqg55TD2uaJpT0PAafiX7ogjrHt7JHfFDeWkTaHKaqSz4niO9nIU8Aaq29cEP8RnsRuqm5IdMI
6A0A+1ucw/1x1of6sVuFyMFKnYKKGYh8makVsx45Uwte8CHtG9WtezHa9tLCFG9KSD5axbk5E8yk
3qkklAYKSVGvlWFSi8bJtFUUfHlzXfRnLOLrfu5JI4OFLx+gy65e1a2FT2pydqi66cjU6TaSJS+a
jUsuIQxYZekupPPomJauQH6YeSoRH/ximTHIBOZMc0jckpogX15r+T2cCl47LNkkB2KZG7u2MBjw
Zr2fktuGBw16kJKf9OhhWqoLD7J2E0fadDssYeEXFhGqgHWm6alsx+VQ4vzh1Q/9B6wzNUhyqGvS
Kl9zIIlQFXG8v0ppLN6pQ9FshUW9r9Zy+pLBKULFqwrBJEXuFMMPk1UtWKW2PIdFBUmf0OKHqRTx
oyD4JclVGO+R2QCM0+sItxqp6DvwjbrTZx1dPwXPGKwvMoAjtbFO1hC/DQ3i6RQcXwHQHGFJoTjI
w1ObJkH4NsQ4rwqUKmdFIcgNbIUQ4OYlcrdWT5qAVUiu+luj658FmCl2DABtWmTNEWfMlkXkzoRp
T1o83DTD/BjVOjjPGZZ2NrwaSnLRMiXx5iw7khlS78wlhWDJM9JX1LTy0Dbv+3HeN5CgBU7red2+
xjCFmIpFGQeO8WGU4WuCHx3ig9AAKQKxVfMiOgksjlyScWJk5tZsjOFxMNJsLxGgug9BH1HFTQTU
6UXjJEuh+CJ5LLSgWjdNSlRJ73JjFjZROdju5IheBj1N9n8HKwxQv5kMwFZHctcDjSF6N9xVQ+zN
5ZgdW2saHLw+qat3JipyRaVJcGXCToLqV40aAn+KDdMdJWm4JVnRVvUoIHjJchZjCRJxIc9tyUcg
twobukAO3ojZggCRXqZLAV56aKp508iMjuTR+mhbaUsWHFl4ab8n9hMHt4IQJeqxC8fjXHstnp9R
1iNvnNL9iKMBz7rGglNixFdqtlfqRNqNRMCQcSr6WiuB6lFKZZvUinLTVfUNJDT1PAschDOjeeuE
9sEYp+okmdq5lOn1kQyUcfwt6HhJ6uoZcAcw82PIQ4F2aa+E0nSB/meALJJV0ktn4hJ029AXQm3I
LbVZCO0LJb6+b2OTih1gK5M2wcn6MDqBi6EJn8ZfgMGKwZhL0+MAAMUfqma4G4Dz9qbAtQKQWNbl
zgDMjkzhE9TEtlXj5KhHs/oIvxYMW37qO6tx4WqBYzLV2FWm6a1cQpI5UDg/ajPNO1LQkr3VCL6S
EKvZqwIQsUREYAfbDHH6fbi2rt4nVVAudEwlVpNLgiRmqySpH1VSbZ20at/yOD1rpTbc4kSxY0s9
4gC9hjo+VoaMXD9KuSf7+g6c+Xu5GC/G0NxoY17fGAk9MLy0OeHD4SbOk3Sn1b16HQC3WyHPxsdG
KIojdZdgwxqgQ7A2hg9+NHtTRqs9AM4SbZKa1k/63JkLF3ryKtTK+ywxuoA4Ph53nUh/OS1TfNES
yT19jXG9S2cqtjhnPTW0skBOrwEIM5K3plQjV9XiaWiFsTslNAIS8k+dCV2TpxfVzTqpqKgAd/rM
6yVSHGVzvyjturfgh10Ww5C/JpWqEWMY99LNqBftqQuTnRpl5xCJZAmTyUr42fWYZ4sTWib8oVLS
43cYbzqjDysFJ4e6FMBx+4GcUvuY+dh22WqdpTHFuWRO86uWEqC+1BmEQC3c80Y4EOZAOaMGWydb
kTc2mDdbQJh3hZG8971EyHbVUHH1Eo70fh0vnDXzx+4KFJP1dQvsMSNASC7PnNGkxFlSi+kv0MNn
YdZGG6Gk1+OwAjr2ALeqcqcUfb7DY+BmbLI3mAvARZIebJZg0OiLc6JVF6ORX+o46VBa4fF/TEzE
DLzVMBahbUUKLKlrlLUMUPJSrjoZJx0GQjPoFkHdmgIQKmWsywPlR2a6xO0a9yq6DM0mnnz4YpBa
SndTK297YRi3lpVVB7mqAHOoKQBaOblmCROC1B4UFPwTOOFWfiCzcbodryIVLyEF/XUQzclEmDmG
G0gk9aOM5PkezlePxqaOgYB2ealbGxzawkszJMNllOX2TlDM8iIzX72jFDFtGZCjk+tDZ3dkj9mh
hJKUqEeVDFFtPumasR7Hpht2SODqQAvX7AGv0iPZbtxiQ1HtrRpXFsPlGWBJDtBl1ZvqY1nrKysz
Hj4jvgmSTNIpD8YyRyPxhjJPyDGCPCK1ym1WBjAersnx5XiRB81rTA0BnYWbKQqtuzQlQy8VccOG
FwEszFbBcTz0WB8HK3/Qlzz8TNpJx5kmbLpuCXLtHZOdK4hG0KujS/bTqyiT7GNkbhwnKid3K1xI
3KpCOnEDhJp02qrS+GKOOMZI9Uuu4eJC/XotF/dKNVi3RdQBSpvxejtmjDIrHKoXgJ70xCOiV7l9
j1oD0MFgjQJ0dmWrHwNhjbQHVRomlzJCOYo4TM5iNiPGA0JgysrqSaLRncdU0h9alhOh72gq7lJD
gWCQqtZtHJXdS9IOGr08tpkwJ+J7QEFnF2lqbmONOPtEofqLelx5vUUEGkTo1yU3VuLVBnq2VtEG
tTio79pC2Bq1V8cOiqliaCnScCLvtWrN77QsM3zaI63bznowVesQGLH0aqTio6UAO287rbypwJpv
orThqQ4Q+AtpdxtxaQJofO+aAIrArAI5NHhKWpwiV1kVHxM+4xY9qxzt2YTKjzElvrdYp5Yvo3PG
azUpdoqn473pshdDMNuTXEheWs8QU4iiumj4hmxaXvHtVQfzpWnHcV8KUE8iPVdO09B3Gz1niNdB
QIcWMatBk/fpGzBi8CMdzq81U5SHKSIR0Cbg0vxUilxhqWqNHsg15WxVRWiuCyeWyFjRx9MS7cRs
IE2uCLQJmz3n9g3xXliuhDi/jao23q2V3G7mK9Lcwrd4AqE8MKpdi9oz5EFwpYiwcHD22raUk/Ow
QmnXlBiX49qsQNOqJQaWJ1UPnDoRllVFNyAFhzxJMysGIeRdg49TMeLfya6QfoXOtlEAnhpSeGfl
h8RcGxLBrxkGUb82wZCaxFbR5gi3aT5Kn5nadZu6iPdGovS7KzJ6P8T87nbR502GeW7btvWwXQdD
fmpMqXAwWdOdF8gmA4uZ6JmIGoP+t7kmiccAjsEZZyPkM2TNHUACZgxwxBRWgZyEQGsxx3aeCggA
COhoZKxSVaA4k6En29/u86Ra6q/tnAgeaPogSsrqeepzlftjSSZQOylFsYimzqaKkoiWFWIgG10Z
7gsWGmTNrFVFTh4xePW57IgVmSak7g3Y23urhRuMK9sAMykuhAqk9Gs2ddf0E5Ns6NYkEg5PU9uU
TmMqCQoavSXjxUgG8b4EAiPzh5JxQmFJriSpcmLIhRPNR6nvwADGFVmktWLcL3pE9nJvRdllBtka
oKgz/KgkcVAkOAbshi6AnJQL2RlrUwFnmUBt6apsuc8BrKBATosTz//ITyMKua7HXbaSgn4KBQZt
SqS1qGdmFjSQlOpTFrr1JavIAugjffLhp9yPHTJGppHtBBKSQkPtqebkFBOSHDbKjRBjwUWXWGjs
SUrWFjdXn+QuLev8HoOowoOJQx0bCJ1TmBvelEfqV67OsAW/qyMAyHWHlJbJr2tDO4Td8KVWRM3N
zR6hqTUk2kaTxnU7FFckKZKz8rQMCYAYrGC2UjPa7q8N1koRxp3E5rxren0NiJEVXbOthP0kmOTx
TvrqD50p7kN2Pg9Tl7ItiYXbpJoqeHF6zRyr0fA9d0sNxKI2GVKYncUOAtylNoplw79iQxVbDi1B
NzH906dxzVwOrBexsV4L7l8bwSmjGYAHPQSya85Z7ugy5+QiajgWxTMW6qJXlxPBsIoTY/a1daxf
+1GHj3q3xsplatWd2aWa1+vSLQeGr4P1rszRVk67YEQ+t02KhBoXPkUiTpeKE589KoyJ4coayL3V
ZMv9gQatn/pnXuiXkBgLJ+2rJ2FC6Zg1af+iZ+rHlMb7Ef+EQzahLRXwyUzlODezgDWFNMXOiD8V
gC62gE3WUQdg3o01YlRNCzD7tXGY1eHR6gQGm/+buvPYjlvJuvQLNWoh4DEF0jLpRYpmgkWjC+8R
AfP0/wdVdbdI3RLX7VmPZTITJuLEOXt/WzLB9EvgD0muGIHK8rIzrYoVqPAOyzwRBcu52L5wB9aq
ObLxM2r6fWNgIO85VAQ02aqNDmF7M1NdThXEb42qF+yneY6daZ9Wojq1RhGaHbzMBWdqt5TaTouw
FYM1eFJR4j2yEOYHqGDPwGSIgfPtLLHCDOfzd72al21j1FBEeg8EvdHbhyHK7xCLLglLG2qEzB84
K3CgDzB+VLd1FGkT0t0Kq+Qo9GJfN3GUbdvV2BvrdbQRkZPt+YftdsFfnmbL2+zFA+QloqeB0csN
kYMwC4DXrOze72YK6Bw6ccR8zc/ka6YASNhioGHJq7M1mwl/ctYEypi0S9dV/q2x6u7CDlJ0y8HI
k8NFmpfFlU3X5mS2qbPDXuzsnMHa2nbnBaPbAnExOR0hIr6IZrh1vk2B2Q6Xfuu/ZRJpB3k6KiiL
HtaAcTLTliGbQ/4TeIR7aZNKokHVM1osSdjKn4aVLcmhkufV5na0PoPVVjnq0FoxktKMDWmMLyP6
2WfKprsK6uB5sZgwu6Zy6b1yAOXwQoIXA1HVppeG1sXHifOy2/B/GF66t6nQAfx3DdMUpsxZXO5T
R2wae6bg0VHegp/hDNeLl3RgTKPPxnNmt1gwRgIpFrPbrFCzkAzMasvdM6mIC2sdjAxbz2NoXBe4
gWT1rRXtkXDGGFfS7MPNBBPYWqLZ4R8+Z7+FvR19y41XzRhB2Or2vAOVkr5OgAsC2lxnhXKf3V7B
USm3rRDFfuzYjGvk5OwVCCUK2ZyVbk2bgpzsWI7WCSzbcnSj6mBgdQ9tK9qpbrjGtrSdgaCVoz8f
ZK70IELs0wnBghNX1TGh3xe2g632PG72DUgOFDNRNO/8sZk3TtY/jL4tr3qyG4DDe48+5CTw8dk+
j6CRZ3l0kVOPH/C3gntbYiMwy/5+LLOd2WXnOGreG9rYW+xFnFT5Xft5SpczgLZktlTdTdm7d+RY
MmItaurY0R/2leWpSzDLBjQd7SCttj9yRGe069bzJsJVGBZW7OzISR0CwIrzFkLpDfZCKPa2Jl45
vr06LqNlYyyNY1OYZE30yyZvgTPGtGAsyuhtyXgsjOOEtE+lo3VvbagoE+YAje05ULF+FGsURU3k
6Mko46ucQArTj6GMd6TW5mkabzLGGRdNUUYb28zuydm61PtYP3idxB3e0uLxVceR3pmnDVnxCZmy
OQFEXTbYYCtSP8yT6ltjTC+DueIQS/TcecXYII5J4kwbRvgio4vRDd2xxRdHqish473Qbg2nPcNA
zHETG1xYm/GBmLp2r5MDTGQz1SuBrQenRnIQ2/qTYOO5skoPqBs+GDVvskG0IViI01hVD7IT2UFz
dIz6YHbOhUcMliW3IyvKpRE5qLd5TqqDOfGUJ2Xk7+fBu6Hw0LeO9BHnmGgZ4HRseNPPptlkGak5
YEpeUDKWJGBx0/vhzcmbmdYwrElLD8bYQ46LpDiALDFfIZg/kFTL6ZQAvH0rAUkm/nBrqy50FtmH
LNnDbYkGwk+LR9PI2uNilORHJh75xQJ/aHPjVM6+MzXnL3BngQXSCvzgUzeucgbFAWMpUdcDS2oC
zjzdHgvA42Ab8bPvE1rtEgsA1pi4gOTNZVNkqMN1cynJHkXJhVc0CxzMVotQ6oYUy5Mx9DurKfDI
5bYMmXHsY4A5TUKGSgwG887Ky2Q/WdOpj3uPjWMed2AJX4g7PSuj4ZwECRKD6sCc0h8F5spQW59A
C5uFNzRb0TXU6LZdDSdbkjDVeWZ+WhIHKx23yx+7LeY6SieCTSJw1NvEJbBiyLOYI2e1NRABOuVd
6vhHkRcGyxDnPmJpm58Ee870cJbNeycx/8KKI8g3EFbQJjAztMSBnCJr7dzrn/VWPWrWsPHjzNzY
XfvutpXaNT10G7g9zdZYshItCNS4wBqrV/ZZEmNJvRhNsyMEY3pilNfAkp+qTdf+6CxjK5zpkiY0
+ULFm+ynRyNjqjw4kOMcuCqHrEM3l44J8tTWsO+A9seXmkWAT249aDJ7qQ0of766YO4kD20Tv+V1
uWznVp/Ox7mfNjKbih39b8qWPvBddS5S/TRKNhMU8+Gcd4AhGueyLJ0L0lO2fpIvXL2GbXqEi2rY
jv5ECmIAoslG0xP1BxOh+aT96GuoT3rQTteoDXDLgQfL/5qX71J/UrWxSdkbl7wAgGnmP2abEXlT
UEAOVXbtLOijIK+QNjyUihZW8tBnhXaM8dLwPOJ8E+JuzaEISA4p3rHiO5uyMhGrknUB2EOYm0xD
wZvoXUELX6vOKEej85E3K9Wqb24WYXx1RiIm2vSiIFkjxG55P0ZU6HZySuKYtV9q2sabYMwxMng0
LLJRlgz79cJE1cqz4oLLT8qjtA9A/vmidVLdAbRlpWoc+Si1RyasOwMPU1e4TgDVW4VOGWVYa0X3
zSrXZppnnMViOea8iXtKkjdHS8ElxSfYQKGU6r2K6ktL8FByPHr3mcMYdbsK7vSTVsd7oAJcMXIK
S7x7WN+2WgGqPyOSm2CH5cwBOhYiZSPY2sXXhX/6lIBe3daisR7mnw5ZD9GBNZZjCCK+C+pFXy6A
94A7i/pmx3GqoNBu+huDQJljysQASVRR0b11BrZuz/rR20U4010R0/SG8SjeuY01PeW87BxAsnAZ
v82xfXBSHkLidou9TJHqZ+l2YMcldpkQiqcmH4iq4V9KR54R8zRfkDUS7xoltpiBiExyQ5gOlqAt
DqWS810pr6Vr7mY/+9bJbCF6DABgP6SnLAKZp423EhrfhvEuu3LX31dUTelM3dx1rQpL23XPMNUq
DF8d7X6IIFNhOaFDKTHrvbbP3NY+dfjEAppg3cmaq208yhlwEQ2E1uVFwMJ3amnMmux6UOMDklcd
8KctcWFhZ1cjOPyFVNJAKpfITNp/DSCSrjvlulpjWUcWFUV3Dh5mf7EGLJCG3oWEf7DwCiq/7dKL
/mpQOtquRNOC2WKbxDQTH2aP+BiKtTtXauZh0Mr2oGkijYNGUPdYwhuB+40kkHa1D95RySSQhIzv
ssom2zrOiBloRebeuxP79Ch9eHyUU0eFX7YMl9ZJSG1zZXURCQheSANUvNXbwdtnM0dn0ebzho/z
rzN676+a3tZUd15PelZdkvVD4DZSxFp/sWp5rq2UTK9Kj35vJg+GPRgb/EzmXk3g+oiHzY7GhKgz
mviIWahvA/vyD25uCx8SRxdoORWD1M/0B63o9feE2oZMgKhI8IZgMfYlHTFPyiZcuJBvdm/p50nh
6i9dujh7pxrGR+Du0/ec3nNY1Ga9G/KmOEscmvtkg9u0Q1PzybAscUFLyN5nRCoBSJl7iJ3pfbkM
0fkEWfoGi4jzqvS+RT7MOWFjrz7OWZrJdwDHiIFzkKeXVVvmFwVG+p2Y+jbMhJ1ezKNsUB0v/tmo
ldGO7lRPVVsMG7OP0I5OJGOUS/USt921lTI/SHR6Sb3dascEq80lDwS6ZZ95AjdMr7+t6dwnmZb2
k1HPpaKkh8Y4+YiFZWkJ+kwRuqKG9Ah6kaN+5tcLor+cjBA4vum5U4iJuqMaZrZaI74Cb6IggcXO
HqM6KQRu5z2M1tS9w9mUmzLy6l0dOSR6dPqyIwHOCoQp2RbHZUMwi8DH6NUrbaF/rAx7PvdtvT7V
hDy+d6SugCdD7CQc+oidxVNNHMMIqxPQm2tumqW/HxA8sNwQjfEu0xoHZiqgmGqTeaqn71mfay+Q
jCNORs5wgFggb/rYijfeMjGTq9JiP+VZFjq9351gtE1sYRQXeT+uL087I8osp7BX1EXUeK0RXUPY
HA+6IayTiKUbzpNdUSG4xVvDBTgDWlYeaDGQXaMtC3McfSluO0742/9l8SJ3pUf3dslQnpeKGLto
6YlimpZ4a8Z4Hsj3TlhirO76n8uz/n8TWvhYev67zmKPYuTtx686i/Xv/0dmgRQRL/eq9DPWG7Hq
HP4js/D/ZSKasYGrYBwyVsXE/5FViX+5hAQjvzBMHZDEahv6394g61+eji3o38oMHWHVP9JZfLSm
umgk4b7YKIQIfOYj3VWp+IvKwot6XeJ+Yx0WEcrWyVmufL1NDtrkD9Rxnby03FHdpNKJUCYy46MG
NQ+/XKy/kVR9UkP+/A5cBgi7nMdhrXwSK9GjxYjXtXGIQ1oc2KVb+Fka0VKz5f1bCvRfPeS/iUr4
uZwkddSdOCVRcn78uVMJsEnpPvHOcBw2Tl7RYq/oqWfBn3+Subrz/68Ai+uKeEZfaTvcLKyxP42a
v1zXZRjHJnb4TY1mzDt8fvPRs7yWU/OgnMvRBWQPyLHNzKDlvIxgfi4d7di6cn6z7Tm7UFOs3cd6
4Zgb0+kaNP4QJ+7yWUziMNIvY+d1qMZ3Q6R6ppOuyvEGZSM28TmSDKQWco040oEriGy+yXYCGNxv
Y3q+727luNt+GuMqUNlq2k48NyXrh8UD0CNgqvXwT5DKispFpKVWMmEox8RNtiyZjYUUxKir8M8X
7LcbA/0G2ZDnCiSIuqV/vjEcsCK6bnGYxNOb0zL5iXDwn/35Qz754HjHVlcsj4AAqGHz4H/6lJZJ
D8Mq+GsgTcVBI7DqNAPVxtwivHtfmd1W0IehxOjbcWunZnpjaQay+K40gkmv5NWYee9aGXOJ/vzN
Pr8ChiFWMZZueaindMNfRYe/PC6dkQ9F0axgOLK9NpEYJw7OcuqZkGfa3Z8/6xNHYb0KPPwCoBP8
TnAKn/EOU4k0xoxogRm1Su9FmXtZmOhLeYjron0jG5CDd2Wp8sE1EqaSCHmXNyNWU7adWlveWd7g
cQ4VM+TGAs4efhoGVJzFUByHRWdpWZgVzfziRYsBpsnI8bOgyEzQCDVN631x5T7KMf/9Y1Z9GFox
y/Ctz9ZzSfgCqWwVD45OgHJXDPuUSOCNHKyLxvDf/3zp/uY2+RaZM2vOAnQX/xOTQ8MsDqbB1QIr
N6MLyHXWvuQaXFVaZJ7/+aOszyszdwltFgAe5OsE69ifNOJJFeUaIWQRhXqq19uyaFARqJZjELWP
Rqvfb2gVuWWDs2e2rfgHTHb/GniK54ZlRc0cAKLW25012xljKJIEZNC4ifPaxdGCNIq2Xh0SGUH5
QX9sSDZTljeXSnMntCZTHKuNbnTGi8UfvZjmNNPFIQZgYeUsqrPErTtcS/1gwPe1nMi/YlLu3IzL
bL9OtlfUgTVozVldQRsIGAizRg1OvWCPSxP9EpzOnBxU0ibjF6iFn1SuX9fd9aqtGydPg8Xya686
4l9eJJLCWmMlJREHWkfE6RlN2TFAnlCdeJOy76u66B7p8PkiWPrBwU0ommTbGq5/hec7e58KJrio
YtCBscAypIXmuTzmfltcuI4iZpEpUW4QeTXO71RKQDhIm/oqvOlT6sjPh5r0ebwBnruGHK1+iF9/
xUBuCINEEJU1PVR0frTG8YlH9Sb2icPTq4QGuu0Y3p6j4LDpLYEuOqJ/7BZo2hZVZXTDY+XAZ/Lk
vek05mbkBJZtyiEnifGLB/XTTrde8V+/66eliyG5sFCyxHR5TaJs1mOY3RO0++dP+QRyWC8JXXVY
DiuPzrTRqH+8JH03K5UURHmOhSpfC9IBNh3JfVfllLV3MaGY4Tx70Y2VmsWlIUyoKZqpAT6BeCev
//xdPoqr//NVPI5OCF15xj7zHJp0cuKoreNQQArCs9bLWxNJBZmOHemIDUoXN6w85z9183+tXX5f
6aCbgNlh81pZIsanC+22ka1J2GyBlixyx0mqPQcPwPh2rgC+kITsfLEn/90HOhYV64oT1MHufLzk
TLKUgrYUh8acAFeYa+cwkGIS1FMPrmtwyy82ps81wHqLHXZAiA5wfrCafPy8gaeG7tuw3uIW3aVQ
Vdg75Aj8+e797afYK10JSQpv16d3q5h8vwM9zIbR+dahH/Vug/rY/aKm/dtPwWzvmHgf1oyoj79l
hFvtzT6/BZjQzJE8b5HY8FH//Le4BGFic4J/wcPx8VPKKFVK0UAJ81ZbNhbQrq09EIH9//Ap5Lqx
gsO1E5+vmB2XGD2Yh4duIwsV2INZHMZBTrd//hiOSB9KZoMqeb0rlI8Oj8Bn4JVuTKntlNyYMR/H
XW1O5q7hr+4xRTlHXqf5u59ZuLzzyvziB3Jm+u2jBS+Wv6K28DB4n568ZhpN9FKsYXPLf64PS30H
xlWiSaU/Vi/MUep8WEiUl9VOWm994d9lqU2HJ+IA/eersD5+HzcwE98G1Mn1rOgZnzcwe0JskVgy
XS92QwuFNtRsWs3Bt+bpC8vGT/jNx8+CCItHhJxA+BCgKD4+Pk4ad5NOpxbLxuJ/521HwMJ0mCky
GWGWxbi17xBVVqNxYXcILAOvyKLzEkUZsl3EyN+zyEjFsU/LvAd1IqFSUnbb2o6ci5z2dicXgsmX
VSbom31WBZaaFV5OkUeI5yhvYxRtOsnqPlEj8Z6RHjOhf3o5LSo1+DCwNzxK3vXO/1IPTF1DpEtk
+EGsdLWrYlOEWjzIw2I65Rcv4+/LJVUDBRsHed2lLfRpuRQDuHUCWcCVl43+Y6zn4ZxEiXwzGP5f
dVsNX5Q6vz8oa5yajtqU4sQE9vPxlzE/L+m28nGEetKYAtJG3UIGNtoEtHJfXMa/2X75UZgjPQyQ
nqBr8PHTSuVGAL6yKCiYPwSNTlbJ4PXN2YJzYhctlb4bC9P9DhrauJW0r4gZyukaCzs//vmG/r5K
MHharZs0CkxCzj7dUFN5KR1WnlkXXOSDEY/9Pp06D/Fk15p0pc1oOTJAsLeChuIXNfnvl3xdzg1w
KpxSyTT/dIdzJhtlKbnkjJoRb6y9wz7FoZIQsvXFBf+8f6zvI047f8W1cEb7vBcCV07yHvh4SIzH
m6gsbRO5RvwPHyGL32IJRgIkXK50rE/LHpi9RrRS0dV1l/wyphO4m6dEO1ekKXzxUT/PYb+uNdwt
4Fd8yuqrpTRdr+0vL2KW2yTa1DpzqKVk5KrB+dzPEXFdgZqniXw0M0eVhiXGRp4AJY/UJ7PS5s2k
JkEmRub5qPDLNb9Qz3sYek1XteftkKPZS8ZJuTesNjjdK7uw8VZUWvoAlJoA2KVbxvo69XK32GeA
bh/+/Dj+fp/4WY5Fiw/jpI3p7tPPglEfl4tGtdmTajtpmr9BTl188TT83dVb41xBAq3mOlaXjx8z
JzRtZNGBrKhU+wSINMuCyBs1Ak302Hhq1IJKSPeVBHavgd4QZl2IgLshHnMyZlWoLEaJo59SICDz
2RapSDaMPSeoqhgVWb2BMcPEoGEwXRE40QEDrY0B7QT5W2T2Fp3efLFcis8HXJ6I1TFKK4aVme3k
028C4ogwM8vWEOHsTqC/felHCWJnTl1yRAhOqSfbuMUBld5FYObPEamZX9gkf797vGe8X3y+yUnr
s8dMloWrishswpGkKnS9EX2NdIm/+KV/8ykUgWtFgz/AJUr2482L1YBfrK6GULSJGTSGYR9VpPTt
n59EsRZ7H98wi4xag1rQpEj7LawWFzgFuyCUmRJifGjd0v9Lpi6Euzby7mRKLO8sYbojTGGeh21j
uhiJoSOa3Cbnzp3nZzHM7bd//KXWzZBNAyqgjpVvXc5/ee0TeP4LAzoic43bPArIRUU4E1JLzl+8
In/zOLGOsTnZlPQ8pj9B2798EsB+VcYapiLXr215vlj2gju9sukpgoV2UR8kKq7CzrVICW0M6WBe
kqVrXOvkqt39+Wf/dscpNFYeHU+4z3ZhrX/+y3fRza4kKLQHFzJETKjY/Df0adXuz58iPu+FnC5M
NgmMkrSyaeh9urgNyTNphJ8eu1E67RpIvjs6K927Bsf7nkwsP2hsdEOxmPWLdhqZLtOD1p71ztC+
2XNu7yeEEyV589pySgi3OisI+Nj3k2d/s5x5/OIBXd/nD8/n+m1txhlUK7Q7nU8FS1obvVfpqIwx
PzJw1nH4oE0hA8hGR/3FlfntXaBzRj+VwwQ1C0T7T+XKROwds2ajQgYIhpseuEqrEGlsbG1Ul8pt
XAwdoVyFLauQCIzkHk1ZqhMXys4VTqaefocGYZls9Jr8ooj4m2cDUKm9fj+kDbT2Pj4bRraIOspS
RMN9lUHyGaeLKOu+KO0RI3y+2ugR2NsdgpMpRVkPPn6MLKUY4rhEHIIsl1EOAa2wt/RGZVujkvpx
SixuQCGzvkXxzzcILDaUp2xYRaW4HLSnMp31+0HWxoNVOdm3Mp+77eRXxX0hDbBipW6lL83ceCtE
NvXE1uxmcWEUiVkHFNwOEYt8wp0VMQy9JuZnedcnDjEh1eUUn8hYtC8M7t4zOVnaX6XZQalk1CAh
GnpR9H2Y6wl1HiagYy8G/43a2msYU1oT5F9vsdBflrVp4m9NXAxoVFNMQfwye11RkWcRY5I5mA2o
6oFb2NqP1GhHcl4HixginViUYMRh0AQmiOhHRFPxshpNqufW7lGM6I0AWifJk1ytUp2rdsxe7bcW
HuaAHpWM3Q0+qc7ZVfasG0GOJQAoW+3h9+xJXh7PJ6UX6dErZ/uZTDuEQxh1weQw0ECQFju6OvNj
wusYrazv5IgVvtoP/SDyQ9b6ZE0KCKsRafJSIbbpvOWhr6pZ26dZ1twiPuvuO7ddrteMoDbkiEq5
UUcyv8yndPhusrU0G5QL+Y/GGIdnL5lRWKIJG5EGSy/ZOIzm34hBQQxGsg7SkxicTODL2gFr7eNX
2pCeqv1oB62FpJdWy3fwAUjFTBVrxrG3DWwuynBAe8aWB72HlygmFSvR4Ou21ui+YmedbuYx8m9s
l7STrTcLQyHSk/IFARMdZB5IMw7NoSteStS7+IDwZV9Uedkv6Mf14ZIuU/WYmIv5jL4Sw2E8d6Jj
MmRiLRGOVifg2cjc3k3WzIFxIqOZIT6qkHRfdyVChmkyHLnR/QiZxSzL8tJfvRrbpUL1vdWLWnaX
EmYELqu8AJeizVFWbWwXR1GQeW1L0HbU84t1Z/HFFklSom9q08/RcfXS/UFQAnZMq0Y6Sn8276Yg
wpDshJEV+eKqqEYQY06FT/SgvMpxgA5reRrYbUeA38y0AGZUJjj/jrPG1M2LHKZrJFgCA+PHXpaT
361Xr8LjPQgSEzNbX1z0xemYb8i57JFGoa6FQZe7025CMHjXpFiSgUNlyWPdNYMbjsuinku0tl7o
uFOb7BAKRheMb03jPFqyBD/xkHTfpcKIG9pmM2ZbPyezJUTrAajOTLxKkvXUZMQPMTxwwiQX9EDU
5KBLoAHe3Kcpc6VQKAM5J2k0zU3hJpzpqd3mH5Py3FPe9EaxB7iv7vKy6np4UJTnfJ2yehqUSDBu
TG6PF8pDnihUqR0F/I4nbITyccIfAtqM2kxnspENvNlo0REHLn5+J/XZsU757GAVbgavOlerzpAs
SMRrIcFDk0RSZDGtGHodWJyY5PQExZ1AWaTdMwuRpTdomhDgnjUNs84zMmDH7IwER97YwiDYF8g4
pvAcivZtyu2pyQPTJkK12SHNk1/5bh16mJkowFEuik1LSMgeEwiqjJJAp3GHxwoXPQZxRahlk9QX
czEh35/GDDWs1stSEJAU6XtfxAL0ZNaMLIoIYN+nuEV7UTGT35F04J45la+dGyZtxHDWouaV8xDw
rIiG7XURq8bfeA7rdph7pfEWJ9BTQrPRNGCVFQpb1s51hc2qbqfF+ILCdlKZt41jMc1MPnHH7qTn
Js1RR34EAQ5penPQ9TK9HwYD57BdlZ0VuJGZmyRxamOOtBmrSIDQiaCHuUxh/8wJB76NNeQVYya/
w2OH4XU1ujeyf085mSCVN0YTG0XpDPphanOgeK1pV7fu0s4/isoFRIfrwny0hhksiYxNNo8R8EMW
9pOBpj13kA8VdbeoTVnOtR5w0mPqNSypInG6z63lGqFb8irdwhvPbZ9t7zB4eq9CexiZ/KQ+x03I
vhkB45kkyQ2VmjcEiUyXvxbyVb5Nhsbh04htEAaTw9xKzAupX95eZbL9hoXL3iWtuKjTlf0bqRMm
XVoNpc57mm5BUbxqjfta2tq+Imd9C2qdsHPCoDRn2jaWhshL3lWpez0N1Z2neGaYV0K0u8L79FQQ
UMKpcjvm+Q89zXbUzwQk6usGeUWmwWVEmS4HH6gmgV8lz7Jn1xCGJx/LofMta8uHnu3davoT2o3s
W52ll+OsTrZTvGauCOyuvljEUy3v8rgk9uFNcJxDiH20+B/6Od0VQ4Ir1tyxtZJBygl5k1qd4Ko6
XYiBwWaR5WcExKSaz3HC1lU19LObSL/Cy0BgAjl78jaqXHwS1HzTgQnEif4qfxf9gavbIsZeppfX
ROhNG71t9zi076SCnQlrWuCEvYjGgmUXmaTvujfWVByHVfDqTOU3kqofqDXueiysgTck47NeuR02
Sndfz8uzk2B77f2L2ACi6nW3plHek+l5sFOCW/PBuPWa+CZz3KOd33sxQR0rZYuDYFCy1514yoZt
M/6VtzFIHMiqJaggAuTuRRNfWImBw3Aa4XEsybGfGCzF6fit7MV+VJoIGss9drp5Tzb8C2wKTBGE
Wheq2dMl3WHLIZS3qHYMcR7xsRBVSGsuYWaj1/o3I0Uy7UdV2Hg2XW0Nh3zXYWhbjP0AKsdMZJCQ
s7DR8PqSGr9sW62I+RrXTmk/KjE+aO2jCWSdULq3bCje+1UxjQ2Yt3w6j7N86xPG4PnlFYk4MiSa
9ZjFwnz2Um78NKMh18bpTCRASKP5NML0TJZsMxr6e80DtG2L5T01n4m534/2fDXGNkFrEjwEFkoU
oIcYufTtCJlJ0e8iXJF3fdzqXv1uUbfMk7p0q3hvt62NiS4D9zd0T4hkaxJ282tCPQ816lo3i/VQ
X2BipMVV7c3FsZ4JrJYuSxzEh1vZjW0QmcNbjgcFdiFeP+jaZUeVNLldqOrqYhwa/bzT8RayMXsP
CY+OddRH+wKt1cGb+4MeAT71mu48V4yeXe+8tS3EuTVOscLULp0MpmpEAFxYp9MhopzZJ33+XmWk
mCxl9yMzyrvRE08uOrmw71+UcuBt9E3j6scxnjjD2oOlR5hbcERj1p++Oyi0nw0/Fu+lUcRzCNkG
eaxODYLIE70jVTaxLDe+16zhrRzEKSJNYtU3Qw+afPKT1j/2gF3qEG7B7IbIMuFToHLt0yDpVyFu
bgzLY7aUIgrnZE6rjYoaQls6gkcvXQ+GFDpBGl6Fue4tvUHiRahTtwOzXTE0oZnVowr9rtb3QwaH
YNWLi43VC8yVPjx6soLJSWVAj0GC2+CwT2NGqq7sLIOTqOsAPYLB7Bdr65Vq7gKENTF6RKKT6fdH
hgmuxTDRbZPPWB9bcmPcrZqGjo9v6zndusz1+A8GT75wZqhuWiOZbi2MidkujxPmAejhMW3aVt4Q
+qgRSrdpSbxG854lz3jSI55es25vXDzkYHYLgvvCzstHFrBBQ+nbmLMXKDpGgH+nltwlzNvQfOcs
l/hnsF0iw14ifDpRXrdhXxQRZ52ubVHws73cevCSF3bCJNQ1v98uwBQQR+cmWlgJmZMg9VGCkhEW
BJ7AnkT31tA74a+UnnPr221VIhdwsBl1bChwPOY6JyJSNWLeYYGgMi3RI/01R5ZZcp06RR5fWyiA
KZrvyo05mnbGRoJ3IByNvCRcnnaYOrUu7kJEecq8NQv0H5ctS2wOTET27pZxVXzyEb+KjamPIHAU
Kv2/sgoxdggzJH6wFG2SwHaL5FX4mmi2Tj5030FBqPN67uGSoYSaGUtGsuVnLz1I/97oswvXK9cU
p2zAFJDH7pIgoY4XdnFsRqzf/mS8Low12206CYzzmQf4hiZF9N1t++rV1lLDwMhWiRcSiQAJalJv
EKHhDsxnk2zsUi2AAYVZIBRK23XUl1TSz3YUmio+q0nfnTeejH3Jw9kiVAApAATfdwdsmhmVdhg7
fnqbj4Lsn7aoH9y8UZc0GvjZszZwfZlMamv3l8YW1mLdw7JhaKtWbmFYZdeVS42RR8YzC7cBJEAs
7OqeVJRuRN6UHlM+va4IV2niY1aq9DGeKhJGsWC6KvRKB1orQQLyVbfi+lrvMpOX2iqawDGy8vuY
Y05DILzOe9HdEB9TRLyJQRFX3iOW6xzFyezBky6qZjz2pijW6kgvT+ngpACZpYW90M6i9EaLe6C5
YzQzyU0dmV1Fzugv+K+xn2Ji7hT21RIf0thV4ytnDHyqnrkMA6aCvL4QbptwpC+15LXhHzw6uUnY
gd56BmhUojIAPJW1R/3QgzZ3udrDtYiK6mXxC8Z/SmrGS+1E9QXKB0nUDoIgeOIU3W8oqeVNihGX
U4FL/tG+BL1BRnBEPlLYybSRJLwYyRojxTFsNywSOzG2dAwaWl1D8/YR2/TbZiFi4hA3qBivGWx2
zcYdF/lGu0UfNl5p+t+ceKyu+W/VUyFINgPmTBpD4lPibgZOkfhNe0KERVtFt22dYQbtHIHQvs/I
/cnoGHAAaqzECej94AnKxiE5dF2VFLtYn2NgQbVFNetEOWMI309pd5A3NTegXwhBDjJjGbKt54v0
QcRJ8RD5qGADy534M/grHSMup7zqtAJT8mBh/w60JoZHS0AdOmpAgPS2zKEcz9NOS/KtmpnxhmqI
4d3C4+N9wRwRHfHO2ZDV9QafF2N7HRU5SfAbZevdQ91YNeF6gzCWEE4QIIU8IjNx0sbB27hElXVB
rE0ghnOjdMh0sU9ZD+BJdYp0mDGttJPOCZWZDn3dQodigo1AyDdaMFUFjcXG1csjSPayroGsJUlN
xkHLGtqEyNB+/u28u/0fys5st20kC8NPRIB7kbeiKFneYzt2nBsiK/e1uD99f/RVRAkWGj1oBIOZ
kCKLVeecfyNpmPLfITCNqjYdu1eqWUX6GtlfaAZnC5KYG1kY3E9F+BKqtvxayiri8ArzwfQZV7Am
EHJzaLsjw45tq0yi3UWk8uGbpY3Iz4IsHVG7jJW1QYg3oS+yiCfdW6WjLgp5zsdRCjx78Xdz5HaY
SRiNxFTivE2aIahRm05oHXuLPkS6JUEys6m0NxAhDNNHcMlqr6Je3KmLPQxsxVq814VdBBvooeqP
qaZr3fVVo75jPDT/0ae++hmEgSkP81iLu3awI7ExhjD4QlC2qxOH3LTPCK5aJi4yZokFiGgy9J0i
rPc00BNxdEwRvqMskJCxxr7CyZVcZmXjxPnwM4gGOMbsWVO8NcfajbeYeUkMLdqu3RtZ35BgItEy
+g4h07hLd3lFrpViE+xWBkXyhVGAqRICLUWzbUWgNfta4NeUShP7KI1RmO+oAYVNFPZYY2C8m1ms
K06ubdmF4aPVVCwGkuBwwEpdeK1eMs2dvumQBaAha7TsW9521m9N5XjhZOp06mVMs3xFEVi5kEA0
783ZLr8nqZvj4jD2uTdlylxf4VWT/mLub98ZY9rel9JmTaXUw4vDTFa/JpUUzwUeBHepRaAt/ABT
ya8+n/aeGSxjRQh3HANCnezF1bC3T+K2rEt6RgeNMKZ7BTnqQ/tuplZ2AXzWToE4InZh6aq6Cwcf
wGE1VjXZj1vIEtQOLloLPrJOe6lEOOFdl+LcssGAMKUpSJhu4W+dqr8FYefyNsAGE3cJJhNk5YXh
OPk5Q/o3W0uwgBFBI6l/c0F37CDfV9hGJo0GKzHpFoMmQ3caR4v3WFyQ1ls6prQPqNVUBxe1On1n
LKYQDRCn03iXxgEdC8WfSbUdV83oiaB1uIabqALBYaXEkIXGlmBlQVYbIVPiWevmNvIAggnCMib8
zm5sw132K4PNYtPqKtUidpAh5qau/nceAnor3AveZFzHPfY+ifwri1n+JG0o6a7AXdAIFilsdy9v
cvsPfH4t2biGMxI/wJ7ovqE4R0yW6K0lPHfJlNyORRfUjEmH+L3Vi/qdw7B9TDmspi0BldkbLhrU
51OZVFBJqP30HbaHcXs7GxP1nR6akeVp+LpE26CwWmzyMzP71sQphIWysURCkcMOfDXQaCh4EUed
4sVz3x5k5bi/TdGUT+EEWOpXuM+9g4Wq0CjaudB2mFdQGutC1gGc+X7xWGJz2WCnoGBSDjH/DQvI
4auOSTIqoDJh/IQPgVaTF6gphCMARSEHHxVCFjJFZrwO0u7vF5Vh4E/FPIZbOEUZgZQdSu+U8ogC
kGr1ll+X/I2rnoKwRROl+LIz479plnfP05hOd204Ri9JaECwSVFi38R9Jjdp1TBYawKT1rtFx9ds
ukJkPzVJOGjcWv3L59/dKqaVpFPYelAU8DnhewDNWPEhyhQ6fGIg41LQNFlewfT4zYEoEvjM0Wak
sqmhdYs10CgftbmL2RgtMN1NVivQg0g6V9iqq76+12fGWcilc/tBnxwbL5dEYjtCwjQ2B9DiX2f0
goP3+e2bJyARhLmFdW/rJiINZ52tGbVljFlU1no5ofAcqs7A029FinoVnOFdDLJ/IPxRPlUiHu/p
EMev1Wgbw76Bew04AT0FRA0rYuzHMLm+kr1TVfj3Verfup+bu2AOMnsHnzVQdxJ97WPQ9KTTRJke
TxtXsVBE23oafDOTuE+2YURlvumgGy95JVr7pndiinH26aIWR8ZxvOtkjuI1Yqxvc4aGwW0iwS8O
1qiOuRcUdf8zr4z5V1aOMXMsPiHQBnRdX7OQ0TWHBIXc50/wzMYLfg/7F7AOCv5atUBTUSjaBLsL
nah1g4Qn8O1+hu6vNPUlhcQJA4nFBsMRy2VDAJqRpnQMaLmN2zQS1zfkkck87rSJL2hMnO6vVaVl
hncl6BJTAmeo903XUv45TPo639QC8szSASrI5z9+ZXj8sfqXX+3ARYJFwBs+viFdMRDHFZjdNUlY
3U0w7ajZpflWjOAFekSmTpW4xoNRACmCMxfIl/MXvRuZ5jLDuK5JEN5OUjKQM3Gd+PzmTt8MMqrl
tlDV2EgWVsfUWJROkTO0QL0cazjuNdHOKoOnwklG//MrnQGhoQ+CMDo6Xr02HN7jxwDNLdEbfLcp
9HCs2kyyEX/dEqDPyssE3l9fbq2lCV+sOHY2y8lruzR8J7yQ2D8Jnr/pRaveytDApGNMi2unVUEl
EkbDZaMHXy/c7vLLj1Fo00BPBz3CQAyEDOj4dkdYRhknRekpZkSQUVKTcydcuRsbqR+6OGp2nKYf
JhlAA9y8T9vXXcdq8ObmobtNaTSfABJCxk+GeufIEGNb7CMiv8TCZJONGGd8fsdL9XJyw+h1uGs4
jOaaYVQN+IG2AzKtai7FroxR7oduyZvV7V9lR9DK55c7953BsIdEsXC+DQb4xw+oUxWGb9pYerYV
9PcJBbVfmmbtD7nVHGDakZzVzerTIBDlM9out4bomz1bZ/74+Z2c+eEA2GzNAjbHkpt6fCMqRsmj
AFvCiQgvYSWRgT87Q7GzmYkf8hFHj8+vt7z51YOGEQ6xj+Esv/7juPiHtDEGqhU1E9MOt2uKB9uU
xbfc7sUtBrLJBXj+3KXgU/OBmihAVXNFhXCUiDngAJCkhmFpkqJKDEkaUB1inuNeip88YQLwWdoW
DxKPbZu9c/UciUoOVWxCae8E+E08uqi0rHT+30X4sheSjsHnhaD0o3D+5+kpVRwzq4sqTxPkkOoj
TlGLLxaVb2e/fv6iThcG+DdjH2gk6GBRyRwvjNLCdChzZkT9zTBfdZlKNAxud4faAIHHguH/EnsJ
zaNGYRYDpwf94Pp6SVAGVcfgg/TyydoPXUjAD/i/r7q58xDPCOgu7N6ne5QFkYu6hGMFwsya1t+3
2iA0ybmaIVGg9dWD50R36jvRaGKfypQ5che2z5PmkP2eF2l2gaJy5gEbVHZQXAAyNShlxw+4CorK
pCnAQicurHtjSMJtodfNdWiQ6BQaVLqfv9AzhSRqTK6FkM+x4FGulmiZkCimd0Xlbb8fnv48HQ77
je9dDZvtl2Fz4dP76AaPP/Oja60lwFNIi6Qu17rZvey40H6///t88+XCZU4/uuOrrEpj4J5cbXqu
Msq3sWSQ716qPz4O1tMfYlLCQmDkJa3YX+WgYrS6/JDal1/H29qbHvsr6ybbjYT2lR6ZLXt4Cwcg
43A7Pyo79/3zt3a6iS3MTcItdVtFvbrOmqXRb9ANk55kMtbC1693Dq4eV7umnZ3//TS5lIv4iwUC
i8xerQ982A1KSsLlp1oP3ySnFscRLmD//wctTF4HmRm6orUKRK9z0D7ClWhn4uylDgvraTITkLGU
AMXPL3XKVlxkJmQlcxVs7C11WT//bJezPUBesXDrGCd8YUZ4F16zpObUkBlw3TPU8HuWK8M2QXKA
w4keddtYr+wLSe/nXqHL7ESHJ7bIDNd3gTgdSZaVML7VsE6duuFgJsWr20TqhWd7+j1wtiIhQzqL
5oRD4vj3IkpKSjumEU8Usg0gwpJCOs7GpY3kdOeyNdYkwn5UoHCyV5eBMuLovZCpRyvdd3sxhxjf
zBXzq40x6rmvd1ODG3Yaap6T5rg6VarznKOhfcZSb34zw9r9HeQa6W+wsLGy0eYhwoe/rNv2wq2e
efSM7CjNUaGjbFw/EJkAwMBlSYhbsCw/EYO6caN2OtRJ3V1YbMt2fbxR4HbAcwF/W9iX67fcqa7U
JjAK8N4+vw3sQnyJjJ7EVn7n10Y3MLVM21H+/7Wl2TpjHda5WFQjx29cm7GShDXFGxcx/AUcjreO
MzJddGb3Qu1xel6illrkaSZbBOfIahmnJJynArcCL0IYS8ABJiqjR+xDwvQgx0yFWrmKdB8DXA3h
ElOkx2GoSVL+/Js+s8R1w0VVqPNJkSu2+sEKTjeEE0E0rjWZ30zl4PgZ5g8X1s25qyB+4VWy7fLP
aoXXox67eRwhsrVGibuQrvv2YOgXfsuJjpqSUWetcBWYGuzvqxordPscNiWUqnzC7FoqdvpjYiaF
QyS8ngMTcUyu5gwwxXEwSNN0HCZAbj1AOnGTOHK8a+GDexUUJlzLsTy8RYwOLbFxq22bN+111mnV
tlbKepv3gBWfv4kz3xbNHWcFIztqirWS0IDLOWoRpva6FIJkA3h98I9uwNX+P+sckjex9/BaMHHR
+LiOVzny2N5ilMo+bsyU2HMP/QlVcPWg0Kl9SXoTW9w5ar6kzWwf4MiD6CmFe//579XPLAqo5mLJ
WoNtLj58L/45TSq8H+PQYbQ7tqktNxPM1TsctE2o7zidbRUn+tuMeEOHYaru8RKNv7D5mL9HZyQp
g7fPv7BalWWO7LbMzEMzo7vUIHgQktwbnO4wL8Ye0Q4gbpJlsd/DJN6oeZ28jpNWXFh8Z/YrYyHw
I2tF8IIrxvEzbQsISxgOpJ7SGPFXEAXnOU7h0OR0Z8CHqfJigX9eqHnPrBm0pyoCPiJx+M9qwWdl
C7N34EDG+QJyRKclt7LDQLd2IvXCpfQPodhqR7Zp5xk5fhDh17MsQN40yqNEIYQTFssG52jQgShi
VNyTqYfEqS/BriXqP4wM8jR9iUmD8NXQqL8UkXRhcBjbye2UW5y9Yr7RGGuGbaHNyctso/kAVsrg
TrozPvC+IYWO+TwkBNNTg9KwsORzxQ89LbUflT0bP0vGSDk+0JNOeIUrFIbxlo3MNwDbQ2Ylc9w0
tJK4VRPLzh81NpK4R2QOYbHC0LGki7Qh8TTSBe7RkhIfkRbipkwrDMQQEo33aT0ztOudWruHhY0L
sdnrBN2Itq7+dHjYlJsx10tMCCchG0i0SpVtqi6xX/C50976cKy+GbCy60WTWk1Ps5mZ+oGoHCZ8
Iq+J9xgqwD82seTadaMJIARo9SlTQ5vYGVeBSN1EQ9NvmFooFhGLWHf46jCLP8hgyDGqw6m+i+he
8dSTuOZssRGQfELOQEginOQg8sJSQyelUYMSbB3k0ObcHFKSh3AeVpztFszZcAtNVARX+YQtBrzG
Bye0cCeXk1SwVJXDdN/ZU2rsWpwn3/OKvx1RVZi8NkEeTlsg3+aHXea4VDRGmCa+yBSCmuys4C8l
JYBsF2q45hYqkqNss7lRo00eFMRWdEqrxzu8hQEKWFEVvGKzIu7VGdu53c8NLsWwYhNc2DU0Kde0
yQFW4ZXTfyUiExqTwoyC4KIxqQ4414v8Nh/78jrIQV3x+TflbyCXefZqqcbZNm3t6K7vYpvwarRa
dxkOs/peQnqCXDaq0I0hezp/IoAr3ic/7VZUql75Zta5rM8xlRaUwL6HjjjWKvmyg1JCFDCr0fQn
NXV+M5gZ0+tGn/CHtNCoba2umpQtLO3R8h1lmN+rMezwsFT7Id7GjPKA5gtKaNKkY4Yb+ggTEgjf
Yd44WG74oLaTAZHRDAyguaGZaq/CNT/xS9XOfuV9TStfl2mhbOZhedSlrfXtXonDlqSoVB+r3Yy4
kCSJStb1VYCIy4HjLLF+BMOt511uDya5dUXZ21czY33QL6lVBqs9ghvF4ssZiEalcTP3i19qrabT
96bRgv7a0qu28wiAyYTfRZVGKHtpZYRGGVhVEyJdYP1PqgCzmjoKcSOd+rGxr8gGIqzI6WCX74Ge
7fROl5P4Cu1XYJfdxKI4zFUPbzbki538pHGG51CUoXnFwWQSMN7Ew20JWf2NgI/qR6SkZeOnnIvw
m3JE2FuYlpXmK6HdGURmpfhVxXjqIUuIw99xqxYvQ5nSlQipWeWtKYmBgYvXsVYSG9DMd3qzgx3d
BMFPc5raVylSTPNY7OJPTQ0GWtLLdPDTWRnKbSO7PnzoHcblG+BRnMmnLnDfoQgG8GX65NGCvvJV
oW5/ivIh2+Uq2YALTxPBk+Jk5JJlVqtdJ13eGH6q2uHvCfH6V1gH5evn5+uptM4WTLdRykI4UvEZ
WpV2uaskbLtdhv2hqqA+wE60pUlLq3RvJaIEk7fa4MeQw3NmgtfCngSrflciw77G8Njs9qHe1Psi
i3k6F27t9OgXeDgamAUsU21Gb8eHZRk5JJRgHgVPQppfJxAJ9XrqrQ4RhZ78krlp/hq6rCJ9DZ6T
urFDjVVmkYtqbunWGgNbV7d4y2DAdTioRMWPz+/vTGkiwNdcwi/QJTLOXe7/n9IEaG0SGibX+DZY
CbH1E4Q1PAFCN9rOSg2ehSOXBSOTtIhmYxky07CBI7YTtrFitV6bGP0P5DjNY9/Lud5EdhDrECVt
/cEy+wIaQjTyF+KDkhWeo1imuxF1TQi7gokvluCgaRscFXAwq7u6ktvPf93pw7cR3kMFgBRAc7se
wVhmG1n5zAgEYYRDbluk3+eKmv7+/CqnpQnyvmUB4nFLd7Hu3+KJ1dOPXEURJFrUtyFuV3Wy+/wi
Z+b+x1dZLySg2SHWuEq++fm0Obx7/pcvFy5x6YesaqyG7IomXC5B6bDJtn+g3fl/yJraPKe7eIvk
6kIh+eEceFxnHf+mpdL8Z/HZTog5QssFJ2/w521LCHl2Zxwws9ka22JX37n32l55Sq/Gq2ineNjZ
78td5mt+ubN85FCb4m66cvxmq16o2E8XDnYU5tJkYbvIzrIqcbXWaBn3U7pVKCJ9UfecNIZ7SWp4
5nnDk0JFxxJ1mTKtXmkiYSdGeDN5UFOag9Va6s5OxvxRVmV54Us4bcEXz0NAE4SXyH3F6kmnZMFx
D3hRp3oJo8saWhr/Jla/tWbX3CW5YLvuMBt5qUlaIGo9CZULL/sMELlYmTgIPhki0wathoSJ67bj
YI8F8Kpekc/ZpsZdEcj+tz2o3f0UDBi29Lnudp6JPdQv8sUrcL5Ey66zEALJdoa8+NZQMPrG4DrK
wdLS7imymYHTwS78+bQB5bj02S1verVE0WjqNpQSIGTHXVbKP0uU2SKBkS7gQrZgn3rrzs+OkXde
LYr0WfZYMzuMj37N6Rx/R7KZ7Ka01/NLd7GMo1d3QQsLrII1FiOptcVPV2GAE2LgwgQl7YOblBFH
7QncPECNLAniqdOSeKkpCnhuGfEFpA/M40ClEIkvTWiYfy5sFWfWE+NRwyIfQQNYWnsU9hmWemmC
zWSQqP1+MlP3KpclJOtB9NtQN8frxKjEQXNq1U+LeHpsk2j8itkNihgtVR5EEWBYiujfB0Waruit
UkLHA3sPU8W8a0HcLnwAy961foKcwkyglq+N2ePxe9QUxL5D1hZenxrmYkDRHiCXIHOc5uzF1LNL
M44zOwjoNdiQxvEDlr26Hjk7icjJRfRs5kH3kGWrq5oY3P89WYO6h58ek1RsCMW6Uc2G2gaXcVL4
glbkbnXap3pJhklfsU3QKfLm0fHMWtoFruBuYHozesuvn6+F0yfrLCQd5noayKy2ptzNIhsnULkE
3oDbfYu10vFl1k6v1mwZ1xAj4wvXO4MQ0QszgPigB0BsWO1lojcKrAkZIteJ5vx0Zzf5zd6mfakT
umys0c07yzZquPjk5bWJlRwCRwxbfKMtc+M6vQ4lbkofTWz6DuRxuF7eFfYFJ9OPGcjxcsPNiP5/
QQ9ACdcIstsVcMoM5nOkR2nlY+IMc+TnjWv/so2KrJcezsWjqqXyOzEirruBtwhHUBileQfBaWig
BRolEcTQRuEVlosKC2Ck/hFmTfilyKL6e9Oh/sK2QVrXEUq56ML3cqbegPnM1sVbZfDCfn38wUwJ
wchhxCBTpiWU0AJlBYVdBKNvO7T2Iq8ctC7ZOLDZn2Q3hK/4KWgD3G+zv3OnphwvnB/LB7N6ojp3
5C71PTD5euIpdZWM0IkUpxaE/KpF44T0qTVvQCkusXNO/B1NDM6W+ZYDB2ApivXj364TvYrgA6dE
OSf2Th2d9ppAzOzZEmn8rGH10m04ZMM950K3SR0M8zPDCm+kZldXgpDlA2B/cZ+6LXFZcV0eFCWZ
rzSasvRCe7E0NquHshgV4HbK6cD2tqpT2ggiaIsTpTcZg/pujLJFvae2N2WCu5WQSoSUta8OLv4u
F1b4ua+QUoKqwTF0jD3WB2OnBoT0GGWOj2NXabvIcmN6Vfg7xMY4pXiIUAVAw07mFpqjqN2ffdIP
X121l6rfQ2F2kI8V8laRThdtYRPU6LD6CYqrHTakZ3y+R53uxhgz0ogZ4GUUdOvdWODJPkdxTARY
6mS3DDfCra01l2b/594GE1E2QcvSFjrQ8bJxa1p3PAFSzwnL/jklzQBDRs3+PUaj/djKelyWktky
PlP0C045Z1pgzjTAUYxGMNDm6Dm+trAGYzQHToJZBvWenre9SdD5kayhIBmHHIQ7sEvc5Q4B8PSQ
udBZyGkz6q9m6fC/Z1DyZMmIxKPPH/y5+7JwDafcE8u4f00/C3W3AcUsM7J+28Tc5ohunsuZuYtI
XQManp78NBsLqU2uM+tuCu2F1JV09K3cEYegzivkb6H8/5R0eAx8NgAnnCJ8QcdPCz8wvUoj1DFz
0s3POYMZn/GhdUgd8MjPn8CZfYseAo/JhX/j4vRxfCl70gwsTghbLV2MH5qqy7d6HKd35WBfqjk+
HD+PtwOsS5yPMcMH6r/at6Kg4+VHZuuNVUZCILK83HeBXJNDpIXVPfrrDi/KqEIupZQtWE9jB0g2
pWu8pUnD3IZYnuilhg+skQ3YRY+GU5LXBkG7KbamUHrUdslcXwuRTG9ExuM+7VLlWJ5wc1XcO31r
2LsWNOo7jDTtDSMJ+ZYhiHzVFO2X7lbqKxI39Xtjy2ug0Gw393Xa+1Chk1eSMZy3ua35PII2q8N9
mQipkl3RGl+kK1UL0rwKY7utWf8MVxN33iZajqmBkilL5lfVk1nUK3nUb8bKDf5oA3rEfZq5I5sT
qFy3WaBX5ilFThhdqWKYzWC/SGcPS/WWITAEttc4aHRCZkQ4/gwC+M4bikZSuIu4n9+sacR3QMsR
RvF/jxXO5dYGDEbtN/7NdPaTvQkVZ0LJaWcvRmiT+/75UlqWyur1wrfU1cVOFK7TRzv9Ty+CvhxR
lMmQlMcZHGSnmVuzcUksSi39Cq+QEAnhKC8cMWc2eleHdAeJHPWPihfX8QJOh7GbZUNB5U5o2CxY
9rcWuvTHOVFt5rWjsLcS4SRaB6UnQZFkiljLun1mkOjWqO68g5tvHkKUUXR2au3eFkzyLvTrZ7aZ
D4K7wFRaCMiYq5VvWEFO0FQlPcJpMl+obrplRJn4BWa93+NQ9PcQ2x1UHQAQBoXpQ6lMym3W2+N+
zvXISzVS7i48OeP003exmCW3AQszhnXr99VB6TZj9H4Il9vmTovGBGstVE/FdszV7A/yaULPI+kk
8S6RQ1WAapQxgclaoYWe06WjS5S6NUYbBPIxhOksxqjErcrkJYoXq29FHVgMLdTYO4MocrEJqobM
KM3C0QLJMZ0osKcxWFuTsGz3Cnm8sD2koFPsObFr/I5n0kdJwEqTh2ayg1+yLbqOKEl7esBdub4G
l6zea76a9sKk6cxCBl+DhEjHgvvWGpVFLRLiq1JLz5yVDj8bo/1Np6ptmyWwOwFuA9eKkgtfz8nb
EAyI4ZwsuCV/XDMgAxnDJsbvw2uIdT0EIpHXaOJyD+n4pVr1tIDkAmCHC2BJB8i2f/zNcK4CsrC7
eE6BV5MfjEr9GxhDe4mDKPmumB0VpEUc+ANWacNzOigEPDCjtO4ifdZ+N7r2127IU84nY36xajH9
iWzZfgEvmN8+31JOIhdAo5fCiAHHUuXDKDy+0zaQlkUQaYWEwXLAxqcCB6dumAZrZ2r1FN9piVuK
LV1W7XpE4ECYCPRxAOikbmM+hqXi7IU55u3EFRAO/kAOQX3h6/4gNB5tfIIuj/5WxXIfdzJ1dZNF
21a8PQOBMZOGHyOz47+TlSN+cnM9eBPWjCWuGO3pV1glyWs/qxgLSV1S4uD245heiFYTe0qR1eiN
tCEPD2pfwVweOowLD/hBUru7S4dmEnb+AMEcWyAGZsQeh2aFLgs7l7TfYjpEsIIOwFkhK4FwuXcN
so4uLNPTxkswqIOux6vndcCXOX4jpmgLMaQjUvg+Nw/EGEa3am2au7zGhamBWbudU3DjTsNeK+oA
FYiBywl5A3O+sDZOpk7LnUAH4wNd5rRr2mfLAWpkBVtM1OXvDvDoRrfkPtKV6zAOtb3ekzs7pgcx
FcO2Jjh802XuhTbjY+NevXrugQMPhjRUg/WrD9ioSimWe9DlcA+bgZMm6hP13cbeKthIIqE8WCT4
jQkVDCrEj2VQNeJJID88LiyTrYyK+TAUgbiSYaTeuSbQZIDT4m0zWN0uLoIaB5tx3Gc1g6EpYLYH
yKaim08zn/iFZgfZJ/TzukHFLtt65xRYD5Rqi2N46eg3TtO0r58/+NOdih8KGgPPf6Ggfdhh/3PO
JwmiJ+mSfqhIN3jBc5UaqezELpvU+un/X4r+loWmG9hLWavqFNuYtGljRBGdCeSnZTY+hS3Ca0SC
5dXnlzrzKmm+GL0sQ0x+mbEquluhTGENf84rWivYph1592omyz3+07qvEyq2tXBnMDb2ECzBxgCy
AZpvonH4MAdtcedSiF0BpxSoGo2EkL9cCa9H6iCvH8r6TTeQUyK6N/nGo+w5G8fwKaCY8tsUkFum
pEw7pUn+p9WXuzHNO4DcrlAPhj3Vh4JAj9t6KqtLZJKTATKD9+WQW8on2NrrFl2bcL5kTJh7qZjs
P2pUkDeJ4ZHyKIggfXVLmCbE/8Ew2Wf8FNS+DNPiK/pkTDiHrAJIwka+ozZoFL3dpbPlfiHwPCOv
eTDVq0pzUHPWg4jyTQlV8VVvK+PX5y/uZMDHLyCPhiHm8hHS7R9vSIZLox/NH7LZPr7XumB8qBM5
vYvJZTgyx5f2nTPLn+vhJ4COF9rUujpAM0aIbx/knqr3gbmZSPb2zMHGGMXKE3mhPTvxlseUle50
QY+pcNEorypHMybK3UyVwkMuF+ycVnY3ISmprx1OPTdIc/GlTFGPbkalENtpMY0Z1AgniU5rkIUW
jrb//GmbPM3jDW8BajiQWTUM39atae50g+6mWGPGi6dTDey/VyLduHCVcz+br94GfrJBuZiJH79U
IiXSNO8RJpZT49xiER9+nXRCoREzRQeE7NY2SHPzvsQI7HEyc/DppB9vrVHpMbUbm/fPf/SyhFY/
mvsAA0OpCCC2drrv5ngYMB5DMoIt7mboBqblY6XvZFMTGCsN968auhQpn1/1zKM+uuqqSkPGkQY4
iPD9uXBOIOGq2yEa60uP2jj34yhc8IfGEJ1AkuNH3WYpvFMMUrxOGq9NPobfSCKPfIhRpkfiY8K2
G4u3GJXhs2yn1J/MsthlFGyssUn76kSBdoH7e+6HUwojbOJMZZWthkVK09daYRBbnGrwW0Jbsa4s
/OAvbPinnSOcX2SnLvUl/SOS/OMfLsw50qPehftAk/hN5o58inRteMVWOvw9BpP+rld6m/llnhd7
PZ+R0+K6wvlAiRZtpJFmT0kNO3mTDZP21pitIAlxiuNLGskzj+Pj8IPsv2ApawA/6tiHCsELCsHS
sKJysxs7ra3D56vtzLbG6Br7Y2y9df6wfAP/nOrocibaQWgQBKnam7mPJ3/OEljftqttP7/UuR9E
+UifY6KXQ8V2fCmndGcYHOwhkwjj22LKYC7iBTo/f36ZU4ktLdwHoMzAnCpxTey2wrgqXBPPnJFg
jmdoZRqpEjrWzi9QVYZ+l/SydDwivAdof1094spWisrPbBkrW6Wr6hjvv3zxTSIQq9rUiDvybVCR
AfP/v3QDuh9ieGjHxomqlOgHHNFaFFPlDDsWjMK9wfnlUrrVmTfMmJPhL5oB5FlrhnkZlbrTxgwz
Ey0scFdTpW8oZl5DzJ0vfcLnnj32ycw7iDxg3rtGmBoLQ50oy2FMVAPdwNKy5I1WPBQ5896s1HDd
m4156xSluNMNIgvTslC8IDTdh7kOlW2n9lS/jdt+GeF+XSjbz90d+j/2cqg+BlPP1amqVZMbIZ4r
8NlsApJ5oZr+0efQ/kmprjl3E3WZfUjwHLivEsMs/TYr+ieS5gnAFnwaAQZJai43jhgxvzUQ5xcb
NOvaJVLCmQ/F0WFl4dkIhALn4/hDKUM8sxb2ksecojl0OrrZ2biI3p85AKjwYC0v2y008GXd/PPl
myUQXzF2jVeoDd6NOV8D+cNyq5PGBxgQx1uBVdZ9UsrovsSHFvNmd47esaF9mzXF2EI+qi7tzae9
HRwBAk/Rm7J2aK6P7wkL0gY+K2hxX4rhS2W2aNzVOv2LQfK8M4epu4It4itJ/qelnfbN0a32A0My
/8IWckIkEEBXJmWIYG7NzazOCEw3ixpvWDIu4qJ+Kruk3NdBkuzdXq8PLd71P80qUze9k0SvST9N
sOCH36mjf9EH/G9QSGPwrJG/Z+Akuisd9G0jDZnfmqPud3MaXthZTwsVYGdsZ1DQwvgyrdW6xkfW
tchHxpRYgQnbsr2RSB+7N5kxEj2E3G6vZINzAdw5XaWQPvgwPp4R06RVATEM4eIu3NWMP9T2biot
8x6WjnmpEj6t8wH0dMTBzIRMneL7eEm0Ydw7aU+IdBa42c+qNfQnwsHVb041mPd4J+JPgaea+8O2
I+xamanomldYWElh8BJkr3bURj8lSvz7GqMmyLpyxIaQBCLx9vmaOXOftCG0U1DugPLW76DMOqm0
alVTvWjBVYY8bKdEufF1KKTxHcL6pUibM3UMSRgIfSnMiSoC8Tx+MPi7ZjGlMk1ylWfpxuyhWXOi
ENiXaeb8zdGbEGaOrec/KzOZHok4EfNOWL1R+sxgU1/WBv9FSZmT+E0UVddNkKR/HM2iGPj80Zye
QMvhBpuTVlPl7F9V9QvWQk4pE2cN5QLT1TC6D1sGF13KbP7/X4oUOKa3yJzo1lYPpbfiLokNBjM9
3kA+NoSkGThJv5ns8RKEdmaPYN9EKgS4yQuwV+WMLu1pNEsQiLYzM1iWs/7E3MD5ORt6eK246oSb
Lm7SlFJJpnyreIUXdqkzjxXaGlXbUk7Z3MTxAgjdOMM8UMVQQWtqP5S9uy3MIt24Zh9eqBJPHawE
TqhcCNcOSkUcAY6v5RQJdB1zuVaQFo5Xwb/+UzQoCDfYl7ftJh0NJfdwj57dHZ2xNfiCbWi+qjIb
a3pFwU5yQ51JnKtduwo+sWBknp07UejhMNfoh5DgQGyrw6723VCvg63iDsH3ysaKetNDpHdJGqBD
uLAyz2ycAMDA4hByEQivRUOxkpM8GQZIsLJpfDcntTw4+YDzJJbHX+CLwG3XxvT58zV6ZuMkiwf6
JlUqiNk6y8EJGdplM88SEkbgVwwaN0YyqBe6qTPFzofdwcKHQ2ZG3sfxKxu1bkil5nIZvLY3TY7z
/0aNcIBUcB+YNzHY64E+0zq4ZlVfV6oFtOImsY+vugk5CS8P+Hvqpu0bsbf7NKwv7eyn69dUF36W
xtpiorL+gET0H2Xn0SQ3kqbpv9JWd/RAi7GpPiB0ak1xgVEkoaU74AB+/T5g1e5URNIyltV1KDaZ
BODyE69YaqgF9J1WL/0BxWM3AFnZOOCOTAPsdZYo4P1JWbk6ZhGWt51iTxkIWLawa10z8uKwEoX3
GXV8ZCOGBAhQoucv70/W22PdBsNGC4pOBJZwp31Gv7DpTzU6HCNcDT67RQJNAmWT9eQi4hrKwk12
7z/wbdOQxJR/UTHhIKMNsrzRP+KyHG7PIDWMQsu6tTYIAbmIfGfDSkxW/okDFNvOJur8jZHZ7YVT
jGrbCRwOh9GKH3pduJe0nH8f3UYPE86+Q03GpVl1uv+t2U+yuDe1sKMZgkGK8L1veZNknyJ2/Ouy
vfwN7Kq02qZ2XTqgOvT2keJUWW+jyMeKgKuMHnYqjOiDBUgV9S88HLILOWjc1++P4NuDmTYaJyIh
NIUUpu94AFUrhNI7XQNRN+DWMYhCrYxBaU8QHk0kAHTE2PUYt5tVlEDMCg2j87bvv8Lbpe1YLlgO
isqg7KhQHr9Cg5ot4TU6jiJuvnhaYFwGvfVNja38XY0DbItcoKNcqiDCQKYeP0hLKESwmHhQp6KV
YeQZnVI6EO9/ztsTi1OfdMQGUkV39JR2rkkNAVGPPMfKI0KGVqI/miK6/rtP4UxkhUEkXI7iUzKl
Myldl8LIV56oje0CL9wiIhmfSQLffgu1AZc2FMOy9BdORqwlHV7U2vFYzavqkuJfu/YxD9i8/y2/
OH3pCRKyLtEBkbl/Eh3IoJ8to40g16o8uE6bUb3GFJXhLyH8ovrJ+YCbUBZCsMX2t0e9rTD6YY1o
KfF01c2ICmfRZRFTZkLLzTtznb9dniQJBjhpkgYSwFN/LQ5kI4qKAiap3X6P8sJEjUxYD5mfy89n
xuFtRrdUOLhdadc57MqTzWihkshhkWshzlZya3SzkYeZYYqLHknajczoKNJocayVq4/mOnIT8dSL
Ln5B+tj8bTkJZBPI6yhB8e1c+idzklVUBRTtHi42gAu2Po8H14zzMyHoW5UOvpeYnGOS1QPF5+ST
Y62forzFx6syu/w54L4PU5/+CorFoFBsPaPwgMp8Lof+u0XiuEbfZvj6/ri/nWGq9eRM/APFHLW5
43MBTjJExhTu2YAS2TaZSAGpWfTI2rfnRvUXF9aiv4PVL+E2Rq2nLA7M8DhnS1msfCC//dqpCypo
c1pI4xJLEbD/KnGcH0U9e2lIncq+NtoFE+N4bTWHNg6vJsilIcN1EdCJd+Yy+EXjmqORgwtII4bj
1imtP1EyTiKrIBVy7FSusCCqd/Bhk6fZcLRvSJmiIVn0OAOMmRzu7CrD4cfBTDdcehG/rfawFPvY
C+YCwEbr52RasGgoEk3m5UqMfQEmzS4PLuLVv3v7LAhCOC2UFckPwUkdT77Bl+jkoxUsDF372hRp
fUkffN76iaP/7mnKowDa+yjw2jzvdO7RB7Ubuk3VKlBWsh4yK96Rkf925RjpXNS0UHEEr4k2iHn8
QVWkpeOkkD6P06LZj0ToK6/zvfX7e+ZN3EBBndITBSg2LuDQk32bFt48ogVcrwq/Gp/bPLWeLSRb
XzxL6Aewy24Yu3q3HxEzh80w178/axSBF2dJtq7OSxx/ZBoNQV25ZFFEWEvpNKhYpz1WKjVSwO9/
6Zu0h/nyF0Dw0sdfdu7xowCHlYkmcJMzzRpXnjKsTAMzpwvg0siQn/XVW1b1UR9tUXNhAvWfqDN0
ko4fJxCQCZqBTLiEFh5y+VdrF1/XQ+sqnw7m7K7NPBt2aNtZK8vH1AaiFzmRD5jBCLBdW9QEFnXr
4eH9YTB+hhRv34wuARAAGk6nt5OvuHT8FlsPygMYP6geseSV3na6DaDCVMHKyUdMIMbSim95Abde
TeDFvxQddTja9pb9PY1BGe4ScAJfZmlNl/Sk+12LSoq5QhHIBIhfVlx5ceNMKAvQSp9B/wSz5HIo
SrDFsdE/AKhwJaSUVnce8YTogQogYFCuKL9ioJUYU/eUROger+xY2aAMpEKh2OvUVF4QfAL8rDiA
V9C+KTvqsYbVslQ4v2wqaefpOmGsb4QWRBlCI4O47BGqysNaIncSJjPiDrukzWb07EGpQske3O6G
vpSfhQI5dwVutLeSVdSa2pfMS9VlkIDYg22fWizSOMYQu1ee9rl2ZfUh9iITT7tu+th7wvoeZ7X2
udFTB5yA5SR12Ju5B9XW6LUbDHA1JBVs1aDyTHTUXg2LxtC6GSTqv8RWyCjn+oyCEuiZTDvMepLu
Rhvto10Zu8mMS0mDop1fNygK4AGnrzVhBp9LIObI9BeW+bERFSqJbiWnK+h4ZRZavRPJ2yqG/rUy
jdgG/DwZDaTOIVLmi91kJR+XItse6y5qCqbd4r6Q0ftEOoAL+7ZpO1OEIzHLE1hgEyr0qHfPXaXK
at0HEscR8Lydx9B2c7uOuqWz4RgTqlEi8FA+UVPTv8xYFD6Vup/4q6xpJS1VVkm89kGPoQZqzuN8
MTdE2Ah3ViVth56LDasBavjrAVnWIWSVuQ5OrAXtOoyAMKoaqwaFPfJkc1zz4nW1ziFOfs9mMbK7
qXqaYTxiTmMZdYAsVeBgFAQwq3/pg3ImwY8HokwKzDkI5lHV38nU+vEx0Pv2JUf9C7gg4CoNzzEb
7+Qu142VNAQw7ZQAKgFnZQ13FVa/YLjLETkElMfjpSOaYMyC3xxqFeynJIwj5T0jH5LVKysJ/Jtm
7oYri9E0Vr1H8QybDluNm5m5wu62nRXTUyxeAyxGbwr7LPc3E4rBY9iLlrP4/aPgV0eUQ6oIKQC6
H+n+8REFCmimbWwjPas3/m1dFeOjEHpw5ilvQyVOQp9TnghxkYc8DQ2pIZilnmTQU1SxydS8jewA
W1/9yYmdrVc5L0BwrjJ/RkAJ+tWEMWLYxvptVw5nqkNv4kOkoHCZhbhEQ5Dk8eRINszGl8qE+RNZ
U/QVDp5YV/UsLls3ms6kQm+HFnE16jw+kkpcOsFJAV/ZrSoI+xbr0sbbNVYR/WiEd8679BdPMZaM
hpAXPiXN7OMJtIPJ8QR2HSvDlflW2bH9lKYiPpNu/2LYiEEIKGl6ABk7bS2jSY5xTYOObhcNOc4S
3bzFiGsRZffOJE6/+B6QTXQpgduhInoqK9hZdMY9rKVXjs/9mKfetI0aQK3vL/u3gBtmhH4oeIjl
gqbgdDxsPewakaU4kaOR3eHqU4HPXs16PvubPqqiBo2EsW8ROkGbOdSySX1oLVfVq9FRGV4TTdsf
eqsvhjMb5RdfT4BMI9AloUD+76T/JpK2sJE9R7Kjq9wNRD5/kxsI6bz/9b94CtxvYFagX2hNnH58
NI9Zl+W0bIIYzwuKDwSYAY4t7z/lbSlgIV0CnOLSRJyVosPxGHceHkyF6zXErJG6M3OMasLB4vhm
/1kremjJZqK9eo8NpgV7o2m3dGSdGwqBwb3AZbamuj6/QmHLKu7OInt+//3ehr2MMlkqBZHAoZNh
Hr+enfnu3BfUHYwWYuEqXWS/2aqc9Wlq38+jMz2D+EMAyoPSWNJeO7z//F/sKUqK/qJVQUAKIOf4
+bnZChwsKQMDLrT2dYV1KxZU40ovUPX47UfRWKfkTsWMBOkUOuz0uTuozGhW8KuwM0Q8ZEMdGfZZ
550rmb2tAiwMewq59BYWANkpwhK31yLCV51sIpvEIcFn5SWbg+m5T51kbyLyf9f3Rn4fR3FKc9h0
P4DDyrIza++nyvBxgMtbWOCUgTsEUFRPJjeh7aRHKVgYF22w9GKKZv1jkvfya+FPfDOkDE+GqlWV
f4mql/VSdnlXXuq0AlGBA17/MmmO+egLt7hD5szsVtiPtoitcNha4TA71KUtmXg3nSptZzPPSv+e
SzVauHLG1Odx3ih/+JHqzHUd14kWUjV0z6zft+sHOTRaHQTwCElzrR6vH5m5Y2NEE6IuaGCtyS7s
VdVm5ke4kP6ZR73Nm5Z6rg0LDKYJWMiTY8nRGwuaDhLLk2Wl5kWnm7MfNllt3/gWLbE99YcGQLdy
2nN67r948lJ4h51CkZBm78mT3a6dECXBgmc0lXypMjxBbGMUW8trrc9mko9bO2p/u/cB+oTGpguL
nlL2G0AeNiGC1YPQqz8LmkdoYTgfUOZyrkWUzoQw+Tni8M9C8tFyXXgwnPdMI52P4LR9m5NW6Ci1
Nas8N9rHEtFPd2XAy7S2bez31mGKrbjDzczSwOwFUPz8vCkevaDqOU1lkdylKiKhqBsNda6C3ObJ
k6W9hg9htquxQyH3YPRt+60WVfeQcKvp69JJ0k/4GgXomWLWcSegKmPUWPn6gGmU1pM2aFmxaeI6
z6/GKHe1EMPEFlpT33Rd2PpaaayBARvamkzH/qF5k6j2GY7J2Eu3Am3ctkOGMJ3z6WOndV6ybuYs
6vdjTHgSVpxS/e+ecoics9VpLYKhIbNYNsw/Gkidg+wIekk4eM1CXFEa6+EYYDFsQy9Yv3+gLlfX
8XwBHl1iOvg67L7T/mkMScrX06GnhO0V17kJ2W3R2uqw9ozlfsFMwXvwzJuozlH2e//Zb25vyiQo
4aI2ComV3sTJvQFTSwMbMiN6Ql/kAnHedsUPWH/dTv/1bfzv+LW+++tjxH/+h19/qxugfHEiT375
n+v0G76Z9Q/5P8uP/b8/dvxD/7ltXqtH2b2+yusvzemfPPpB/v6/n7/+Ir8c/YKcHKWv+/61mx5e
RV/Inw/hTZc/+f/7m/96/fm3PE3N659/YOdQyeVvi9O6+uPv3zp8//OPn7P1X//8+//+zZsvJT/3
OHwpvn7pvr/5kdcvQv75h2X9G/T90kIhDNaBx3Hsqtfldwz93/DZFmgt8olkO0tNsCLtTv78w9f/
vaA/iYN+9hApkP/xL1Hjq/LnH579b+Ij01jSEng9qFP88X9f7WiS/nfS/lX15V2dVlL8+ccy9/+7
LhdlHEpNuHthMMRG4A2PtwAwKFBWQsfi1BPqFvEPeIkenUaItmMZ+FdGy3my7UWsTWHNkSOvtIGW
/4f3V+gJ4e6v14BmR4QJIIWC7MnVVHHKiWAqeQ2sUsm1xpF0r/aDOQoHTqrP6TzTFM3gXHzs0Uwh
te0CALiZmzvTHiBqdIuEGE61Ed1va2UnsbhwFz0hjN1btC4yz67iuzPvfLytKKz81AahZ0XTm3m0
lpvoH6cHqo8BWhK1tfETaJhAkKddGnmYtLl6cznE5kJciZIHITE8hNzqHihm0NJpbeMyHlwRdlnE
4Yixu9+d2fAnpfy/Xg09CX2xjmLTn1bPceJmsDXD2jgKM0+IK6glTjESAok1bIWc7zNoH4cKjh0q
cYaxT2enAwzVo/H4/iAdH3t/v4i7tLPo7BEzn1QLctW2E2rk9saeA3y7bVQ1X2HCFHdOq6lt1Pop
VKF5npGsQ9nz/WcfRwJ/PxvJXo485O1BdxzPT8fVayB7x/y4FtWbcRiplYJ60rc5qohUxNBQhUne
9v2Zs/5Xw48jCLAEiorc06f4fNF3ka78xtpUcWxBWoYPE2rcD/ulbZNRcyy7g175KuxUbz/Q46Rw
1Y/lvZdHwVkFw2UH/3OHL6wwNMqIbMn22eQny9Sd/c6ZTR2KVgPsbpt6WtZBvUeQimZSjbAlio91
dtFl5sRF6I7Fl8aYDdqMTRt/eX9G3mxzi+OGRy19Xi6YN0G2st1qjnIRbPzWnpDEAa24JdmKrmM8
i8pQuUX0KYWOvYqxILmBUjE9D1raPg1IqxUuWm6hOUzNp84etasxSzF4CrRk384yOnMgvV23P89F
GuzIKhIInxyLMs0Ax+sq2GhT0lvhCA1tha5CcyW7+NosouLG7m37cZqaeH9mjJYA9Wi+CCV1Wl6M
E24JhJPHy7Zu52joWpFu/VnXt9SfJmyCeyQyQ6U1SOqXwvxg9MX8Iw+ScT/WfnI52mO6zX1PngGu
noDZ2EK8ARRWpoouCP+eBNM9EiT6OMXkfYivDGHeji5bteZYu8ILeH5Ai6GaLkxO6Nt5sn3zEAyt
6EOZjj7+274x3wtomekl1snG8MGI4nVdxY4GL2jOgJLVfTdsLfB/V5pjxRNV3XKUO6rRXoGIQ1EE
KzwXAQ+dGeE3O2KpfRE9AzqAFfemhJkV1IVTIx+2tiPlfuhVvzeqqlipBGrpQKS2tXJrqun1ZN/G
YdD2Poaj587o5eQ7mmZeAqUDwkHSheU/jqeZIzlG6Hfst6YLFpBqRlsX4aBnxnUgveeqLOzd+5/9
i8nkcgWUgtwPyoiozBw/0eo70j9krbejPalPulXX21wW9pOpF5W/Rnga62LR4HQyw6IMGjqgkzMn
SOlK776qy+/CHAvI2W5Lld3MXprajTfe4FzSdkEfJkGdde8gQz+EiHbiP5lqMgrxPPe+vf8dJ242
y6JcpB2JjBBlWSLp5V7+x71raZY9+Xk0LF1h3V53GBtD9O3FR1uL28vaGJx9FPQJ+kRxs29m9J9F
WXuPSjT3k9012yBBlriITPfB5trbOKmjwja3/Nsox4264QQ9cx+c8N9/vrFLiEWugasAeffpNgpk
rk2yU1u/7dIflllk+M6q/hahh+k+iRJzb7JhDr1jlg+epr4FVR1cmbXIsLFt3XSDNbV25Udz+VT7
rrzFGq3H8dcqgaVEM0ou9UjHbK7G22yUz16s5Yehi641qiReqDyuWJRXUNAw5vxMDPR2ES/bCO4F
LfQF4nvyYab0Wz+rjGELIXu6ErnWbwZrqG+J5KZDZNnZmTX89nloFRLHQaummwOX9XjqnR50ZBY5
49Ycx+qjJbXvBB0pti6d+qrHeE2fCSF+8Tzbp+iJVgDwYebv+HkdBqHSyXu1TYVjw+Rz8ldtHr1L
B2sZdJdb58yBeyLnsKwU8K5AbpYqK61g/WRAvTyrfOzEpm3T1UjmWF6so6BdPqo0b/XVNHg3WsK9
0/YanA5crAiE+4qEMah14673ZPxkSRuLdjm6Z+6l00Th55uBxV0MqwBpne46JZuARjglwKCw8l00
BcZLHAEvDQq3vxmlH+Dk5xqvUg60yMxKbN7f9b96/ALFoj4IeAbszPFMYF4PFk3U05aS+/isa43x
meLPDnqWD1tESGs9avK7L5zmAuF/78zHn1Sm/5oXJofZAZe/1KaPH+/7Evyv7yjAdsQsmNoHzlMH
GnhVtFRE1nQQn4Kh8u5k7B3AbmPxoHvDrTU5KHplvoV5bN9gPOxmhdwtupVnym1vRgfyM0g98HoG
gS7/HL+eW2B3V+qttXUJBfadnZm3SxXxqjDb9qNyrG++KtsHJN2sbVUI/fH9uXkb74Jn4X/cqT9t
pE7j3VS09WwFAieltDO1B63u62elW4G6yQS7al10KL+v4tFtJDx+0VA7j+tubxgJgjhjJuRvh/4L
wAY6KGqri6fcaVYbR3Ovl3llc04oO8PMHJeASK/l9ajl6pNnyKteq+zD+8Pwi0lY0OoE/EvpER7q
8SSUsx2N4JTtbR7DfQ3RWDd+SMdBXL50vZ09qPIb9TdjL9Hg2k21ZjbnAptlFR7FFD+7EyBIYKoR
up6iFcdEuRB2XTS8aFbG4OZm2hR5imn9YTL19qKr9aw8TGnfJuucP3KVaEOt7ixpDHQ1s7ZaFm+E
2/n7A3Oipsnu4b0WxeAFSshbOSfRdOpOpjTw292C9otAvBXt4KwCrwc0gdUA8hCweusRYm02V3RX
AXrt0kEIZzWk0gV6rw900gfTn/aBUcObqHL4qeCVNbRdmjlxHtNUZSlw/X6OdohZARytEm1U58Z3
mcHj8V2o/aDcFxLR0g8+nmEYd4WBDh71kFxk0X6plhQoqrWUHBJQ9VYYVbHtrhJLIM8cBf64ruvK
04Gn2A688ElOcofClrg1Kn5y1eD+26ytaWrPdTPeLkWT2xFUNzcXgMPT/N8DY1KkJQOuUfzB32Fy
DrLXP7RmEVzjjlzssQuZvjpNvZtc/C3en+43lyYBDgEarCKUSZbG7PEo2VCkojxNvS1IN8S/q3i4
c5NAv8oNkgcaJmflhZZL8XhaTJITaEzw+YAKeCfLiwKDcI0E2kPiVf3XBkuDXUHOu9YyW7+KoPDW
m8h21J471UfbESMFdC7rg1lwEHmaLFFJ8PK1Eyfi0iqdZgdHHVfWqqAaUsaz/zHxGhtMiiC+mgBG
vj9aJ0iHZXMswtTQsCB0cvGfXqxJomeaDvVwW7HCb6wuCJ4g94vLOjbil3Ik5y1G+HGrKEUTlOY9
4PV4Qmp9bLxFcTYbtq2bx9WZmPVE7nt5LQTqaOCjx8Z9R1v2eBY7SiZ1AwN5G3VxIdaKe28CShQ1
z6lrR/WH0U7gAClwQcnKNgc8S8q+c6/kTIkZfRgHOyONsnMo+qxDUBaK4VYh36YuVRtglGB16eBc
NeZ54dtlEx6vBvr0BNt4si3S7KfgeFaCWbmDNqH7MyK72walqjZ57wZ3ledGnyrZSjSwDISRNpnV
Y0qfGYb63IsqjZer2kLZS8PpfpWKyiihfsfeHsmUmlhbXyJuYfTOfeLZ2jmF6xOEwc8R55UBNaKW
tZi6ndwfqgFoNhnGvE1b3QZ+ZBnyi5P7t0ZhoRlsjBJ5JF/7bHdCu49N4N9+jbM9wLzqJpNs7DPr
8u1lQlkYwSaozziDM5THC0BaA1kHMf/W9dS0jSNrAJU2phe164jrSLhNiTSTd+HXKrioES68Keg/
XfMfB8+czsFJ3gZg6CEQ4wDSBXMKPu90j8PfM0sxEuGkNdqEEeALvWzUA74m+G6XgXmJsU+3lUAD
r2LE157HfETMwBbDZu4nsRJZN99hxVQArhmKM2H7iZ3bz6mDtwN6B9UAAIun3R2zqmKv03GsAe2i
2dfIUSFVjZVGc6eNHZJ1hZUm3gckC+XOMTWlb31tssbPaYBbaggDVqvRuAQNfE39jFpy5LiNu/Yj
X5/wsJmT8mI2K6tewwyV2Lo5UYKNwpwSZqZkLWeQO79ahzQWlmiS4ggHwMlQQxfOrSwfjG1VBVmY
JiYGdbHrA/uOtSjsHDFfWyZxhBriJ40xubO6zN1bMOKR6+Rif38d/tT2PdnPHOkAblBIhkN9WmZ3
mb2kJzPY4hUwHzK9qm4qyWygk6iDipeWsZGTJVYVWt4o9U2SipLQ73wsrLdJO+h7KVW7KIF6HplJ
HNibOrE6Pcw7dJfntFTILdC5fPIcpMUFJk+fW7Pd1nEmv6b1mH0qSs99ef+bfnHmL8grvgZLOwQG
T9MJsDSTlndusAVrZNwmBlYKbhd326Aq8i8YbOIpm7do1elo/WIjFbwCnv3KRDTrWUzJg9Tzc46E
v3wlEiykqNn2i6jS8XbPaD6ZOf2WbUyh6AqJ1+YqZb2GlJXntTkY084tiv5jwK10w7kwrUeCuFDr
DHeDnp17O+sId70/TMsJczzzlOngiDORDhWy0xNoEFY7Im8ebevJcT9MGU5pNIrqa2L6YZNotfZs
C++ctPAv1hslX9YafbGlWXqKksBGZ+hLn9whwbJhR+HT3Muq8HaZKMedkZRgX3mJj2mXZZeN0N0f
ysq/JM6AV7RbOfUu9xEL1VBorkLTqi4d6M83UHTzMJ8NWJpVEIgdToDYQGVacZirJnqqgXw/cdFc
CW0GFvv+KNLlPRlHxMtgSHKv0FlbHDSXk/4fBbMcEPZyJeobkdJhx0psdjFroW3wlAXmNK61AR+f
EPspH3it7jT52urN4DCWEuiKPZFyhkUuW6RGS0s1LxVCkfHarDLsAkcx6ObNpFsY7Ok6JlqfRwPx
0oF2xG6upk6shsy043VeuU9OnkwfI2D9tF6q/KUe9TqMUXBctbAAq7XWGrLZ4HNH9J5ZbdWEsOyn
PJTExz2xm63ucnBA1J8TT2EJlNjjZ6fyRYMCampQ1cyj4sISIlaboR7ocbsl9BGf5ve8BgGiwflG
qJqAwLWL4hDZurrxzELrgOhY0T1Dl1qrLOvy165P8QHR8rEncx3ieEBrxmiivTkI1a1LUwrBB2p9
fiBCyO8p5HQ/UhMMfDjxcetSYUmBwyFq3qvWKOZNWov2xl5ED8OiEbW1qkdNjKteBYCUW88BJZSN
WkGuYE3aZR/J9mMU2Y27Aoroki1h5gVQI9IDFKj6msu+nLqAVMPtu71w2uEgCkTatwDRF0vA2LM3
+tDhLyYmTb8wanpsOIJhVLNOYuw81kmLm+FOSdkYOysXxQODx3HY5ctARXmsr9iNuVwbtet9L9uq
PIu1OkF8LZwR2qUAZogq4H2RoRwvyKZ1uyrhSN+URorDmJ5XW81Du9w02vTaAsUCGnssmi2M8vEC
5YD8QP54Dk33ptbGA8DsLJ0WmH0Euyfxlm530KjIGDdT1shDkUfxRZU5+qbw05u4V9UBDWgAXVpK
NTXuLlFNc/ZoAWo7miLBJpZAq/0+Fa/vb9fT7Omvt1qoLVifghU5yZ6altMflF+06aZSvRb5iMd5
7+HP1cfFRycuzpFp3sQunHBkalyw4P0wPDkllzf5kFRuN3gbPxiDq0xFOATqSfEJaRdzlToteyO2
q5u5R3ZVzItdj54MS5plpGPo5qhg4KqZzC/u1JUPIKmzR6dshFo1nnutlz1nRJvPXhgMiqaOLgz9
3PnGCJ0ecASGgP+JNQDpEX6dzGRgj05j9gUSAUY/u5vahvN0aIsWtxq/W1gi7pQkF1HBgbbTC2t+
bFl/cej1sx5slWOoa+yphdqhlb04OQ4ktSsXMtinVGQAyw2vPMikAoJqVEL/Euc5cfdQpTmSV35X
1eD7G/mCcOWlFjlxuYs85SQXkKuxZUvzOhnvkxJl6LA2e7cO58arPiYu2s2rVoqm2lG88w14L3qa
gYiLpdjU2RgVm6Ef6vkQQ4iUd0EUTd0qK33nYsmvsYrRO8PZVB1OBYcc2tDXpskQz8kKM583EZnE
V69vq2I/iszK12gTEziCFO5F6KZ4R19kc2R2oeF309WcUxpb5zHzRdGu+84BUcgnijDdVwwFXGay
jxPSqQRXTnw0qmqil05bb+2XlnNTgORjI+gpoIxsmNUXmCelubXHLCs50lxD7XqMNv01SJcqPsAE
jkdYK5SxNwUIH7HK26DowwYFhRS57NlpwqFIfbXHyKyoLrwisKfrrCt7HMXUjIiRrqJr0+Ron/Rm
XsbafIhqFBfDSVhdHg5RYX/jAPLvQAf2DQ53aJKh7qMF9BszE5vD0tpTF2sfbQsboX1Uz+QSyJFC
YcTwUtwqrWwwZnFykYQ9mmnZOsl185OfasGdyNBBh2dU5zoGlnMAsLsS81OlqQ4DNIw87tDlH1AX
yofheqyU7FapxTdiFlCJfTHiZhNGtad1mwjFr3EjNL0yt/wuHAbQdciE9pk9g9PryvSGON9LLkY/
Hnae0cXVY4pocbmZRyDITybcIHHneXU17FqbiwnKR6J9zzNy10PscGduplnY7gaHgPZZi2UwbIO2
gmhTl2YntlTLC1hNg02VTKZpd1k3iLduiglFE/L5HLFzFICCVMfaJlDtnTWkgIzxnqieg4zq0tXo
MwhrL8pRfHD0rN+VJPoSC0zblztknNVwNQwoJ0IMy/uOql5cR1vc6f1sW89N8VBxzQ5rC2+ptVMO
eXUnDInnLeqhGga9o2FWAOJYuqbqvfi6AmaabcChpw+AnVI7zHq0xq5MYc3NozY3rgoL9qY6pJ1n
GaE5q0nbYbSLWobt9x7tMQRjs6sZKK/csMFLvtpqxmI3m3mR7Ax3GNaKgn4JehwaaKgjEmpflM3g
0kzhz7f7YMCKYGWkWm+tzLQ1+hASh2NvNL9Z+HAUZOdblh6YylLZKCHaSdFtY62dvK3rI9GJfYzf
7EstajnUyVpI8lTwWZm2cOG/ReM6Sb3uiokU9Nnzfjyg+YNHwSKg/NhVtJHvOFCGaV2hsxKvh3lp
xaB/OTwV0Oq4vXwh1nHc448+GNyb1w1EkhI1EELZrWF30byep8TKwf7aCi2aVjTFqjALw0H1ZAoe
S9HbxkVVTs6jFKn67nR9zfFWQ0hcQTS1xBb7rTLZlxEaKSuN6qMI227uPoFBLZxVg6NYuxlEg1u1
hghkGXKdah1BZWCog25mfb9RqktfctX7rwpY24uddxVmVxooYeyFgQVctkVV2mBGle9s8LxFoCfv
B1Gt7BTvvtDyyuxrVOtKbvCtES8u7d5uB3hDzdTztHleD7Fm+7uihrO5QRNcwjthxchVb1eNvPcS
PnQL2IWIcTTzVGwybxwv2yAvvmFEpZUbGdROBtTBme17XTbyQtkAsjk2ZyiCNjPjXid2lnyGqwWK
x+zRKljVTkK0QmMd0bLWcYt9J2JPhHHRs9WpZKtgHQ9Sl/jt+vJeb3v5PIsukqiD5zK7xjpDNBtJ
vcB8Dixh/2B0neqyJMEyN7B07BdtsrUWnyh7vlJKiFfL6gTl5nnwi43lSanjToRTPDTypHMfUE7Q
ojUSIsrcjSNbfzcSEQ8bYNDxc981pRP6dO2sgxtH40HLsqI/5H1bPwrqAEZoubKcrsdUAxNbgubK
t4VmqAEq3AwFs/UkQZqvC7MIYb/MG4damlx1Q+LiE2xZEjJbh97R2nJqZ53nWhvvcbU1kzCKex9J
7spnASciti+sziyrC43odOUEZcfYV3Mjd5NZ2ip0G918yr1apI/wmbnK+0IF3UWd9LPcV8SmRGyy
f2qCormk/RzfTzl7dDO5mXGHHLP7cZBePe5yXZ965NbE+AgxGdKgKE1rvpX5rBastAcpMhc2R2wC
1F5b8S1jRj8Pcu1a5l1C7JfVHZCoVgeZkRkyukhcr1Tc0an5Ien7qMOKIkitS9aBiDb4C8sHNXjR
vHI9D74uKDwMsJGxNryNMVqNf0/vYES62miC1yTzGRffbClRUh9u8EFRNiL3WWLwtziyRnJocMZL
iKgwbjCSh5bZzTG3IN4LBezVqbMSfIFSim8opiD5o4DUrXPVTvEWBmBUbyX/l7UvBnsIwqDLFipq
1dabSiX/h7Lz2rUUSbvtEyHhzS2w/Pbp8walKyKAgMAG8PT/WKVz0ZXV6tS5aKmVlWZtFgSfmXPM
5uOGu6y6EdNdbxf84c1GsKQyKjdspq8S5K2XAfRpg0sR7qg/rLkZsmRu/YncH9t+wmLkxFmkPJfi
hxLrtkUdrRoZFoRB7c0e2NmgQufWhdbO6rMc1/WBVGx2s3szzEctYzy+ycqA+VrUKy/Clk0IVYFk
4EVMePiG7GhasjBo7OS9aoSxnxRrM3Gbyzn8jnYt0ay83Qno0TC0FbOIclAYhfvpm8DKC/989vjX
6PL3L5GlYJYuSwITK8a5R5wGlskpw6DQbOkCPfMNx/o+HZrdWn/Oa2R/wzv0WvK08Ln62dkyThcG
TLPXLKdQd/Wc2p3tvRLh4ZIxzZQbSR8bKOfRquyAWPGyth7d1mJejqFpsfg3EludIckp4Mt+Z/1N
uYhy1S9bkRZbHF8nYk+sM9x4ro3twHLGM8yLhEncfDb+KMrHsWyRHLhMtbC96y6BvDqharkwk1kv
XVe609uOvdVKo733f0WtIDaHms+yX3driLqM5z0sjsoT0ysOwGk7LPXInUpJQXXU7oJyeBxJ5aFT
38sO7OeUXHmvAnFHpoptd/UcZzm3dhuBha0gwJJYsIRbBsaBwOBoYSRHgDcQgKyYPf+17z0zpHx+
6zwFpkd6zkGerqExjNcb7eu8CHTsX8iRJCtFWoPFQjCerPNMRsb0jcGn/diFo2XBTe+IMi8xVnQv
pQrn4mTrkOSK2oF4nI6Bo5bU07KlrRZWcpSdte4nHDwTA4hxFMGp0H6oDhZrUZIEK6ayd0qle0GA
VuyPPUkZ4tmPl2BA1udY9qneSO9g6OSZKylMtpX5trYOCwnwLqQ22Gu5GpP2oy/tKTq30gkVz6j0
vtV0HXM2WmgI8gnm/fAEQIXKstN+2Z/9sR7ivOidqMt52Lvo0CVwq8o58zblyVSEovlWOir60CQx
cQxuOMPyIquid1+SduRMZ4+GCyIk+gqwqF/GL1q31XDURc05FOtKLGfZz2H5GaCBXZ4D04rnaVZu
f+MEZw4TCXd9MrECXuCRqo66jRXhTuxGbyqw9KVDGke5z+ah8nlQH7ydMcez0RCPL8DFZXFw2TS8
iL6nwhB6iF3yZoeOvbaMhXkQyeyLWy+FqZBDo286deMcUmCMkIL7buNMlZ6n3rjlUbRIJLForvwG
41Mke787Ot3W3ByXRjNfgi2MDn6kzYNL3DxAYTM4zmNp7KVg+uLF3yaBu/lQwKD7eYfSdRSNSl+K
1unLvKkYoZ9tuw7eeq93u7PwEYwdaFgK5yxavN8p65VyT7sGDFjmY8EyKXjr2mSbqvbvtqwt+hAp
yit60+QexVVxCa2eV7ZRczxhvvNg0uxea1mHv9MyjbNhC6+nsv9V+guLr7WxjPdUWaF3LtxdffdW
Q1e6Gh0jlJq6SmStpfpf60D9dulkM3enQLTYHtd+XeDTd53UB8sqSnVMrKVlZuhvc3eMoygAjNCP
PiGoxWi9qXba52u933WxgfKH9/enwWS9CuYpq0ypP7Kv7N853NEyD3ZdNViwiLvibI5XO2vwna2p
DUZihMHqyyCrRm86Td0q5WEih/O9cZzyL0PwfX3r574eWTd63nVqIhUCJNBaXq0qMebYR01AllWM
AiTk5HLzJqK1euB5nl/wcMbxcVJ2+82pxlqe9B3sc+PsnV4NrUQI2kgFP/vWOFaZ27tnv0sWX93k
VLZn5txAzufe6VhAAgD+lgS7/SRXKu9UNQP5JV1l4vfJhNYvj3fNvmIkN9Q9MNHHphKuOIwOIyi1
4YR1t2wOc+zv75dy1suFjVLxoHQ4hFnlOoOfC2Sw49FxevrZAX5KfAirOVpSmexRdZQl90NexK34
Nke6x1DlDEOSry5/xqtdfmgVxaQ4FGAof8rZkh9nXy1AnUu9vmNuJ96GvrN/cFfU9UFQIbUpicl6
v1DKT2A+dd/KfAiW5ufoiPHsb1HjAeO0qA+iTXRb7kdmXF8Lags7h0YyIZJWAgZLgM3QPWF5IHyi
poCLHsTeuvFD1Pb3UIkN2mUm3YSZwRCxE8lC18B1rRLK1GdPhWAPeR3gTqxYPgb5ytjuzUfTteb7
ssecE7IvyHZMRrdQL1RB9QNOLGt+EJEVnhPqOPfR2+ZopnpWiXyxjDthYVws4tlc6Zq33pYMDDy/
HLdTx6sl+sCWpx0OCWpEjBmllUwHr1x771nXW3Baq1l76BUB6595YpIvHjrQQ4GcnJcARct+Sdya
FJvOtXC89YUYyg+i7CkH3KbUlJgqugp4lFtu913pZ8M22sWB8trprr4YZJQPKEg4nljkncFTA5pq
STk7eo29+E+AODvw3xJlUtZV3o4VbEzEzd6E/c1MUWxlM5XOFeWRba7b2jV+xtBBPtzHUmXqEPC+
HfrYbcK3ZGPCD7HCoFbRLqd+EOlxuuESXDoiy4aCjdRe+l3uC8fciiiE8eV3s9McSRi5j32RUYYR
5pfFRBm/MYbsiJRz4H1Yx3NWNcyex1RVW19f9FaDvA80IIqzxuHHxFkWxeswFlZ8LIQJLoOJhimv
imL5KnYGDMeejf+Wz6wC+mcBML97n/SAdJ68JkokYpYqYtiOAJvXZGy+DEnL24oii7KhZembt2Iu
aWzKZpnSWUdF+xJbVMyXoWoLF9CF34yZtbW8U3oHi/qZkFfOTKvpu5byg4b5EtdzMIg0VKP9caWX
3Q6TofQ5LI6Gv6SrmizaUdfFt6qKOQdXRT/FzgHlfW7FRfWOl0wYntk9u/OZ28qesa8wNrtZgfTs
Z65y9F1YbVhkYVFUWzb0eq2enRXHR6723fmhHKbyWWNv+/Ja6EKKAyjkFTtiI4NTVHdedSGA+94k
jlNzraDFOqnD4mTMALOtn6VJoI6v3TryHgQ+ByRPcLdm2hFJBgwG/yABJMbLZeQPn/ZQyO2+ZQyG
dB17zoYu0DSvM8pacYQo5/JuCtZ5eprmHdU7wpopN25nycc1WiB58o6N+0s00A4/tw3ozhXq3Tdv
qQOVjp5vl1cOXECgQ6I8lsJYLKge6yp8TQq9AXkmXjnt6sZ6dmGVFOkOB7d5I7vBvIOUUI0H8Gv1
pSOdxcsHOTh1LovGBQhc+HXat3PzONeq4N6K1+bBVgMde9Ev2r8G/IkvE6tSmWph/O8Joz6ylqqi
1Y++xzjk6GpJpKKw6e1Tm5R1xnTMJddbkqz+/qrrBD06OA+oJiOj+M9GkVV54440nMRWuERfvHFQ
n50NGFja8nD6z5Iw3iArpm02F6fsusdaWCr+OExuhcQjFMO1gZrpUA72+I+TZWQIGIblQtIj6tDm
NC4a08s6ds2vJQojTFF+XP1FR9+BkdL1XjxhC2X52nbG+760q01gVeDETyLhr035aG58cuTA58Eh
WRep2wTWK9o/fzgxMyKdIIrJRkd9YOxHZ7fjLZduSQXuRZb32jLlcaiLy+QXKrjZPZRGVfa50hVb
wWWJmhcB/wh2DqNi4o0ol6l0sdzSOLXLbVC7y6ArItb5MG9JMR0TZ+tNavETbQRs1pJWu0cXlrLz
ht1JLon6hcRmv8TN7HxnKoiApSlizGf27sAB2kNSZLH4ft5IEXTplzZZvOx44b9UwxqKPETJSFLR
PFp1NkMAXWntcXVQZVnjeBX26Mtch+NfDLlN9Jp4ch2OQWys4c3jtRQeBoQh7XHYo3jldAQulzON
SPyrPe9ucy9y4zVLrFiJR68165Ab4rFJlpD0NinftbkEBW+uPOpijbJ82qnbVtr0d+PGJOMK9mpV
Vy16+3HyOvnOeJpWbIw3Mpe8DiDUtFvuaXCHuM4jGVNbbkFjMTXUy1rkflnTP9LPiJdSR8pN9Rjv
Q8oAI3oEhCH7K4vpcDwKz27Nk06GaHiyoy0IgOBtoKRWp6+nb7NVg1gii2I4dQKNeKNt66sKeW6Q
WpryRG3YTsxCtH5ElbollwJBakWtYG3BkYjLpsvHphlgSgTT4t+nFVGcMdbbg1OP0Dp6ttsa/820
d5vgT61b+InppVaH3oMeC+5E9f2Znxg7McFT7ngocFgt1x4gkPWOgGB7v06uM8uzbOowuUTVUi15
SSw5wwc5xtaDHJehPgbGmA2jdlPut6WlOPV0sFBj41HtqSHU7J6srXPvca2JalwIT8K+UFFOzFF3
dwBTzXj4bJQLfUU7CdV3wtBz/NqPaGaeTOOZ5roGnf7s11X0HR0wmZ2inYR9CpveeU8Wdfm6FDgx
MnuwR5qFoa62G/bOqT2NpRdkw8DbPO1tjWxr6zthZ45q5+0hoM77tNshLyVTepWbj0EXs1cOd37C
aRR+nftMzL4kex9/ilq4WNlUMHvKFa0goBZn3A71PS+2q5X4bndz+bVYqnE7x5YpUN8AWfrJcG++
+GZ2ouNgw09Iu6QHAyaSan6HUah0Ukq9UGaGb4Zhr3BjVBOlGu4zUJuQzD4YLm7lRJ96OF0/azlM
w2XUQWdQeSi7OvI86/BUSmbjLJ8mbz33dW2iW5fc556MhI14DCqX8ylaK4eeOOqrLvzKrnYrHugW
/Xv6rTODAWtBjr9pNEgejV20Lr9Cd0sWAotLwpod4yNUrbj/CH/tqUGy2pPMvSneRv9YhfjSx3ph
38c6uP7WJYI3SbCJNm9WPzo10sTEgezeQMIbqpUTl4B/pncKWno3GBgdDDrBkFAV2zikEERF8yQI
pu6OOzvor8uKk+IFZ5AUIOCXOrpROs552HPUDn4rrWPPXM0EqdcXRXgOxKJ+ancMRG4BTpx+bt00
I+gxaoMKOpSLnSGPoo/fWjXWKW0/8FjBoOq1aOtQsxND35GR4L588vtebg+FwUR3Ximtcl5MvAcM
kzX/u+I2/TgWzqwPtlc156QCrniV88Q635Ol6zHK9Wc3J1/Zbv5ag72qM4McUx+DoA33WyXBke0Z
83C/QJw0mLPsWI7lEMX1T7rnass3x7X+SshfHFNy08cml6gT7Xftzj3ztGPqq3h0E30GIhOFD+0A
6YidKQN66C51l2R+U1tuLghyfBvblsdUtZK5qRQ6jg/dVLnAwGUBNHAWKxl560A2OBfHU/PJklyA
1CkWgwsWdXR0sFXvXS1IcfwFhNxbKcf0kAdb5XmnCuIWqW2oJKO86lh3EzfDM/XZkB/n0mGWXvGB
fVv3jDpkClIxQ5C7AdTz7Eyh35anZqqTZ2xiISVGGbpWBlJ0mA/8wphWuIR/xFiXElh6q38GW2F9
Mj3HVarVXpuck7koaLNcjjJmyTZ+PBQcb6Vgx5zS+3sXojkI58Eo6oUZDJjySU5qqI7LNk7mxFXi
JbMVTpvwCsBbx2MVM43zwlKPl2JZYS8Qqs1gcwxrdC1mljNSX38Lw5xZoVWxFkICn3fsfed8Dwdm
cQsxDCobAinpLAbVveJudNTRswgs/bY64fi+58D7TME0ywOOQTIbHAKvH4UbdCNwzHX/uIk+dq7o
f0XNCmEhgZoHyLYO4E/EeIlnLVQ+6Tp2zoHcux+MFbhWWkz3x2mqF5U3rtTmpFQTn0bBJg7az9Ak
pwndMu1TRzZyWo7F+nFUUfeDNFjD/pQlZZR5RVScDXrie24N8YzsqqOhyj0T+7el1zubV4v5WFri
xKZ8i0YRnnjaZ/9GcYqvblwC8g75/ED94q0LaDCIRrliuEIyUnQV+7VoGTpm0FWJ9AWKfnVgixTf
x6Cu89xQLW4Zak2ORxkKRAUMlYdHG622fdDGKUXaJHo7iqYgr3Llt7wq5SxNFnVNLS6ma8hNjYDV
k1adDL/W+h7EtCyN1Vyp1xrGFNjvjzXn73xslYirs1qY1zBJY22ai92Y9llENrqkjp8zPEVIVmFV
Nuz82BnI4YF1IXPBdivcv6qy9vg8UbMG75rBK+SxCCfkCp6v9rMjZ7bnqeUxr84Gi+ijPKRH9VK5
xQxeHBCKtFBQCg79vHLF1RoU13HVdnkY+9D+KttFB8jHzfqnCI//It3ApQws7g7mgrbzewhQWUN+
Spw5OXQFM6SRGUo+LcF8tS254Bfsyp8QWlY20040Hhl0OMe1C+mu5927biHwc2F29zrve3iuuwEM
8zKJD5pnlrK9LL84dhMc/LFLFIHtzfjhfwtdftdp87LBVMcHh0GPBOX3VKVGbU24sB0h9cf308Z1
5UVEUcIaZ/EuzUiwndNGK3NSlnV/kIz8Daj9T2Uh3ltUIrRRDttg/v9vghGWUnvs191+XAJ3fJ4D
JGnF5Dtu2jYJMbQhb6wVNTjb7gr4VWyKfAjDLTypyHjeETMDyAYAheF4HkjYCVC2x4zyaaqRxJmx
9jl2KK3ljRdd+ToaZd5XkWv2J0dW4EKpUk1N6a4RLK9OQRjP2oeqpLxjJHfwG70MR7EUcQypp4xZ
qLCUCQ5DsSr9VDab+AQ95+7J7nd5Wa0FOfjWT+aDxIztZe0+/SQcxGQMcNtPiF7nFxYbw8GOq7VE
xrIEaE3GKQrbFCnppOnNuNR8SaF8pTDZ+2+iKsI4twldMymuheobqE2321JKbKv9zJAZJ/joB1aU
iaCrf6q9RY/ubJ79Mi8FMhfWtdXyJsph2U+Oj8yKE7rovgZrjMN47Iz1FaUKanK7FP7M6Jrk2jvR
jIQbCTXfOaql779UIQyLP3ka7s7gf33tcJPcOxDibmP8p+7MZ7a7KS/CztlY05EzNk5r7EcXl8t/
8KbGyQ0knu9DUn9Zwl7+8gsVHdtyfwQfxHpZ+cuzkXzm//0g/Et6e78b4TFi+ocwGaG5/+fHEoxI
XEaF6xHRiX7iZWZ/TEQ1nXxgLO86VvUn4lTZJ8bJUKbLXHgfAzJ2Mw+Rbua6YqlT16j/h/P5B83n
P8Ewv4tv+VA8GlwjAL22DUrknx9qcnU/25jyj1ajy+uQdPO9P+iri+BQTA2t5iVAYfMn18H9yfvn
VxRg3QtRo+F+Jbz6N2lgGE0UTj7Lq1EzxJbDSOVZ+8MT2nnkI/ib2ZjRM7+zeiBtvb984q9pn+FQ
7+cyjOzjYDnJS1AT3bcPNbXS//6q/tunA+fBWRtipIeP/8+LAtKtrNl6OkdO2GdTt+OYylr1j9qF
7P4H4fu/XJVUe8AQCecgroLb43dCgGCpLLy55NC2Jv/7PPZ+idt2Gw/TYsuf7kat1svOPUhfb49t
ZzMBJzuKbXSxH/5/f+wITBH2TlSSdgSW4p8/9lRN2vi2WI+FNNNbTcOeilEmSRb3e/Xzf/9b/34t
gONimWgjy8Rs/PvRzCxyRk0hdoBtgG/ZOMDtbRePHWCHkYqDpxaf55g+f6YY+MO//S/tJYp8eId/
CyFx6ke/fb3jCoDPXrjnZ+mLN2jFdh67C+G58diMByeILPGHG8p1f7/f8c4zwXaxWOFy+BdXW9O4
WLEEjIohD6lKDNBIcCiRiDd5iprek/NymcGpL4j96r7LJgJTToytaOxpiexLG/tUJIaR3vzdtup6
zBxrZx5ZUwhwvzDz9w4FVWJOjAXNHhFHw3gNoDQDTdg79ij/++tzfr+GpJcBBiY/4o6cuccp/Xav
1Ct3EblDlCNR8J1+Z4e6jUvxPcd/e+vLwHzp4x5Vpdo401REim1QJ8wwyMfWlIQ2sbnewvAXnO/j
PFve1zUqqz9g3f/bh7wXHvgT+R/a7t8+JHpwpVhrn4ibi5zj1sh5+2B3ViQze1qd8YrZbZ6+/eHS
/C5T5dJwi97B+ZBvYnzs//xXkSvZgw/h56S7ub8w79FUZn7wRo1WHHYW5I9eWCznYWNZkpr23jAC
ei/PLJ//ZO/724z8n+csYVqAqzhf7jZR7D6/VUCl5crOZt10KhwbOV2HGvDWjaP7GNTlHj1o0vDk
bafnq594IgrnhOOuii4DvRPe4YilRZrggvdynIvJ8oDAlZ0FmrGBKAsNfjjbmpFfsYeRY9yqx+CJ
fUqzH0Nwvf3FuBxnsNuFDeFz1MVDIhFspOE+MizWqyuHR4WoAVidzzl3rZzaLR6CnbFaPhqmOunu
G3gIknmcy1rBs8qUBhT+qzD0WA+I7cfPAeiY7Uu5V3b13A2AYpn/bvtNLzIJb54/+N6TOyFckkFl
hw8lt1qT+bPAf9cRK49qY17CDxGe7iI3iQrMC1I2YKsMLXFCDBhfT3+4PX4/CkJet/bdoIGFn5L4
91N2a6aWKeNqnzAa2AVMgUTLlGkntrLSjiBYeT1ev6wP7HjB6CQ8CwFgEwOeJ2C+udlrbND49Paw
XP73J/v9rcc57MK8DQGj8rkAE/3zvsXWaQNbK7fT3kwin6ZSY0SteVrLuzP1D/YzXqT8df95awLb
wHsCUITWhvojuv/3/7CrdFtlqTGcyhNKtai/C76c7rnoCDdVnqW3g4cJAukWZNrpdU5G8zGZYxlf
Z8aC5fO2YEA51XMZ2F/vIMwqXQPERa9M3cRTopDRQS4uF/9Wo0FyvnQWAPP3vZB9c+gpk9eD1uNg
H4KYzUYeGJtyf9xgHz0WHVN2jCt/X/AO6NcTiQDlks1c/eoQraZsTkVtLBD1gQlq5+Msy3U7j6Pf
7B8iB7k39FhiMVMfgIlzTmpSK3wLC1t+X4d+Tpwi/jV1BVOU0okA15VM5SjsgPJbB7hs6qurSudk
O2ERXhtnQ3WLKauws77Gp4SxHoIJtb83PiPZHgLW5dRWJxZgSmDT3OaQ9VM5j4fZs5biw8iS/hQy
bW+yYFPdj9Wzl/aI5miI0SHr/n0yuBhQ+t6a/9KdilK9J6b5wbuDiY9KvFl9ZjkDKXQS0nm/rbIq
Msohb/ikoS9fStondfHnYHnzOh1SmBRFV1y8qFh/epysHPEdlvjMq+f5fey1ibkYloVezlZ6/Hx/
ZSVpj6JUZEFlnCHtfBE3aRg33l9O49oMYOW0/WpRTb7zmnqIftYkyq6pJfqw7dO5KOoKJ7cpy3uM
WsXqgZvlYWMgWWftaNYwjWK8pAfkNU2P4KqYj36kWtapw8pckZUPXQxSn9nK3Fja0NJqVRvcPV3f
8SkC2+NlyhXHrxJX5SmkYd0z25nbL/HK9DeN1OIyzwp18ZUX5N7dyzZhVadujYKDWyG1OZdrtbkf
McviMHb3abn6ziAv0WKBE0fHF+ObloaFvoATGp8b6EYqD8i8+rVWC2tG5ZT0kT30BitF8Ma2AaHa
ZG49LyBxXEsoW6lF/9udmUtE7U3MurwZWIn9lcl6hAFL3kMtOk/I71PVVhprsYH55jhSqawenI6d
xbJHe8aZzdcg2sBHOrxsrZuzrSxfXInYnblO0NS55RlWiJYKNp154ajeQcJljuu0q7zFSw0OnfY2
+LVXLuN9nCixzkxXbM+KP17lHcdq/MxkHOFLuVsvaxcN3+j+w+Q+mdq4A9T43a/3wD1SRtHrRDjM
M+37a5NtvtIR+2CxgDhanCRzWyC1qSEDpDxUgyevoVM7NbTQBXmdpdr3SVhtlxbZwE80JP0lrGPJ
Ftita/+oPfgol9bjGwRY0qCxxBcT65wszX3PKr/bIBjr2nuQbpDwll5ahL9TMGqUOfhhKb5hKVwX
qyfoWBbz8FhOen2znQZ69KK084CE0xrybSLN6YHBJXzIaI+i4s24u0hu1TJWQY6ShZs0Hnb3S+vY
TNSIWcEbwECNy90iU8RD5pT2mg+UseshrNeVlRVkuoEVd1G/WE0jNpiyjLYQrlXuhKiLSQeWHXwJ
aUOsB1cj2CXCoqTkFEru8p2IUIOHVsvNHKBcSo9JtNW+otLvP/sMycjp2IPgjQjdcCB1piQj6e6W
T21KBC+ParQiab/W5pNh+99d43jx8xbp/2dFhgsZ9pvV7nmrq3K9LFXcfGamZa8Z0xe/zHZWMaSh
MoCB4ZSIA08FIwGjXVgyTiu/NDUGl3OievkF0yKWmQICfX9ym11/LCt0gEDaopWTjx1iy13RcG/z
18cfjJQkj5dhUX3qBrBC8M2CtTnsKH2Oe0UY8CFSdY+jDuJ/cWxFJXfUlW61vU6+GpJD0YT+S6tL
VhytL7q3sQgDNx/s9i4H2dFGZ/cNzpQqIDSS+b3r/9A1dfthUXukL44/7Z8NGW2fA2/kTpXQu8JP
DQJ85CVIlKqcET4uRJf8SlwYxgXGuOmtJM3Oc49bwSg0c9YkOFj8QpdFOkKAK0ge/RGSoIMitZOA
PRDJR6+GRNk9a8VUfFUquocFgyTi+IkThI2TIVJm3qr9ww7JiwQUfwBSPidtlYULk4gLZLC7fj3B
n5TtwdDlK4kCxBfuruWmq+1bbSpcO2pu7JrWj9XKjpRzfF3FW1CO9c/B7M5rY3e9OIctxE0OLGtW
pKgUTvDJYa+i03iACnSFt2DhowxLXkfs1D45dYsrf0G/1x1YcIa5vbHqKRtn1Z8GLdwlH+IWFTrH
FDtmHwYhPI8t8feXvrXLo5UgVMr23ZbyvE2USinCbcc+WtpTNKdsAdxTs2DrM94ah0fhTyI8Vp1D
oI0Y3e4XDrcR/Uujuc6i7+YCdU0TxkgQowOWpes2wFvATTnjBNtdud5n2F3/I2b1ajPydT2TEWoc
ROcl9Ar/vR5jb0VfPS/OC0mMcfihCLn1Mry+vNRANzHbSpaiT6MAOBLZrUX55laYd3B8L+tpoHoY
OcixZhHxk1RckYnRZ6TnvXxplsF+Skb0PjmXdv7qbbVVNGldWkt0lJwS/BnjJDDvSqs5DNGKF9Re
XXvkbdoPxWWRViNvQvnOB8dsibowtsfvxbh++lGjy2rxWvSF/Rrbyj9EMyCfHO2RGJB8OeQoOLr/
NAWy9g+iRbx2dCLRKRbegK/Qs9Z3R0eiWJ41ZflWcyr/QOtNNi60Kj88mRHPBnLdVh43uc4fI2EX
P0gES9ZzwVd6ELXS32oaxf3YS9X9isoYUd/Ak6kyXaK3wqLQqTnv8RK3HE41szBjZGSj8eDdhe8i
mPZswcg5p8b06y2i5WEH7OyLOVvWAIZnogWmJwbg9eQ24Hk+gOct2Nhaax8dp7kL3011pcpj6Fec
Y03ojfx5O2k+RPtGsk5QJfvD0tXwOIH/tJeGIAPC08G1noapLVGxdkH4oAvYkZkdY3A4FruPR3KV
Mda+eHWROlvVVIHi1dO2v97zw4EMjoPf5ItcfZUPtdrYrodJVbHT7vyf61D2cbpJ7fqnaq2jgft8
ZKi/2xFazinmPkhK/c5RlUv0AELHD4vemp2KMfAzct6ZEAmeM5mVm2YJrqpptQ4+o7M23ZN+7Y/c
KTxBpUfLp+p9Wx5Y5/TfAFrhNHBWewmeLZbKJovl5jztCOg4enZHr3nbOlI8tFM7D2nY7MXXYCmD
Xz3HSZASFxF0t3Zb3BfMbyx4MDtPdXiziKlY80r3a3WNJWjPvFYc1g9wMDRJT2w/9YH3gfQPrnH8
4omHfo/RyS3rIZk4tB4tNu+Pq7dMPsBiGYTv/K60MPgI4J3XuOVLyu+tNOIRES8q82yEZEe3GoIH
quR9y5Pa9lHfVF382SpXYXM4IXxIW0Aw8VmUtcDxu8ndotwA/nPYLNS8xIewrkmeREEfkTuELMf3
eNJ+f66DkKyo2CtmQpbmcNrPFOjFOOeim/H5g3pw8spF03BAH6mtfFkbCsXSxpzyWSMcCY7N0vUO
ry3L8vLR9adHENKWuioGmt92e3YZA8+9/FGEfNcZbpp5eugcZLG3XnlN+AziKFz+GoNiWQ41sv3l
0la7/2pV0g9OVFQjpz6CtnVONxQf6kBpk3xxhN+eVyHtOOVv8fE0jUBuXuQoYlYQi9vaB9K/+d2V
ZeFm84NqKh+kXybVWxOSFX0MOb2Wi4mbUryPMF/e7Y/aKw+yrmz1LHdUJI+qX8PmiBukNP/H3Xks
2W21WfZdeg41vIno6gHM9TfNTc8JImkE73FwADx9L+j/O0qkKqSoYfdMpEhekwDOZ/Ze+12bkpZ2
fFjctEbzDOqHpJJ42rPEa5JbCQ4bO0A3GZpg6WMPy862qzhHUTiXLqvZVMNmifRSo+rv0KYg3Ffk
AzzWnsFWmTePyTggW3fg28nAkOyuLolkXvpmpmbziNgRb/uaIg2gvMyqd3VJMm/4h0nXX2dIVPqo
VzTXsQ0PasbPbWqdZBbygETsEag1d0AfvrQY9qTPzlgN22z+JxjvNjj7uS122RPADXEBdEDY+mUy
7tF8l3JZxD5fiul1MLIs4CTIbzIdxY5tRSwCr5bvcGXElXr3n3zi/9XLMwAAJsboiEnlLx9XuDYT
5p6thJqRLxmKhlQLprFm/yLNdHj1tCH5vRwb9FJNNlwUQ/n974cQv77+trFhPoJ4G2QKRvVtevKn
qQDj06XvMUftGdc0ro9jiykM9dgR0dMYQe3ootVtpk2Dh4ae2rIL//4N/DqW2KYg7GcodjSm0oRV
//wGWqoJFaj7Ah4M9TgS6+SkZK36RgbWcHFtMX1YnMX/MHn/Cyphe1VGQeDBbNaVlPk/v2qCFU/v
4xS0vFK8srHJToQ9jYGONDUL1RxTQ5K77jnXgGmUyLxvoCSqf5j//OWrh3pn/QFLAFm8pXr9/B5c
V2IO5iezTylDm5NlA3E7q1JMMgB42K3nDlJUfUs7s/9eeaSwgVAZh93ff/1/DI7/fP1TVAExAVXA
HpaMefWXbwIOS92Q7p0dnLae7ShLTeer2rdy/d5bnZxuqFZ0J+iZplibJW78XacQz3YlbKbxOuaD
Vl5LU+rKQ1F7zfC7HNsSz29mO8k5MZ1iPVABLJM/eSPAl6ldy4hQMYdUUTVFjmSmRI0WSr+IqOhQ
xQTKqJXqeZ1dgbycrGy5a03Vjg857KrqBbeF2bwjC3f1OzcX+CysNBbJgRFwC+fChkZ1KB0hzaCw
GYLsROOZJY5xDIbkfJqkkuAPtpo39u6LFgmhV99xiqokEPVoBoMWTtgz03eNbgdISnkmUDC2/mFI
/pe9JPkymPKZwxmgcCzH+OUbV1HOLk4hMZJBcQ5nhDG7uHHX0Or07DVHB3KxymY+iaZq/Ibi+h54
vLUv2m11LpYsaNS2Ofz9VaD95TJgD8b+zQXq6TBkA/T288U4rm2dKGDnSN5ywTpJjGXKaazRxb2O
SwUGwI0njJCIJ8kHN7y1joRDYXTXMy7jFqlBg77OBFL0R1Rti7pHvKN1vjkx8/iOlXp4dXHJJ4cl
Zl4UyVrpPhxSHZB4zrP13grLtSldne5NGfoyP805st8SLm63Syp1jQ+mjpPAF50O+HXWa7QZYDEQ
vFTxQmmYMPWLyixuEQuKYnLOuDNkfWL4YZmP0sjndleawGSf3NFOuiNV56iyw2lSc4evXSo++fLu
pQB3SKYmt8ib3q19ibq3m3tm5QTRfbSaQxrGMpqCRhdeR79rcqYnPsluMR3yxOQp0MbRQnKh6WP+
sFCnOie6H/bdcKbXPFoIexP3tt7XDBDrrr+ZOcp8TAvatBxtuD/2q9DAZCVKbqCdQp5hvyT8oF7l
1Bifg2KJ9jzMTF+iNAXPhu5Vj9NdvbJdQRY9IMZN9WZddyXqsuxOjr2kPx5W99mczMUKijZZbwM3
Vh00MEPsMKc0SHdVrDBUc6xKktJtEsiJbwhXAloGdmGsCb3pzppyrwmhMjAwBwfZR/wU1jjEUrgU
u8FyxWdbJoRvjRBWTrOWoIQVaT7sxLzkdkARx0dIRWojYJLgOdEHmIPvxZWmRAMU+eye1GZdPzVq
xWVuoSeaAidpG/kNvClafZ8LABQzcNUREg97MMW4JL23ta/aoPBaiV3uEa26y0NbDGrrZ4ozvNOR
UQejfEEINxR6Ot8ng9fZN0005Qktk4Zc3LXLFJdOJvZonhptF2tFku5rZdasM8Y/PnQGEy67g18Q
v+NsB3lORqnZQ2AAPlX1WvzDTEfsT+Ui0YtJII2noZyd4bQoPUomxa7la1UMwvEZBKviHw6xXysl
eIaUvdaWdbNlpRi/SAkAnLdk0q4JMC1YeMns9Y9rT6gL1cx6rLnQ/ptr3O31KBM2hhc/D2Llfn5E
UIsKMem8nkFy7hNE8W9ge5CdIjj5mlq9/Pr3z6S/7HB5PdIXXQ+wEbIFkKs/v56jeG0JEwbzm2Nh
k3H6+T5NvF2P7fEjrwDJwLCayrPwpsb3Mmlq/ujp855Vu/uh28ln4ag1/bFtssZ1IMqCis7doI5l
FoceQrmAcqi5FO1UX1Jc0NhLM/Pt7z/Dr1v37SPwCXTdZfOiub/mhtOexakogOwlM5QXLAbazsEG
FdrOysg10eGfqUwBLwIvwv7vX1rf1p5/PtiR45DDsCW9cq6DXvtlGds0AlmkiO1dnWGwQb1YwMMd
ZI1hLFYt4d3V+oR7CLUxStfBTpB6KDJf3+exs0Soj0C/A2pGQE4DLTa+PEPoB3pMDA3QttZvdmlz
rdkrcwmMnfQwAW4eL92RJ4aWOek05dpmjgclh/HTP+Vz/uXaZwfAd4tohEcQ+YK/nKFKPcVJ3Uwt
ZuQlDwn0nn5PcvCtmoavFPm5kv9DmWps27ifv07AgjDrEaFRMFIy/3w1JqAFoQ0l3V4uKkPvOCFd
xhUVUDqMlhwEZi+zs8M0otrrSW/rfk5dZYSpwfcWqWNWLIHZqLhKgHF4rHXsvnqth9IcESBkOAVo
x7AdO6mBo2llV/2qVGJ+SfQuS44oiZjVZ00alDTF6gHzXkXLaubjsUDC8a2lOYzktjzm6Tu8/nEh
/TsA7OFfn/GXxLFffvn/XLQYAYl/ulu26LKfosUOok4+++XPyWJ//I1/JYvp+m8ueF51E1G6OjGL
XHzyxx/JYvZvZPzy+zySNl71Fvrz72Qx0/0NNjl5LrAA6eWcLV5j+FeymGn9hiZTQ/6y5ZVZAE3/
O8limmf/fClSp3G9czBih9xe6S+JI02TD4L1RRdgNPkSz3utK59AsowHzFfWgRwMtgM4g3fuMIeq
Ht9NVqoenIpM8JzrawcQlXKgRgfIAu4l1hc03XI1Kehy1mZSqtCXCGuZ81VGQkuMa2vo46G17E8D
U/MDIuj2ZK+Ea48NHaNV2h8QMb5PDqii+LOHYhI1rSvOgInWB+KjMPygMg+oe9KznuHubtkeZqAH
Zu/Efjx5YK8GGGq09D25hEe2O6A7NOvBUrwv+YJNG+fiJZPzRYG/w1pvVPaprbSgnjRlxwLKuM72
luSudH3HbgnSWEw81a4s42qPlaq4zTabHRbKufucpE3HzTgUEbQ+93We3PhgWLmphcaAJdTv8Vnr
oZ0J9bkF4UDkTqM8t66RVcHcs9Yw9WR6K1Ah0xTGmHQykLoHl0qIj+MkJRs5oa7HFprds+BPbF9n
O8potlIjEuoIBa+e17j2wbHE50xJtZC8a0yxGg8I30lY6S4LkQNhMljmtnitm3cvnfa10ygRZuX2
y1rMzBjJdEchl5sK2LHJKZ5MNu9knTcskLBiV/ppURGPRwofFFdHnCkXw2RQE0+ogwNnxYeOX95F
UWrDenD6JC4Doa0cqK2rAQATjv42LbM44l2ujjyeloMa19+MxfjRlOt1zLDdl+Qx/45M2vLxCYoO
W2/eXeW6nrX2UUsOOJqrcGZ8ELCPmYIUwxEyR4KPCGYTy/uCF5t4Jdf5VIR61rBbri0yrSQbjD2g
DdY/CylQ7FuPyOW/4WXZwwP5mJ31qDsxnqLkvujXPRvlA8fqrfccPgAuiQgrrf3A7kn7geze9PEk
9yd8BlXA4NYM51GdfRc5qp4UbWR301lncbYXWuU9mNUYumR3zUTXLPHByxxxSdh67F1N6cLa6r8S
qn5Ya0P9nD3F3IgyPbY5T/eyXTYxL6G99u5s0mKYdgt9eWXjxj9nqIWy8zDYXkqWiZFadI9DV7YB
uzj3eemG6nFm3IlC3HJ9bZJgPcxiutvkZezbdCOihQZrYKfLGROS48/J3nN6/TjLhk0sWaVRCYLo
pe8267k1ZhfRojpGrBIf7aHk4IhL952hlXGliUBlhwt8QorVvuR1/8FSYmTUz9FPTZ7EKP/YUWAw
UhA/ADowmaxKWlCj77S9lxtuWJkIubCkvExr392ppLAdhR53gPCTMmhGwHezYWUXp5u+LcgNR0zV
vC98win+bmak1qBObtCYTM817usRqBkrfBUmeKNhvi8b+xpTZd8qS5EXC4jbAdxTfSlSz/5giPSk
pEwihiZ/ylIgR/hj/ARRWGB4tcvzY0JaWDJWdrS2RkNr3ze1h3mQT12MaGwLPWjH68p6g97Ksc+u
kN21mtEyeE9NX3lRbm4u5BgYiFn8jiFJ93VF1uzrdRXzZYJWBga2UKW9p5GejwZL5ltm0Edsj+lT
y7Ofa9BMIvhgzhUE4R97fGw1SrDURSQloc+Te7Ab/cpqc9+5EAozVj4IPo5ubVzjkfttkN8g8ZO0
6FmQh6hkKpGscYD1MKwdhvvtI62fYIXUR1SMRZRklRPMbmFfYsQpxqL96LCJ+nyc00SDvE0ugZql
ZfvS10nnq4N9w+SYPXr1ysRcK8pTG7vrbraN5rs108OUbSFxk4FMRLnSPltqH2XsGbICH17aM54R
1eti0lP1k+YXlnWqJ7a/tfaxaGp1xApzHkvFDFB69GBWBmi3TO981E/Zc1rNZcx+QB2PnVUB4Kt9
q85d9hNqG8AqhQTCmmkBiuy8zKxEfEQELFhcm59BkYMEE0PK919fdUhR5POWTAXQrkF6+c5GTe5V
0VJ6iW5G776+TZPQOR2sJJRwbt+gYYWT0UzbQgWIZoXU4AH64aeViGSH4LONmK2B58AC3U9yPqUw
vjCusJHz2mrzYt4tCxEjRqI8aMuwPMRdVgStVt9Xq/uEoOqMmIo3puKIHbIHJW4/pDFnUTumS2RT
w71bCbQrM6v4kDx9YDy1ge5UCbgzLh6CLaZ7Wxmw2SwdHCV2t3zZd0h5jf0ijfWKD3F+nZJuPJSg
GlyZF6BN4I5UAod+qrfihMoiYnIG2u2ykJZN9dnlOKxdJvaECiG66DAutxzBSQ68xbGoT6v2HT0m
Qr+xhVPXu6d6YSCTapybST/HR7hyACFEFfMM79l85/VjDffDw1J7Sox6XzVDeZjaQT2xgTOfR+0O
3rIMxTrZoQU7N4LqpkYNcvTLkH+sbq2Eixo7Dvaq8UbIFHliC9dWPypv6VDgijYa7eB0qvcgCkh/
UCyBdSH3PJQbagAWk7dTkVOkAR/B3ttSxl2goP30LVBR/O2J/ZFbYesQAFL50YgeKEaewbKDIWey
myI1GY1Teu8l1fded8IOizDuvvhbyXeBD2D8gHXBnwXmEqgcNBhWsvgdOZC8JS4HX5yrFvjjhaGN
l86XUW1H9DF29yVt+olo+rWPI3JH1yzKedyEq5sdqpWZZipbZJ0NV9OciB2P9TfZjbtl1PZLppyx
+17m4j2pODDzd28s75D/3HesG80Zgg15qH6fGjdbq9lKvs3N8gRO9zEpvnpQ/Qyv3CWe96XqlVAr
rojmQsc4Fo141wWHK/kz09jcm8I4dBX70cKVXAmzG6kLWWmFMd5kPKunrrbDREPyAivxaOfJm4l+
AfyqDVgoHQ+p9NjN9cZDwwiynhqoT4YajUxBoqzdG7A4Ghv7WPa+dNZOqF6/R+P9iVX/HqZdWLb6
E6Dud4YVJ8sUGDHM+77pHkYumJXG0R9xQYQQJ4dogMQR4Silj1Gto0LZGtQ4vcN4igF5Qs25K9Pk
sLZ6Gw7Kthie2qCs6i9ugRYnzdwvxBDB9xu4XNyR42FqMPt03GuzX6hOteMka/wJQhfkk8Q65p2t
H9DX7Yta/Vi7tg5gKq+k5MYPnaNkB2I1tVAo8YoOx3zCxG0EBey7yDGy7tYy2WSL1ibfwGx9SWF7
RLpecmL3BZ4+tJR7huWu79S49dIeB2afXqtF+ZF6zrW3JBeXUodG139fUu+66B3cthSdUkp4ICVY
Z5iRgU0jMLa35XT9OwUb/4YaQLQJM5eKSZnhfpcaZvsin6p3LjQGDEr7VhbyjrXSt1qoTxVtzJ2i
lj+oztpTY1n6Oz7Jx0qlobeRYskUVojyZFbaozsNXEr6FN9rA3iZVLsx9twDVNkTD7Z9icZOWHO9
X3ihg6omzecyJfmTV6I/yvIfgmhCvYKLsoz1dcVau+tL7KTmsHxRzbS6oljT/b5tvfuKoQ73CsFZ
3FPkCZTfpZYDF9YUv1Eq9TgtBQosTAEAkHVSrnrXsC9GPEjs4EwZOzXZFNUAy0vTeRpRqam+RXDR
i5u1zlcPKXDA1qC4xF2O8CXhgIcVWvCTcscwxYNPSd+xj5ez4TObL33qKdLWCNYJGtu+B1yyRDjA
KTGS9Dg1entpmkK/o1MCxdMUH6ggb4QoZh9xn14cTvqxnbyIDU7xhBCyO1fa0O44kfvALHiPGlrA
gExC8xPFJuMTaWMzj3WFEGaFR6+GVwhYz8Rv5rI7J/QNim5y7jOJrs66V07nDCRJBN8MOVePB7GR
bf80p+twj6/f9lUUls/KAlrEdrpq9GEXqcAXElIPAcSc1d5LdhmjKV9bFC8yQKqICI3sFxd+yG5M
9CYYeKbvV8kufwJUwnYYtmsCKyss8CadgLYCpTT1T62V3veF+wOMapLfSPFRo7xDWzE7zNKlmn6k
bmHsFDvRjq7l1qeqESuWOEf0R2pr7QWSkhqCDGVZoHj9N511wq4YljNisB4NXqF5L73gHJ48xUZj
NzonxFJp2LjVQo7VCvSvmoBx8K5eFZMdTiA7y7mfUx5JutScQ+EM5kHYsvIRyseEi0I5C+S4vEk8
tGHiIGLjWy3FfY499pAU80cKEb0OO8/NYaB0S3eFkBbfg2zRgfA5C67dbo5GSC7XQgxeqCHc2y/D
anzxZKPvECnIk5ZTDASuyZMYpJwa4CQjLwsxGsk9mEaBi+xEPXQnMKDKyZvoivVhky0X6pucdC2w
BiFfV8rtV+JgtUCuKEB4uld7za2rg5PUAt5KVt7U2SK/ZEk69Rx3YgjJVZ3RJMXDtVziIpxFrt13
hA5s11H/+2SM4MqQkl97wGOZVt9m7w3ZL9KzsXoFbtx8Qp2OATR0Cid5rB90BY7MWnffgOKZTLgS
QJDxEku/TdJ276izccm3iCR70MyHLLM+Ok+xXogDANaz1qU/cp+9LXpLY2PZ9QXE2rxnPN2jFFQs
SDLdM8KRye+laR3RqVdcrdXHWHF9xf0cLqB6ToTtlb4+UMovveqeIclmwVx4rwV+zkdhqPNO7Qot
xPv/YCTD7/U8UtoZVX1pHGu+0p3PDx1a1QicwftkDfF+MpP00oKDDWs8ojyOEnl2cFttLPZ8iqrC
QlfXrDkGlWW9KxfWHT2avN2gtBIxQIB6dA7cSTfv0ErH765ousNkjaxIpxjGSLPJP6XjHBwaw8DB
uuFLxLW25Y4AWPks8WSPpwkPGi75wn40Em85YDKK9x52IiWou9V61ztveWy0XL9RqFlfDVQed7OK
hZ4i0JD3Hc90nkSp+V2p+8A2qumYGG0XgXKoHiv7GwioJGsfulH7lkDErToslzckqfidDlC4vy6c
6adqFWngNW118BxyoT2nY72jy1y5eB2InVJvMKujsXw14CsTF5HU37giZwYJvcK8d0ouimDXAh7o
lldGwnw4yc+z4RT4OE3S5ZTe2ruQsp5La+HBClDD79T1WSfaMVBK1I1ppXnvtRzpW6TefczTlpsX
G/mX3hTQJL1Y47Ez9WhtFadqDovQwqIBYTihz//eeDkXAns1FfqvBG4W9GIRaqSkCJqhwhlr+lEZ
ue2bdjKex9RI9Mh2FRZrGLIQV5uzqdxmilr6OvIG3k2THFfq/1J8QEdDkZSqc3Or7bp5KPiMYI4p
GwO0oMVlMUzpRFbdafdsDtRjZiAmQqLXVURsW6l21efWeLOzvLqbSx0LiaeZCorJEiBaUMtYPokZ
tnqIGBBhVdPZd2qmla9kbJpHll/rrRoGOlPNKdtjb7gN1Lu0i59TaVC6yK5xHsy1sH7E8CfCkpKY
Q8xtSKYaClgGk5U7Z8e0MpBtAoV416VuSCOqf7VKB47tHCs7Nuq00J2OEqxDFbUA5912hLRMudfj
gWrGU5qwPvTx+wzFGVhjowS08N5XwMQPVdzpL01Bb1HV3XBGLsHIhtbK55jzHIZkVgfv10HKnXUL
XTWZHMNej91PK22OkyBxXRUNumoFJbLJIOCUCnVC+N6A7IGXeLTExJ6XhilXznVqPPe9BtNFX3zC
eXcj7Qh8W6ApsdMeTGqvoKuBP4ihp3NfZ6S1PaJvd9335rWt1CLISk7IWH/kUxx1a3w3EVhnixlB
NAcaZndHIgWCHNOAPb2jawhyR9tXnoS/ZKPIc/1R3iWUrrfFdVC+WYpvbfLXzCpQRhF/3Bl5YGUl
Rwyxj3qopnUVoRkI1Pm1KO3HdiHNp8IBvbBvVasIut8UyPkgyx/FwIE2mdK3M/tmwVt9pjOc9qmV
MI2oG846sgAm1xphdBuQprQJ6Yed2vbJE4UdZHm+gzz6TSbpD0Nblgt264O1oPknFaUJFh1xRWaW
r0wvCpAfvE4ek4cDJWJvzVm9t1zvXKv4PKrUOruG9c0dtppuytIQ4qBHBQ+ycms9Tc6ER6hLsGxq
9ceiU3w7TVbdOIGRzC5A2vNuOWwEZsVqmXfoTCxTU99RRN1X2wPPKoG4xB5oFrfWCIeAyOirlvtp
kHyTERHAdC+qPOh0LpSfGSsAyQ1dMLeskkGqL4l1s+opzBmhVDIll2/4rs/O/eoS3U0bn9UIo8zC
OGP2v9czWzz1tIE7LtLPBtOZv12TCFlAcFnLXQNSb5zcxDchH5N3QDKq8WMQj/C/d6aE5kIeC5Wv
O0O0bCIm8E+m1UBYBT8+WOfZS7447qHLNko18n7He16J6BITQmYZ+97GrQFs1TvteXWnfHOQvMQt
ZFRFSxBPIUIYlXtDN7BBzp9qWlyTnE896jPtgB2Zy/zFhmxK7bCbS4cDvroDmYmCdcadEp+wD92o
Vu8Kk0FxU9p5VMfuBzp7CWp+e64nt6kWhOVmngFKDlQPEQV+48ZhBuA6wIoVlp2yr3NQ8lhOgFTT
xvhN34EFbprXPG6DmOkjEsrhkqvtDQV4UupHjd6fPhFlnwXEdgKQg4ZH8615ZcxtGlyRVZRMzolx
Ddh/xL8+lJIHjF7FYUzGk+01ZIxiUaFiQhaqoBC2pmBxmwNGmYsNqHkxHpg+UvrLedc2nCiIe/1F
1vhY+WqYg42nsqDHtQHJj4MD5VbWhO4uELhaTNgTLp+AAeADm8bdQAZryKolGCdAPMwhfIZlxynB
yq3IG6rOvY1YJbE/pXRp9vqYA937DgJlTwTbSOzSj7bHJpuY63glKkIF6rhMoZOSXInyBYkJdMTX
zdYWNqaeHdqYCAnbNlufXuizhK+EeYErvFGudsVDjwQKn1yXsE/IUmDMJuoTRN8QXf1H379qbhJM
nneP+A5nubdzOrMNJlHsyDPqEckY5lOcYdV04Xv2QHIRQtvtCfF5KLu3VvvhZtonBTreXa3rI2Vw
kVoZMWkUWEvLjpu+E+t5xh3ixOpDNXbX3GLsyoP+a63O93Qhx0rKN6QjF3V58/ThVnce5+UKLVkO
lAWk6r7lWb5PaVXslh9Km0LZifsN18ShOysvin6F88peYw56VZzVDXdfkXyAZEpXR4ImLktRHwmh
ONTA1M+I5YPZng4Vlm+kg0p/MZlSUQKZJxd7Xly+MHWA4vXSybvJ5nnirE+aLpjzj7vM209MRQlt
pAAFGMuIZVadIK7cKwsVfBDnvHvjQeRTccCtYamBpN7pbxn16GzKcAGera/Gg229uAKBuv5hLV+L
4YVlC63eRuvBKWFwY63zuR8D8MC7wX0fAFKPLd4Qph3YD30bWfuoMHETKE5I5EKSn78RL6WBOi/P
yImx7mXe/DyYC1bdpCkinV0Njif3eSKmelfP+g1u9XLtCCUIpB43cEN+mLNzqoomMnVxX9Lg7Txc
YyezZdNA9RIqqQvaPZbPeCXvulw59ux+uZ5rflgpBoPGJfIkdZr1YsZ9uBoJHgjhHFKVJnRDyKmL
+4hmmWwS8kBbPgPdHc6Qs66JL7UFdYtpmXCuRjU+q9JMDu5oLReGWWb5aJTjDw4gZh8OdYyZigt5
zKoPLpSrfFzc+xi1O7YDqLZrwdiDBy/7jHeURlNLLz88SvXFUWoA9oVfSoO7ODVs9MuefWyXngGu
eDJBk402TQ3YMB9ArBYSqvU+juZyIdcHYszItm56b9vFRzvnkAjeXHT9YSXEoNf3BfvzAx5DD1MY
qRHa7DyniNAJoDqruXrftq8o+JhvV8+F4vjDNCJgQPJcq9pJ5uZOVuzXwLFvI1N9SU6ZTOTBKl0s
SquVH2CzkyCUIuox1dk+FmN7zVSLUW4bYqW+tYxxGbIkkw+w9bFay5xOxpr5uxRiCvN21WgPTlwx
UfIkXiMaJF8t2HIMA3XW4uUlYq1zrluC2AAyPB01JvgEU/ej5jnveZZkx2HogNT1mXdfO3F8yjYa
ON9CYGFRIs2iOlZZc5+mAGYrdqWa+7Xhr/mWXqp7FeJlaIEErnunjnpFKW9zDAEQLcHZdIvISMmI
SCzC1ZIt/A28OflB5nEyy+PUiagl6ROH1/DKJPt5BFnsN5AtXxVKQp+FQokWdQKK41ItERGiUmm4
AFUTqujnxa4dzm5UWbRztzn3Pitp7nETXqTtZvvVrN+WUrljtvBSWMVBseaDRlzDmidmOKqCEdYG
0Zus05q6j3ApDkAHsYAKA88OMreqG1+qrnpodBfs1opRAc/SGOBikVdtGPXIMuUU6dP8e0pN7YPU
7Q9rU3xNl5iS0eLwmgoKLaFmn7n7CcD/0cFwwwyCO0xdrhmmFZfWEWtxsc8MyqjENNE/ymbLuLKO
1ax7Qc7XE/Rt9xRLBSuX467laRiLau8N6bfSZbeXMjzQOBYT9Wl10yO4WJahVULM3MIFCP3Ud2cu
+BhAfVJcFMfAflBLlgqVUqcne8pPzNwI8W2mZQ8l0A49IE1BYhpgndcgtXv+zELQgA2XFXObEpAD
ob4klav5s7TvJlWl1LExr24ty4RFyx9qrBQTy1fscdsOrnvk2MVC1uoZYROdvQdo9aMVWyaMnTdB
XABegRCQBz2STVxLVn+H6uo+y+V45K2lfj+6JHWRcnJKOgIb0nYWIU5MsmMGwznY2vglTtd2xwRD
DyWq6lAZQAsr2hP340OfMbthsJVSaukabnAYpCvEWoLji/ndhn3GzbRIWre+O8tSzb/bvdkc3Q7i
LB5fKv1JmIz0Fn2XERMUAqGxomwV2a63U3nsZms4Krabc29WxAIU/Vbr5WQV5TkpEqs3hsY8E2Pa
IH/YmNmByIjU6RP1ezFnbwDjGUvk+V6bECHo8DQDu1eycHTb94Qd0oNO/xG6TKdu7mzi6XIoEXSs
fKF0hUKonskCo5lUuJczIcZe/rSI/pk4pI9SqMqOLDzvQp0Iem9kF571oJq8oaZbUe1rQ0dMykd/
Voj0OWqGnb806+Re0Adbx14w4IYIwsh5UR/0bblMvNN9g1B0n3lj8310TAF3sVcvepd4X/HrKG9N
UcNQVut1D/N6YRCasA6oui8ayGZ6n/UOz9j9kuo3BW8KU1reANEdzdNMrATTUFYYuUHxN3c9Ajnv
O1YU6O1THTl63wXMpamEssJDs0D9UFGcg/vPeYyYpYuMQJfk5GTmBmxvX2x8FRh2QNXh65qiAUrJ
Iam95Xmc++zgFtXwoivDtYKS8YWtSn+Yk5rctH6+VjbfIZzo/QQe8IhIGH5+n19FjbQlBlxHKkWF
DrWNWMwZUTXW1TEdFy3sDZkdm5QYrJikS8Zg1yYu+3tQv5+xNZSoUwueaMOqD4FMqSRES7KT1/Yn
T70QnvA5Mk5IFW2nAOIYjXobVnH3kGEzg6IWqDnZyT4NiLf3TVk2BwDMxr8QDf+fC62QFf7P//2/
/sW/+ovQKuibzzED6PKjZl23HL//x/8gTZBffv4hp/J+M3E+IKYyUFTxH/8ptDJ+o/dEbWdvYckm
7Jv/FFrZv23GDRRammVBtHJQqg//Flrpv5nwVxxYQ66jatv/+r/v7CeZW/KDxqTc5CN/JnX9rJ/c
VFYINvmHIGnoGkqwX4wpwjI7IWrWjbU+TywHWNe4MO13f/o+/otX+QXL8a+XsVXN4CuwEXP9hdcn
dWyhMZ5tJ9PEzWaH/NrZqkKah4lGvJvH7Ja2drPNCljYYBIkAQBoCHTTnGJgn7vzogTZ6qgsURfq
/qWeuBu1paeisfVSOcNTrZ5T3AzVeXPZIb1GXnbnyYlu16pLBNaNmPMmMvSJ7SBeGOWjQh79JMss
f52KYhbsoEHjhmk1ek8Z+HxgGwlCi5i++sxMlmGmORCo/n84O7PluJEs2/7LfW6UYXIMZrdfAjFw
pkhKoqQXmKgB8zy54+t7gZlVVwGGMW621UuWKVNAAO4O93P2XhssiD+coXUxAuq/Xs0yVl6fju9h
GwBoZ/D1fRW5/mFPorhdYoYwUiQQc9CW/p1Lv90uP0WCQfefcXniPSxi4vcutBKUznEGGh8dQdBE
w7Oqq7uGrzcVV2qW1o7Vl6+4vOoBe7x/2WUQ/XFZfhctk0XJB9+b86q3sl0AJ0aly7EZS19RBpy6
p10EvHpH2Svc2/ANNtSyzkYXL5629VVNW6CvMilOI6/mz/94qo3uwEuaJDhZa/CDyh+Jss3dMpiI
mPzQsDgDMSS7BQ6OORNs21cHqTDc5syYM1gae6VlRMhnWSbzf8E3QUPzVrfSFaWY6BZgwXDgo27H
IRa3S8Ct3CQWnyUIxAhRyKC0/Tsvwoy4tbu8uG2SVCQXEdmBxV7vB/3GEASJbaywVc9JNYWPdpNR
7cH+o65o1BoU2CAe4EaHd6cOWJJVvW9ap4e04i2tj2FaRGptJT5LbaFkLRXlfmMsqK1ludH3CAro
fFmt7Sjo66l6rKORhrwkiKfdNJPQrpoopchbic7fuGOuY7MVHZnnKtPPOeaWoXj09nhkCONNGD7E
iuvISY/eHseCCGz5oBFkBeh2QxTzZxVq6qWW0OrfH57Gm/HJtVwBT3QJusZosLpW0dfIw9JEY6vI
UaD2e49qKeypG5BByYe0J4EPMZUWdAim77QMWWaRN+2DYLMByqMq84Dz0XAjrLhClNjS57XAtEOd
7dPN+7e6WileBxLKXM+zGUem6S5//seY9txMZqrqItRWGmDf1M/GoJvZylU1RS4SJKfqjP/COFb3
81UQix/C1lHYYyPEHbG65ESsfIMtMuhSPbyn7u79Whjo4zdVkyvKZgozPL2QOL8olOVT03ey0Nsl
NP2+04XPPvW5hbFh1EJ1CXOUGuhUZsSlTgR3fkpcc2BB0Kz0XBL76rv2etcYDzm/OxZxAa/q4j8e
lN4w+vHSa5upTp9qPDx8AMbl6u+/jxMjB2+jQ0UZ4yLZwquRozD342UHhgsqI/mqtJizktF+76u6
fFAteC3PTb3796+5snW+vhEmBhps17XxAIrVIBCRa2nmUHAi15XhIH3FeHUQ9LnAg1RD/RWk4zxv
yjafpm1HgiG5bLHbqsAYXfX0/r2ceMzC1TGbsBsBCaSvbsVW48z+ApDQUqihiGLhnkowNb5/lVXa
9l+/eEFHLngzC2jMav2kkWWjSyegLptH/TJ3KC8BuafjFwOqBuDOmfYbgraFiVLb4L08gu5IzIt/
1FWd3FW5h0J4yXylUx+bd+/f3MlHwCYOaiHgSXwTx/NDVUNmxQi9Nk0eUyXkQAShDr74P76KY4CV
FCZqieWTdnwV5ANa1fgtoAFExx/cCgWACejm+f2rnJjrTHGTWYP2nu3naq67Xu8Ys+Q5G1ZcIHPo
sgNt1+IibKz5TjpZdGHZA+iUwg0v37/y8gZXyz1bUJ3GsY6NhwX/+PdBSaHXhw59Y6cdciZcIMxY
xpv2kJIwuwV2Vd3qjqN9cRUMD2Z1lD68fwevbuj1LeD5wvqFb3oxiR7fAg05fSDvly/OlFjECpYU
rlOaTLPXivuiz6ny4UA5dIM1XobsO66ouJMVYDikXZFZBqVmUrf0VEM+t938z7xAr1OAGbZsJMC0
ucY6cH4wKhKeE4rsmtsa9xmVkoeoYzMR5P4Mrzs36nb//gM5NRj4GC4LGxu4N98aCYLLKi0SFlln
C9AP3XxtUx96KSM/D3CQdKTyudatIjPly/tXPrGqOmBc+cJhese2vxoMfjRQfK9I2ANmwYYMB/EG
Zc649SOb1gEOVsLaO5rI//iqDECPb4XLFhVZ1PH7lxiaQIoPQCK05rc3Zf03NRF6hSBKhxAjQLmj
1Rjn4vD+Ze3l712Nu4VVjM6VvepyFjy+rqObY+NVDfr0vGYs0fDrLjqtMY2DA5HuCgcY/abIWZIk
e/ZjV/WQWuOVVQzabwU/hE9cYc/RRUOR7Dcw2DS6KLLIMwLyQcwiGESU0rz21fySFIiNKMk2XbgR
1LQLMiJs2IWczAgrM3LP++hFNpGYFDK64cKAwacuO7MgblVS/l6UmU5bXS8lBoTbdE0vrIi957bB
1/zJ9KQ1BICf3LsUJZg6EBQOHGrA8YvBxB2W4HdIdjVV8Yx6cTWlTnrx/pNc4WNf5whHYsvxmMa2
oD5z/CQtX0NKr0NjKXyzvwb1TPKyNDSLnW8U7odFaJQWBI8nYz7dkB1Lm9lNUKr7qX2h4ONeemqo
8YNY/l1D9PD9SN6BfmbHcOJzwertopeBwrFY7I7vURGm0JVjjJ5LL52fKasZ4pJm/Pb+ozixnHqk
hrOK8Tjwuq/2JTYoUMWLZ98V15w3CsIFt5SuUMd7vZ6AVKzUDfAILNheT4xSgos0eP8OTv5OnzOf
IZAjIn8+/p096bOJUggBnVQzvhgmwK7UN6NzmIHlla4mz+JVZMraJkuVWP1QTnGEQwqEEyItrZs2
KjSIpjSdFMILGq9F7V9Wtm4ehNkme6+RyQe0af4lFT6CAQq6Np9jypEbiMjo2iDdRBuVklX//rN4
u5Iyv20qHxRrWFj01bNQvp4lfcZntaDvAYTZIjCu1tNn7N8RjCTfuFQRnbded858VV+BBsePB+mV
sezbuTL+6dWaFtsWPVnBtiHXETDlZiQork7Twau1iOi7Kt3E0ej+puxjETYZdVd9r1c3BA/69FAc
NG/vP4i3g4LbsTm78DTYmK/5C3QrVEJhmr2S5o3booKRRZCTPHOVxYW4GhQ2o14Iy+OhQ5RezTEg
bfXkTrSsZGz2OyuD8tS0Csdd3OnlgQancUnzEPhN03+dDR2tQJtOKRGRhdp2iV7Z+1y3yp1t6H7B
sQdsAL3y+MUEuXggSXmJmbe9MzN2WeXXb8p5PX3iFiS0e/XNg4lfVD2wLVBk1YvNN6De0P5xlsak
PLeXePt9tSn36ct5DnPFGxxOVNgV7jqez4xX/H6AAoHTK7c+NUp3PmHXYVOBSvTl/Xd/cixiNtV1
QDgEA7zZXxWU3iAUaxuT/K8rRBSjtTEzHeF3aVZfIvhHqK4SFNYaJyoESXTW6L14YxzQw1hESugF
3r+lt4vHUpPBsopW12KKrL68pVXJAUg246TqwP9NNR+szl30dC1Ma/zeMjyzp3o1UK9eM2p0b4ET
WyYr82pCWrFDgcDn0ZPxbT0Ok8QDMg+zomfeTVV/GDGGohqwbOKVK1Ozsq3P0XxCARmKMiiKEjVC
nAOMwrshZA5i3k4OrjPH8gsi9RpJgwNB4t5vSix7/VwUgJ6EExtnPrUnVjR7GTqcezD/8YuOV/dC
iww3G/gZ7mhMD2OapheVp3yUPCNZdvDpbs2Q9MFImPY5dNYq2mD5yrOCUPt4rabzEFfXppvn08h0
0a5ZQ/yYzJ34lXSFkeHvK2D2YepItIeeBuNNm0ZC/NKtaf6YtV4abiJhNbv3x9CJ0zi3Q0KXwfJq
kqazWmyUyEJZj+j6kX0nH6cGECulXp/ey6zR6QeNsiQkqxQdSCeDVPhs0MI61s+FX7ytMVJ/4FVY
5MdS1RerkZWgH8qdKKJOExnz12HqUwd5gWncJiNZjQe2QWG5K53Mvs67NgZz7ZG7d4XsHy3E+4/k
xCrPe13K2fjWDE4Qx4NjQdr5mFwAtIYEADJASIBX0bnjyYkF08FrTsuC7IRlGB5fpfSU6r2K5WRy
IRpuBE4IZkzq0nCvHHnmJ528GCOPAgQ0I6I1Vhcj6ri3PaFxMIXDkbS02unJfZlMaXz+xw+PoidP
zdJ1Ptz+6jVmbpYII1pmVhk2l0RqQY7SYXC+f5VTn0jHxMlvUEq0Dc5pxz/IzZNRIYRj6fMX9n49
o9AHHzxfRvSevjuFGRPFm8HMULmRb0l4T6GKa9FPcxpQ7499/t0baFSTVej+LpIIybCOoTzgL7PQ
NFc04Svl6vnT+7d9YmSxa+DjTq0ApIS5OqJTaRSesjCS5NIzdknvq43Sa/vM4nbis0DR0KbgSdYP
BYHVdi0vGqogi11FA5cYdKyoh8TsjE9WFbs37GvP0cleV8vVR8GhhsZroDlmQ+k7fhlNTMgYm+Nl
dFUs/vo4fyWap9niFhsWlyL23SKUN7qDAphSU38ZGzHR55mc000y4eWvs2S+HBZcr8i84sIhww4x
S2sCborsywqWkO33JUrIvmvP7MBPvRKcKCaDaIHsraN+zLmSBiHO2Jo4QXFMpfFNQKE6s8qevAoV
QCY8PVRrDRCM+1YbiF/lKiz3V+0MqNs12v7MVU7NcoEEgaAN6rlvvmpzlCUgCxaJQxUSoScd0sRr
30qJhy6M5H+xpHjsThlk9P6cddNPzoIw5FxpCBEhmiZT0l5WHfUlCKX+mWPAqafHPHctj1WFb8Rq
siN9bKayYXzN+DYQ8rTdZd4X9sP7k/PErtLx6KFQlKaCR9fmeBRnsXLbUbKkjInbY+52oYfNPZ3l
7lF25TYdk3Pf3re/i6YNc8aDAGRy/Fvu6I8iv6AtVVuLah6lRL3JbFnfi56M3vd/19tRIYRvgT3x
2Slzkl0tOoZRGlQ8+JyNA/FuuuYiFipIxcOvFkfnikHc8fFKwLWoHbL0sxhwSDr+RTic2lhruRax
Tvq28bQGxlA3n1ngTuxCqepZDAhnGezma8DLHw8uU7FKqrCMghAA3g88jAiQjCK6mp1muhhSIui6
FIG2jgnuDikuIBBa1PhGZ39bi3bksK2Gi9QlB42c8AZJ3/Ajm0r/SSZVeWubc/qZgxZu1n/8IohX
onHv0JGiQrva+MG+BVHiM8C6Pl6OkKjBN26PJSjH3fX1/Wu9HcwUE6DiENbFXt1bL8m2CCmZGBRQ
Ot1F11TSDFTk+Qal1crlS9hinvSm/mwC0okhfXTd1W/0+3CQVcWQ1sDP70RrfU/rOt9zK/OW0E7v
QDz8p7GTBPG5qnfu/TH7XmQ+uFyFI28/9siCFBaX7+8/jr+qkKuR6XCiFhTX6GTT1DkemYWjaDv7
cxI4etzUD6ThaNonHdJlfkXVRaRP2ABNlNJRZPz2OmZm0CYhZH4Xjnb9IOCPkTDfavpd6dS52Kfx
0HBcsCLviSagY1/w4uGEgY7WPy8LL9GgodWNwThirmO/DM3er9MKhzzh4+YmoUFAshaOJS3wvIxo
nRQVanY1+vMstjooA8AGYNWrjZhnY6GegZDCQunovzDwOI8UzTnzzuimHqhhQcEoo7b8MVZG0l33
gyA7h3YT3rdQWgQEcJewBZuJ4X2Tu9RC+eouvd2+Mstpg2pEPaNry+Od3xrAQ8jqrjCy6WZNUj0q
7sD0PXQ1GUG1P6TZMKc9xCgIuhsftDE+XIGwjtIUEnE/xrlYJ8y/ocGS4IS+8blppxKo9VT73Y49
G12vRJdEek2o/dDFD4bx0mtG+eJTvCSlPI91e5/xTOatLmMN0YOm2R9pFKPW7DCH7QxvwmRQEI1J
PjRbZxr6pWl9JVnC/tl1dU6+vRjtqygc8RHlYoTMU0M1kIZOhg3VwzYL4CbCaQm7fv7RWEP97FCo
wMunB1OIBptTfEPcLQDLRV9mdX5gEJxY7AFhxLSt0hYTUIHKwN8YBNdQhqEptGlljCMx8WJ7DDTc
gNYhbvGEFlMqv3ToOL5IVTxYzZBetonTGjsvLNpfTWcaP7KxqZ5DX5s/oFmuSBpJe/HTm6TEmUeZ
q/pgA1RokehZNQm2RYyUviH7wAgaWymJx97Cw9FFUf/RGAcX34TbGZ+pjFjzVYrpxdqRCzEa2yJ2
s3orykIdPBNF536K1RSj7O3xoxRjbX5wmbsPeusoBB2Gpz33+KR+pHVr04z1ovjJ4r81AiW7lsQX
otydoJ7r6VtnUC9Hz6rpn/ImLW5FvxAbUR5Kc5e1hlVcDajsGWde1KN7xX0L50444ZOactPc5GNk
IEV2IG+kUu/vRhKHXqDST3dYx/uXrFVVeuniPkfwy44Qdg9JHBQMuydoRvg5m3ZRclOrVRiGLGlc
q6pqcQQ6g5lvagzd8d4B7O7sdGuO0p2PTK2GLxhqKLT8IS43dp/o8XZq6vC7LWccCAVxAUSIqtAB
mzgSABsXdXyQmswc3AmzeBKjFsHe8R08SgMGhmhrS6/ND9KL5M8SW803Eqxxe8+1PrRBZZQFtP6s
rz/nBbw5jD8dSD+NHubL4GZaFNRE8g4w/21vDjoQ5c5B0iTCXzH5ZbuTTqKK60RvWFQa35iLC20U
2TIJlfWctR15PQUJpNfcr4kayszH35nhlh+NgbPnZjDFRJIEyPAr4Mauu8WvjXsknYrkV+UbBP2S
Exx+ccqouimVl8LAmEL/m16V4xe78ohBdWeK4ZAl5ORuKLw1iy4WUnGg+0Nxr+VQ+wOYP9gVLGv+
MizFiqF1sHiBXcefpHozj7dxP/ef4erh6Rhj0d3PhkDKHRJs89VFDv0hYckeSKdIhkdKBPODryIE
P8T7cUJKmtlSB9QLkJpCS9njVePZCQRR1eLLicm8vi9hqv3oOyMGarwA0USd2sAyEm0CtpmIF/KU
unsdVDq2GXvUXyZyXMnO8SfIWqne6ClV0sUWDePv99AK/RmfsYmbwO6iB+ReScqUFh2YVH8CAeXU
no6otpqBVpr0bB4n8sZrIktG8LJp0rlXsp77dms39nCbDz1ycWGPzXQdAuYB9pYm+cfImhrvQMXL
/giJtsfM0mTpo46g+oXjG1X2MLS97+hXs+dEDf2TbY5yvoCzSPIYOa0hBgB97J9xOJKhwwJUsKSn
zV3rOgPUtljH4ORZWvi7kkI9925kQT6w5vwLK7fv3eg2x2YwQnX1o3fCLL5wB62RmxHyq0LjlX/y
8mYu9o3OxwrPVDI+tToNux2HV1oujRoi7VprVOjuhjmGw+xNQAswdAytZGpWSm3qXC7RCv10Y/Vh
fKsRsvG9MzrI/NGUq5/QIyKMnjUl6UtfpEkZWDaJ8hvbj/1vmU6s6Ab5R3sd89HOr8RYoGwGr+Ns
zdIy7/q85bvVC6szLgDjEQiSWmF2T2cbyw3CIzRkflPZSx6266RojVhL0TmrqdoSvMN+iChcDNBY
x0jTU4nrf+cCocUvJ+BvH3u9Ue3c1oo/Td6MrSXszEOb4t0hRSy+ArtA5o0GzSvIQvKZWAGS2qSt
rmkG3sZ4hFvgzdpd5/hxHICIi37Mtiq6LbF95p0Rtoaxo79VXXShQCMAPm76Yc822u6MtbKioeAv
DU+9BQATRhpRFMjPCSyGjRCOG5vshRenKovPRGz57Y0fVfMuKxKwcDqW5y/zPOJbGxxb0oktbP3B
LGbq1HM0WfGh7y1alywOkXOJ9cL8lsCIjjH18eHYKEO5H6Rh0KaVesjfp5VNbG6q0NVv2lpW2rbW
teo+UrafBIkUPVl9qp2ii8EY/S9N5EUIK5KuuxpIlWeBaZCJszTr+L8pBod3eWkU28LsCyzwudkx
XERp38NIU4J+Z42ej2ARDShDrQNCxRA3eFuCdBjZkd834b6xtSTFzCpHYxd1Xj7chLy5n6J1p69U
NQFHqDR0n2ChprhB2zSHu9M0wKMsgSS3mPyOAT7a+rgxxGR9VzIvUBOy59MCpI16gj1m2ZWmmsfK
Gw4++BpiScw7pxv8e1JM+kcCRWLgcU2Ex8dw1VXZMXtNheSX7YAhH9sSkAdOiJQKPI584twX8MQ3
Nn+cQGqRkZMV6hMxxrqRZCOOQKn0gL1K9xCp3PyaNXrGojWrzMaK5bh3eRdzaLGHiZ53DJajbvzf
aedo3weT9ifxHgTY21pjJSijIiPcwHor92Yy6ePewhR0IdIWM1CMhD87tGaCCZgOdvOYGSHw+ro2
xfzA/IjrAFgA3reKefgareN9nVQWQx1L0zK/zm17BNpESGh67RZxi6Il1/OWYD2cxJeZ0G1k/0Vl
BLXbDCLQDKppGxMdQnsrhgbwXN4UWbFrRE5gZjM0ZX8wNQVTwDXLpIYwloLyyPS0BZkY6iI9+GNr
I48aFPldGnTVvNXSpyoxfWAadB3yTd7BFgHEWLZQIaxMD+xZADpLDELGyIz0owyWI2T47TD62TPa
KdvckDyqfxaFG30kK7Mwr0xXxldk0hkQ3TO8Cn3mg6jtGSofWheuFypVL70AajuR3DIO021JBY1z
pERwQNymNZTwisek3+B4zYcdfljX2rh244+XjHZ5UWYeAA3Ll4xrJTT3JpO6gUU77wr3Jq8s0rfZ
Vw1sX2ICbYIJ196jQcK6t6/UGP4cxz5y97NcmH1tLszywhwEumd4oPHv0U1D7o3Nym1eKv1OhHgp
uThyh208eeYPvp7yM5NJ4EJDUv5QWZOgYlIXHwgXjsPL2gzbr3rtl/doubNwV+jEilXTmKFuMItl
W10bowwiDY5GVBNhxUk+j+9se+g5O2PLKm7wyGjRbiZNqIWfJnHWOQBPt/bEpgCPozBBnHfK7fD/
wCLeVqjXBDMMHxrIncggBqpQKb62sMStSm3OAVE55ODc7MXXhsC+uTM47sgdOxSK/bpvV/ouQzJG
M2KKAUN6eg5vLzLGptmEIMOKDboHW10IS/G3/FdEAjb5JKh/KsEWa8NWESR+P2pNQEemM8/0xU7U
WIAd6a5NY3ARba5qRwvzpWwLAlp4V/GhJvP1lwssL0hK+CZnyghvy7sc7T3YWvQmoByvFRjCCtnV
YjAPUHws+Wl+t526FNiKZooNAZHmmbPzCWGZcDA/OLRcX5W0qzKV1aA1gOgSBbaDLVvvx5J0sMW0
BaZT/gzjYvroiJKlxyiaTwRk1/cNpurdIEzOTxoTfDPJRhsAGEh5yGaXBvT7p/tTxQ4HvTnFVRQj
sHiPz/aIKPUKQzqq4oi7lKAUYX7KFBvs6Gkf+hptxFBW6sw7X97pqqLAyR6lle5zWXrfx1d1I75K
jGSualXDNTx6THIZ3PwtDb5537kOZW/PGuagqWR2pgL29tpU1xYlqQvoHWLJqiJqRn6YeSXXbokt
oAk2eRfdWHRfO7P8zm40/CALDugdNtMzVd8TXXCu7Hru4rpB8LUOqM2gyRJzhYE2U6JGpN//HGKb
soaKURB6Rsi094DpRFH1goIVnog+dld5LcNfjiPjM6XNty/eXcRBcJupbpq0D49fgUw036omgTFD
m4YrDkHFlYVtdzdTEI2JjMy/0D1Pz7z3t/MPqewSdEpZh+advypxadAa8nlG6mlFqXWF9YXjwsxu
qBLkg/EH+eH90X1i/vG8fR64RYSARd3l+FdqejLIpkY62WlVta/6NIc4Cw14luw5+bIBJ9660uZ7
SduWqmWmDXxYkH7Gj77elHtYi/qVIQfETHbix8Fk2uyN37/JEw+FjyEDA8kKHYG1CHCCmkpwoYzY
itTOZiK4bY8QJ06tvd4YP9+/1omWNXpte5l3KGRQFS9FyD/KvxOsvELCTwvcEf+5kEQEBJUkMS3A
Xgi81lrQmUHv29EzFBqNLIRY98GceGTUnWm5nOjm82Ko3/vUFIFi+at7QZMnnGjRoiR+JPqbUitU
xFZtNu+mHNPGNuw9dw/7FYHSksRqb5VFfuwGY4b3U9PINjjzIk5ozT19EUstUVmIoM3lTf3xcBLL
02oiFyj3p625a/LZRtzOdqOeM++hiCvK3QW4MGKKMT432POxcjf7ZgiJdU3T8etIZXA31F24ff+t
vR0hy33RlkJChR1mrc1uTeKSVM8ISfMi38q5g1yzpK5Gkadd5HNzTqj4dolECksvArsJsli6rsfP
oddGvWFA0lQvJ+9ZLW7YpMdfSv7EckCIFHvtNAMZYgnPnM68heUvP/428AtZkOiGsFzSjDu+OCtP
1ZX+DA+pqfJtP8J7njjznRl8Jx4pQ4+5gKPGJmZh9RM5Z6WzsWgUMcDaHzOk1x9aczb2XTl35OI4
YALef4dvtzl852iSMVNQNtPmOf5ZGUULZE58aIemje5FoXvbMi3dwO6RqP3jSxG0Bh2JLc4iil0t
7WNhtka/2HbifABiQmzNTqKq2cwNLP33L3VCTMAVGCzsdmle88OOf1bk4lQbY52tg4yLa2co6+fY
LvKafmPp3cbEBpFIpU3dTeGDu55m87c5JtUWSaYe1D315AFmz5XdIslsBm3eUb+BHDrY2D+zzJ3I
6xzjM/d84k0svktYy3z+MVUso/+PWT76EtEoPL+ASlZKGrg2EdU+iIdEn+fLM4/nzWCmYc279lEk
MoXZ366uhcMuyz2SsGlgE3jYDlnnbQF0yp/g1UkO95wx/1o6RtpepdKO6C+ZSTx+b0yA8rt2bskz
9QqUY1uLZob5UMd+5J/ZD70qJ44mHHoKqIWQ/NkW4/Va3aPV612Y63MczLQM1XOUyIXUiO3DD3Lq
2HJLYqzKD/B54+nQA41Qn9AbgQ4ZMzfcQi0ifAC1BJBLBDT2vqmbCosg0J6JTW6F4JyekHbnpA3t
Ogl6sQqKsjXDjYmRqd5IKKzTVSGs9nYoEoILeoCruw58lbzUhlCnJaEh177r6FmYZybK69du9dMx
FS19cZ6A7a7XGiiDHF6rkL0gm83DpDUaJDrdy75RibCIhPKGIt1RTXSzbabsvN7zaaUShpxQ3WII
QkXeJJUGoGly3KeOfAnrW0774clKUvXDdVNKiYRBzdAtel79hl3Y8C0tKn68TmZVvktlAoqo05P4
6f2Bd2LcmRx0fOYk/6O/cTzuGhIPMnbBcaDpHPj8FpJU3arpjIjy7fYKXQGnNkuwmWc36ayGDk8K
dlPYIyEdwvomLQZfHjoCmuNtXhBwlsyeNn9SbbgAIRKAnyjxyGZOhrrajjW9ziUg3odjJYGqX1P3
CM3d6JHLcUby9PZpYJZDWksH0/SFWKt6HArfhqTBF7hGKg/R0M0bnWPnmU/KqauQ1217uMGWmbT6
cFEhESmTlZJS7AI7QgioB+OcJvWZUbs81ONBi3LExVfNCuYux6jjd6stLuuugFc/1XW8FYljbELq
JjsFK6I6EJfuXI9L7yjopN1dkQ6Rif37o+vN/gB/Ac9zibNcLDNr4c+klyPxjdyBbVbavrPJkHRx
qN30roQhVFi93Nma4R9M2oYf3r/0m+82l/bRS3F6Q0VLd/74x0ua8PBuNDqtUzMHE26VWzqO4SOL
jvEgw6w4c2g78VKXszEEYZsfi/v2+HohsxzdLaWXvs70S5nbP2HIe2feqPv2KovlmxPR4ulcNuar
q3A+73MFbTFxCvGcUbTO9mC2qO237BqIt++yKKNdGePQSaCvjbtZ3feqxoQ7UWlqrimrjfdV0g0/
NNvIYR0q+sbuACXlYizL/NlyHfkSavHAOlB1VNs7kLGPCN3Mu9x1e3dvko49bORcWXDvuNNvsjZ8
bTfATbW3M3PKYfJoUxg0MG84Igm3Gu4JbNHaDRkpOt3/UtOeEsSC4S+PDMXxAruNE+2B4Vn+jjZt
WGwm5MT5NtOQC2x7mMnzjjJ0YZM5F0UgxcZYcgzjS/UM7AtcWEud9cGm01R9rDgdq2sSA2f06XLs
m52Eec45pZM5mchkUpUbutzdlxnJlrGNo1qQHR3H1cgTHSrz0Gezz45itqp7TQvdfjuqjjZWx2R5
iBBjYYEgvOFjqrXj9652aoQEejp1X6Hxx5cwqqBrcSac27+WjH9ERLlNfrRVV/3u/+/yn/2o4IUl
Udy/gj3+3/+7r3+VT33761d/+71e/5tH/yHRVn9ff6GVHP2f3Suk5GH41arHXx2BMf+mhyz/5v/v
H/6NOvmo6l///X9+VEPZL39bhLznTwoKB9k/JvYbbsrT9Ovnr7f/wd/5VPa/mN9YfTkdLllUNpPu
73wq/V8+wiWfs4n/VwzVf7Apjv8vXcBTwWKz7K9RuP4HmyLEv0xCpPhUIeHFHkYQ379/+Ie/Fta/
4sBOY1PWR2idvSNKN/ZyFltrKp6rdb4p7DyXeTlvU19QQU0ri7EtzVrQM0/EK3AetYe5cK3BDfoZ
noJkyD7rTizEmdVpvYHhXpCNLt5QXDUOqaar7zwAvZxKGjqOkSD5e6LV52hLKjjdM0NPY+eunKXr
Bbh9JjMw+8h+KWgL5NvaD+t7Sc2JDp9C0IElIfGSII+ruttWapLYyRGRm5e4IoEXj5IdD4aNyY32
ZRehYsnGipAfi5Sl+4TgqzHIka9ZZ37d6kNHE990wQbw3jAFL/9wvCq2shhLutbpNoln/aDlMBx3
cWP6P6c2pRpAKCq/ynIanaYaklDQvn7dX/wxLP9++39CctZFCp1CockGnio5VkbrTamyzYpCdn1F
8l5OlM9lY/aOvwOGugjCmtYTd1ZnmvZegtz+NhudUdD0byzMAGZtXVrM/HPloldkyh/ff+4If9+r
wQ8BqcU/Hj8WKcKqCvuh2C6bA/2J8jDQZJkOglZM3Y990Autdcj2gBZM1HSqPpVgzAgxSQTNcnPy
w5bgwjmCDaJ1dgWdHCbubVl6zmcqMMrf5b1Hd9UFGvVStko8ZWE9tls2yy3jvInJPCXvA7RWOdp0
56JBIOqJY8/4hJJVHy88vQd76yFp0D5OukbxwKjjsrzpOF+QdgA6RFxpndV/HKM5+p4PkOG2U2ZH
3q5FAyQ3c1EhnVCOm0xbejDC2esKXX/AytBFl5NV5T6YMpJGAkFConvfxBw29mJstSdidSNtZ+i9
LLaJcKbhWgD4hscWa47/RKYhBP+cuBRji/Uxz3/QtM+KZ7OefWArRPzSdnJE5W7AivfsEecObUIS
a+VXZ7RLe9vVHSEjqNXKiA1uTB6asCf1XNDfQNowJnxidJMywsZ2AVsHNW2raUvWnCog7UQ08N0h
itQFmwq6jaPPFuoi9+KZ7y7d8BEkduJM+J6SyDmzwcCtsEyWP0cN1QC26agn0cCgBF6L+NiO5rKY
LGPRfWb9M1b4eLzoujh2AseXMnqchKjVJVpQzbzPwsHsb2rfGLKtZTW01ixQI+Xnmt35AA6XKj26
dKWai2kyShGYKY21C4l0ZAmigLF/JeD+THzr2xHjLfb1npCYAnKlbWEd2jsjb+hLa0cmajTdpItZ
DO6kEXWUthwMMxznAaDi1mDRonW2cwHZNrixI5BmmJ/77GAUSQHVsPWarx4qHbYSppV0jyrLR28b
tTSPghnVT3Qx8Qkn550UTah/4RS1n7TZnveMNBfqXpcjtRvaqogDq7SpZSESgbPH2dRsn0tqcvNG
EsLkXc+d3WIFNBykUmNnyOXQYhcCWu00EOes0jm7cOxEwihvrOixLjst39O9dssDcawTAkRNLJPF
y4W4KVJQVrRbZ+Mlxc7E83MIZ38w6LZAoNRNxVjtRVjzQekRZnICBkZ9GEnynfe1SVjWrowyOLBR
5AwvNf3l/nuoaC5twJ/m6WPLTkW/y3NtvJos0qB2mV90KNlTybwyiamqb6XKk++xpkKx7cKxyHaa
L6G05InTkJaVQSzaYLqdw80I6m9AMIN0kpnuNu7WgyoKTVxOvOsqrCCSSkl5aIf4qgmfJa3QNMgb
tBVMewMJRtT+D3PnsRw5knbZF/rRBsAhN7OICIQkgyKTInMDI1NAOIRDORx4+jlRPdbTVT3zl81u
ll3WSQYDgOMT955LwAHUhrhTe88l7S9BBMMQnbd1rxDlIXfZ+Gotzc4q+hnaqhU7SA69ZvxUt5pu
B8kLYKSVar4DYnSZi1ezrt7BsaPDrOe69oERkzW/6bqKJ21hcW72hP5hO2/GqHoxmRWBUq8dUnK0
1vmzcZque3bYOiL90Y5PhGAZFj9yoqBwkhW6sVC2TAQ2TWx7CVCOHA3dPo4neARx628jb+xg+a10
kwcITSP0E28U1RZ1bB+QLYfNftNLwgA3rZM12Q2E3dh7D2xPl0hgTiBHg1had5YVtr/jclaQOcMc
mattzbB0qjEueIt3Ncj1uI0DUL9gUKm4JSTz2GAfTmx0IYiQ0sr6hDzppkwkZPcd+yWZrYWztFVS
mLlgGZ2WK5LHaLHnbW/NbrSda3oAUltUpb4AgocgbpTn/HIF6oBkiDThKJPJlEuUykAao2OIwCHO
RN+mO8hACfIV1nAc276oCcF2CFmKas/IPUnqltoxZcmyXWD3FWSWwVm+14WxarxZpPQhl2AOhqSt
QKLoBujUyCBMZnuUA99/TY4bC3bSdKu4MG9LaiPok6guoLnQhKIGYtj0lmYucbR2N4g9M0c1JIgx
VZNwmDsj++M5QraLGKrZmgGq2NYXo/voBpo2IBNF/CzGHp2yyo0L0Y37ARTkUqXeTmWDEAcGVCXB
n+G6BAhsegfSt9NZEHorkhB3qcn6aFuPLnwdZW6zu7W0nSsWcoK3Fomicdvbc1VuGdcB4sdju1r7
vLN0tSd8i82B0d17HC+GuVkbopBrloa6SQsx1Wd/GK1gk6ZOSmw71e0to8nt3AcbfZlc3Wnc+IUd
kuCOkO9xzGuUVaYeuhhmJcp8sNy8j48VXtnmbQYp4VxubRR+9hyFIKqaheGem6VCP9qtjvI7iL2D
zeRtyokJEArhqwtPkgC8XLaHbgkGAfvc1QjEcguOEKhczDCltHykunL8tNVMqAnQFgGcayDLcGuI
ELsvUlkVe1av8Mz0UPNWV44ciP/x/QaTwYJTaTfOQQkpJ4yaYg+xvX4udTr8CDId/CKnTEQHFB3d
HabVOL64EFODEwETI+7X9gaZVfktx0wUwhMbAcQfx4wV52TCiYA9ddFUM2haAKIM4W4mUShieKoM
CSfJGqari4d2qiaySYv1t54byyNyx+GdDSAteja6KZxDq28PVl1VzdeFCSTX0XfIdp1KJtIgOJT5
aaaWf7gWSzAdAitrbNZnK1o4FSyF2DFBLH7X64hv26ApISKidBWb/wpZJaF4OoS9vWrEdtsg1Ko8
mLG1OPKwMb71t5EZbFI3ehZ2JvyNnzLb28iiJEy2M0ElTnbQk0Fp+cVY7iQPbHavjGINVrRldsOl
Z/ELZefSn6XO2x9+PUTTKU8LvzoxfRvlI8wYWWyHmTylDWYZ8Wk5KiJAh8t5dIfU+hhAjQBmjKbu
Ya1t9dPBV9sf0rWrAwDsUrlb6S+xv11Z41onS0Yler68hd+qqLM2YxNP3yRpnN9FLOKfxm7DcFup
wZKbvu9WmxG/BrjdDpM02zVrBNbnXhRkr2V5Oe/VVCFRKoIyYKjglGGYrP3q3VvFRFQEiXN20uuO
YFi3jqmqTUUi5tZbpnS5KWw5ydgXEcLpoT5/F8VYn4Rn+jmxVWq+akfzQ73Ria+isBCA1+MQgD9J
e5ERBGz0M65Iu+EAU/lLWrsRqYGGGJ19xKzLSQRyd71pUovRjwdO4DMftD2CFbPEBwZ16mIRkkq4
UTVd6GaIbCOOiyHheNdK1Md39NA+gXhaLEGCjLRKt7aYinc5+JDBxzAuf+DJEfJSMFtyE4+X61eG
1m6LgHmC4DACXbtl7/qE11pZ3KPCJBNhPaSq7PUhgwVH+kJuTM2dVNg/LB0QpIjarvqiWgdXSDPd
6M+Ej+WX1vSB2mvjqR/D2NfyNNV4G0lqD7xPqYz/01WD/tEvKCJxWuD6udHwwISgzjTvQmiGfrxT
AeIxyS1fazIYby4IBTSX2sXzzuOcAfJnlOu+DJT2uERHi9d8uHLR+TskCzAkXCgtmmA5GMHxzWrE
Dot7H5Gp3kauOzCsuil/auUGdTIZi9HTivmMf0hpCvefQwnZdqOHbmPHa49mlOD7JxIbbrTl2lr2
y+KTy2iDOzxZJVg78mXd4mPQc1qzc2O4s6EwWZGFysDYSR0M9XpnYfR+aIqJtUbdSRVvlrScielD
xU1So4dubhu6nX/GskGNEWVLVG8dniPu1ElRh/R0hF8XCxMc2oZK/nZ7g1iWPTx87M7pMm9LkyDe
pU0u2CbgFfedd1OMczzLCRNQwThCMnbH7oarJoD64OuGEhG1n313U7WtO2/0nBd8i4t16NoxjpJb
MjQcE6IZoCRYolpwuoyxS/sZkClQoZDbufy2hdCKwfwedBMAeQ1tOAFdsdafyyLWcYN2glf1iqPn
paEUu3KCFpCA16L/UFEOCmRoA7Hw9Kb52VEEqG2pl5avfm6FL02N/g7lckhCGDVDy6MXTuXvOZNj
nkAarkDDDyhXNwiTCdMWfKsgAlPdP83rIN29RIRxF9WDk6x57t6VCMzaTUuS9NF1ivZgw8DY6dW1
se4jdW5krO40OBUMELPaWRMSvDVFpEYT22xlC7nUHhm+uCzi9+Req4eWL3xb6PJFEKqGJloMX2cM
O1ulbfnQrOkxJ7h3L6sGK4dnRc4PuBQ5bWPRnbJ6nA/piHhTiqo4udNwHy8N0XUq3Npr88oyc9px
PAQk2xrv1Ez50TZRe/WBPx6bHPNM5mVqy9NtHdxmUQnRDqR5ecQttnUZ3nOXWrt1ImlAxctAQIHq
r6qR3ZMusuU0N3256zv3PS8Ygw634qOYTaJXX15aAvAu+TQdBkTCR8gyzQEpJjxI14JCrdsfKd3c
ljFsd14ckcE/VPfh/Mcm1jpEUT58aAPomzy6yuwi9jFJjkaYrlotkMVUddBTtScYXm/jEcu3x7Hs
11bEhsvkYheI4uI0a3RwUmcGtNPfM064DQXWE9XeA6jeflMWkbebKaK/T3hSdsQ4PcUDuTFua5MT
5633vuxFt51Y5z20HTYmZK2YcEqRPaLNvsEMm5OjivDkUem3uJifPUSzDysV1jHqbJugje46TESi
oElpN+tAeaCi1t4gdiIYbBlehqaOLhPWqWeeweCY4/nYrs7abdO+yn9BGf4COaNE89xWR9VVZ8aQ
YtdrLU6IvKc7NcTyQrhbvpmsvtwPZUBqGBLS7Vp6CfKxImEIcgzKmy4GAjhGRGHLg4f4I7GNDvYw
0+XeGeSZPIKYUrkARMMws06MDv29o+Bwu8ZFvhrNz0G0dtc6qxNZTNy7y1S9VDbqHJqHO9zmeSIM
ysjUkNAUaNc8kdsUJwNjalJ0ZT5e/H4gEmSW5ZmE1vymx/BeGS6Lx9AVL16psl1ESWM2/TgsOwM0
g4pt5PXn8/VvkT7iZy0IUkIVirGOW+cwscJjeW/yIQFf8RxRSTwZJIonpIvNWWR62GNJy+/TLjZY
Wlxk5VY5wTGhjOGzfqsl9gIc9ty4Nooqms5ivZcd7QMJWUeqmH1v9fkpJQjsW9C5u7wCPSxF9BTQ
E1+C1fq1osK5jn4ndrD572ZLP6qoO6eLfDFjY19EH+sk8rBzkeVAKCE+Q7+LnE3b2O1lKaW6w1qw
RXXvb1Ochpth5h2Wh1SG9pTf8goY1vLu8hG9DhP9FLv7pOLabXu/mg8Vmtk9KI1+3+empdbK05Gw
SouTC9+YPsgBa4FnxMOQ2tnLFAlzral98btkDk0XaOmmis9pRJJqo+1+T6ggdkZn9VFgNA8ysi7h
WDqPtNYmyQOfIJxwSF8Xfw4PpJCwYgmdBF1MuEXCYe217Ybvsz04u0DnyNIwz1wrA/Sl1mmCtpx5
Ag8ISuYIYjxulUPY+GxD5E/VkvdNWtP3bq4OAIXR1sMc99+bgBxJ7XfnHOfZoVc8lhxKAiAIbbao
fmQRN4hoPbFdx+WKswiTFsmj8zzGzGCC/Ei+7LohVSHEMjEew9sMqYumgOCT6qWZVv5fRbjckwSY
Hwloiw+61O2+Y9q3bcY8xGFVzIk7BQFTh8re2vVYf/YLhqe6i39UZEfgC8n0zaMAzaYYIdt5M4wo
wrlhfUP/vgVqvJECNb1Oc/C6wFo71A1lT6H7E0FNBfV27xQXWLhgQIoqeoVgoVHcTFOAI2wBcUFC
MAaRIcPjH2uVdEOYFEv+dfHDC2seflXMs5OhX1madn5NkV49Qc6+swpmQ7Di8hOK1U+pw4RI3nQr
hurTKuribiT3V+o0O8qgo+NZb49wYLkEf2THhbkgs9oJB01hpvtaEBpQpPSIQUWCK/F7OuHsXzZ5
fGspZldcO7f+EhRWi/iOFDMUo+YwzlDQezkTVMPR5drONzcVPEy+Dc1cqlvwhkfop3UjV6j53Ovi
Oo6jJI+sKt8Qf0Rkr4YtbWn9i6Xbdx3mUP7mOjqO5YztklTMYWeKcV8O7pO/Vh8ja5l+M8XcIWjR
v/RuZl7cGRYrKWkSK6I/Mb8I+u4w+JxgcccZMzKCQpPftgf08vJsrXp48FOHlBgGt1vCNtujR6zH
HW5RKrAUkCD7hvnerW6pLYVlbWlGXMbs03KZ2Dsgag+JfLa9o40xAoVB52zNPD6T/kb5F8X5EerO
S2+5eu/lA2I0xNTD2w1s3SJE8Z/7ZTjxiHSYK0C7UW19F24r0LdaxNFJzSB3weKQ0tBspgrAUjV4
404SGXuovQ6nbVMqwo7ljYkIC5pIYjdPFrWmH3Uc94Q8gzzE2pKz77Zx/wC96ne0erRqimxQdyZD
2BqX+yZop5MPPJQ8if5rv/b2sU/d4r1o8htSUqZ7ElD0xl2b/pTauT6oaiD5q7Smcy4Aemxy33iJ
7WXx41w2xwjrl6+n7q4jefLa1/pRV9a+lHGzI9xy2HiG9MzKlm/hze0Bj7j4cvM1Z7C7dzWhT1uO
ZvD2o6/UyXXUI60WewTKsUte9GYzYVTmOHacb5injohf+x0j4JMMoncoHPEF2Vm6sXpmgSUqdvCg
ZfDITxy3lLwb3/TLph4n67wQbmsRwLnlrefj72WKorYhwPGCN9kmHT15nCfFeNibsjPTBgrFmiz5
UIw7AuO6IwwwZmdt4W+xjq97qHEngpbdrwgsyOIxsd88p0reYwv9ba2iY58lxSOGipuXO3L30JZC
DNAfU8GQh6B4dYQBuRNheYrnImZrQHYWUOMn0ovEnn7nXIfTd6kmr9qGRP/yhh+/6wpmyjCTUo0y
6gsCHXNRpf2Zju+tPXnfcZe9dF7II1nKfqdEx5QrL0aco7lNcxNYSSdRRVS88B4AJZPCzRwWNFcV
3/vWuLNEPtAMM+3PWWXukSE9jTnQLIjqxPZZNcF4yEyGXeOP6e+1aq2LY8+K0Ux4XoLSfFhkmOPn
I4uZuPa5PsGBJbPTajLxAeup3s2FRTCOXn6N5rtJGYT508+sH16ndn4rXB+NTvxibLJa1NKU9wXL
Cga4djTFNmlt3bwQVyXG2rqmeTFV59aavOVeSR7rXyrv+/xqsmhOj/NQMHLifmBJp/jzb3P8BRYM
+oM0atnz3xNFE4ll2+dZ0+3DZSp4K01dt5LpRCyyRZKjsIeHmMGiIPjWza0vSCildSgdK18fChC1
0adypSgx/HeN1XyXbCpsOqooxt/PBN+nLYGJ6r0F4Mqgw1gM2HfrPGTuV88jCuoK7rKPNw1Tb/ul
D8TE7RvHjXccbJZJV3d2AufcMc+t7qKuzd+tJeoZHOD0JBq8cdiSbHBgFe1FcdMPcFXDyBAIpFdS
/axojdpfREi6TWK4jOGVeAWpn0cVq4jOrrV8eke9zjZ+MiPd+b5jdlA+uSRqN7+FpTXCMHFrxvAm
ss/mojdhp4n3yz1SOdN45X2YAkWuLgOPgPOWlpA5jsDiuv4YOa0zX+2oJd3TtLRSr+xjNFO5oPT0
odaBRE1CFK43cNPXYZswZ/JtUs1AaXRsoLTufA62NVp/Wobx/mYJwyH/aPDRyUMYLu70OrfkL71k
XSSJLLOYN5bvs0Nczhuse+E8YoV0BYfFkI4Q0PzerHA+ReVqpiGB4+VqJ3uYKnzeKfQJFqZE/OIa
iJ3UdNLpj9Os/PCN7UO/REnGUJe8Tb/g1f8ZdCAePyfuhHA8oAdtSRIMC1Hv2mzqKI3WKm5Jg0Ns
W78rKOvtzxjeWprQ2NCfmKKoxgd/6Rx69jGvHPdIi52GF9NPgTkUQuv6DlVc5x0aWq53lXoTu4oc
QWhuemYGppfh74b8q+apI243240yh0AdzXmWbaIlIqx4SFnaYTCN8gtJAJN/nG2VSbLhOX433KJL
fKTilgPTSEfGB1JsJ31yRp1SitouIywgx2QqiWKmulysSaeXrstCSkW/AhqBc7P+zkzT/TU2VTFj
95sGaCxE+3U3bWxzbryq/V5NnRXu0gwCwy621L6ZCR2m/V/Eoyqnj3yx7GTA+Prq81wnK0P4B8fT
AAI4rzv0jRcfWfml6W/9QZrylskCw8uvce5M0b3RkLhgDZxzrYIPBv3fRhPkCa4C92swmbvcldE2
u2VsNXbFXx7bnNgyENteB0zI+6ILT1nuWQ9ZnVmPCD1Vlpgld2jp42j6KdGF3jtZLrMTn8T/ZIDB
A90Q8/Jc8wp+SKWqXnNPWXdMJB4mppDf8tQHvNDK6BPLab1phpiMzZTt2A3DQFSibOvvmSRNs3W8
4psfLPqThS6wO9zPB9htmExhSO9wZtoCG+IadiTQNOXeDhp9WSeXv9TPfkHJWhK5BoTiLIkbfGrw
cwQomk3nLt9RpRA7Hp1nrxsOSCJwUdhle2aSaR8VzunQaxi3G+dB9D8CE58Dq+Syl3EJjrDZp23B
HJ01cHcMVS+RcPWHiINhX1Ddb4cen/Mo6co6RlPdPP+MHeeCBuVoBXm1X3KoqcKKH/PKC442eU+Q
wz6QrvJi7SsG+248Pa1gGu6Wtuv4jw35m7AElmqz2p4XfDNAJ9ftUldlzXDVrP1xrk0I09yim9yw
1ox/1U6YvqA5yM9umXusA8Ixf0otmI6bOhVoLW4HQn0se1VfOMZZfwdhW46Ms3yKDeFoez5ngQrb
YyaoO3dRqIhwRGjl/HRqbQc4LLOi2vstY9ekTAPUa5o95xMIOTEfrHVlkzDVK12RJGvvDSB3l+N/
G2NnR82WeWcllMGgOtf+s7TS+MeCcb/mi6BVSJp8JDmwjpvqdQbxUADuGTz/oquONtHEObw0QC00
DPhIUXNhYhefhp1uf0DerNukCKlGId/mbH+6tPfe/aHLf7MRYc28ArSw8XQCWdy7oeV/peiltZwy
Z7RJlLTZXQZjSKSR0xV4ggNylIlTdb3pR77APdmxL4LBgXgv9HYFz1NFbDwy6b0d1jaiDb3a7pla
RdlHxoFxijXTLl9duZAuglWF5UkN8Gzdj+RmsK0OVvkdn94SbzVbangxHBz5bvHcoXoYRFSYs9O3
3MmYcRmutpVk5WUhYtwFWUsWsV2nYJyKaGju0fBlDid41S8Xsp5vwK65cM5OVk54RdfCb96MAdhx
jPKeutCnQrpOdYrLFW4phUoHG4/tWdo445mEdCt6bYAtpyRkagaR/hw41xI2YM3DmXFnlwSq5TsZ
B2Wz7dapeylomIskrIu8T9rRU0ffWhYQu1Zq/bDwhXMRhV7sE2KEeHql+2HUD6SIhVnfyeC337GD
3lmpNw4JL+viNQx9pMfzSu30lo2lj3V4lO7rHC5dbW/+C2VxQ4CNo3dt6MwObB8LFsaI0+9UpKXf
b2IvmN+jrnZe/itnNTrPUA5o9Ij79mphWMotS/oIe8osmzIw7ft/ZWGYumUdjUka1sPDvBZmGy6S
eCEIRtPP/2oYW1er0GPCoEeMewgM+sfYCvchBKbAF8gzs+5X8trU6Q/d0v9S9v1JtvYvkeA/VWz/
+p//47/VDP5Ja/h/1SD+f6gsdG7JN/9KvvoPZeH115j/6quP5ufw73rEP/7VP+WF4T9cCLICqzHQ
aQQDN6H2P+WF4h+COsu3wSO7BLsjFf+XvNAX/0DkauNgEOAdMNe4/1teaP8DCTxybgddICIbfGz/
D/JCxIh/FuqgNMOQxOAd8RY/7q+sZCdaB7NIitZBddZXePs8buNoL2go0m7YhXKEaAFeZUyGMM8P
pWdzBpIMgYqC2QGjATMlbNPccwRC6hu6iuatMyg/tv5okSy9NjksngwF4Fe0OP0pVoTWN0v4dxbf
/xDv3QRzZOMQjhLclNp/8TshRYg6wYCZYdsq9opnYEJ0DxJYZGO6I+Oqe26Nlx9nK5Yne7X/DkL/
R2zIvwue/lDsRQgkIVSKG3r6zzK5xevamuBN1nFpdXsB2/J+nIsAE1vHviZNGYZydOr0zEjIguIC
9CDPrC+c8cOpUQvj9p5U1ng98imh7mjZPcBRGA5z38UHFQ09+0VUegluNVDqjbJeUDCSVOcF8TfO
TxaXHqd+sF1Cue79eUzP//yqgYr8jU7yryFWNn8qXGGY/SFsQI/8gz//qU0W2hoBCNzhQqpnCVAU
u4ztD/t1VXGwR6NgrjPKGdggJooYiCkz1lsGWGJbMUh5i/VcfYR9yoqUzWU81IwzAUyxeJl8gkDL
kjvu357J/5Os8g8S8J8vz80vgnMMiyDP4V+tN3TWunJGrJ3j1FVXxzG/WGasicUfmMSu1BcQ8el5
jA1Ng7cew3pmbJGN/udS65p4BkNGS9u0NcKKvDukfVipK9md08Uj5+5lzYvoRzaoZUxaMEbLdukx
2LP0gx9LhvGZXf20F0FjP0ZLuy/TxqMnLru9VVNMN2oQB1PI7lOasb93YtG/SVcsv2FPWM+dU1fn
sIinfZoq96os2gyv9awkJJJ26/RyuCgzhA8REvyknebmS+jr+CdBGy+9jNbXFo7HW4sgkgjiKthN
Dlu8IGPAT++DsnTqlkdaj4oZIZJrXsO1OddrGVzVoob7lsbzoXc7MntTLd4EPqo7n9yebRzL51Cv
wxU3zix5wdVqL+EAfREwteQut9Jbkiwy+ZUfBrp7me/D0LqDIT6esmEtrqYcHhAz7U2P+gT77yae
7G+uunFsyigad8S/AqMFlDAmXhXbTw4G1GZjGh0cjPGzXQ2s4D5Dec+sGm8f0BCe7QC1O5SxFgaW
VG/RYsV7HejxsQsxekl7Oneyc/YIff/O3vlXX6KNtVmAWPdAHN9sUH+laaoAG1vrLxi/Iz1T36KT
2Pot8LCDq1T/e8L4fFxoXHdWWSwPsy37exSnb6PlWvWulzSlbLWg++xomUr2XhkLeBqOo749/S4v
e6aHofM3nvz/EBvzqQOB6dVB1R14cED/8iBHWoRhSzdQK8veMYCMQIqthkOdjtJwB1Er6V83CA38
K0ckdrYwuGe5+O2/fzxvv+ffH87b5/B8wKfobBC4//XsNMJq8xWREspv3X2NC65vidNzl0+Ls3f7
LvjqKefvELz/cYxhPsStj6DZJh8FH/ZfXDDYTDPXumkG6sVFJpjruXv3EPL9IGZLTJugzpr54Jdr
8yJlGx8g3jD5vsmY0m+6o24cscx866ZhuLPI3ARgR5pj0JmdtOt8/ZsDLPiDNf+n7win/h8eZR+P
PJakv9gA+vkmYkJojXtdM5Sdwgc+PNncSoiNdMP0EOcReNTupp0q/PYwanxZuYv90SD63cLJdLZW
434oz2sf6RiQp7pLmCDxKQ6WXzmsi9P+sxHWkU1AcdYa8D9z6jexdGB7HKbhRTOkX4LArU8B9S2N
jcc4PJsJno/S5aD76ZZuTKQpy3uEKDOlPlufptnmYzhdI9ZKM3jKwN0wKPEOcVbd3TIzNpZXh6i1
ogW/sJ7eBldoLJB5/OgjW0ZhmjICztIg2q9MRr8XMTSnllHMoWzLPgEqme4p9sEcZlHrE6zQBV+G
paWL7fL0QGYLm6gi6JPYbngzd7n3zc9nH+9pxQ9fwZS9g8taK7Q8ZYmLSc5gASwP8UWAlW12+0ff
74an0Wr0Ty8ryPWuV3m1Feq2Xerp9Yy80axsytxwl7W4OUPTifvcd5/aoZwPyhXqPUhRWWRp5l/9
YSoerVK4EC+bNCkp/k6mrJgktRq9TYvaxCVK7jwE/XoGlctgTcTZQ62QUG8CBIjQrubb8EyFfnsk
y9r7HACIJ2MWrNHGmjKRIJJjAzYJVYDSBFTWo4vfLh4aSkN4VhIVskh3TdOrD4fubDfeVtj2Wp5q
svSu9Lek9DA0h94dnaKA/Uyd+u+unYqL6PJXkitJk+jptQZd3EcM7TZdjfzcnpvhWll+y65lGA8S
GQ/Gj7A6NAFxUxtdEXGxQ+XZ7oSeuM5+G92PUf+yooa8H9qRqFvN1lTLproPNebN1FEMjUP70R6s
76AGzfPSw521yiGdN0pr9rhdFSTITVkY9C7z21Xt2C6/I7hvn+Y5iB6w1Hfg9+T6knaL80oZ7Z5a
KCAXUuNPeAXQFCw5KvFILl9r8sdZKSj1PC5GXgzA/60qgzcUtFhqWE08ImJaHnVsFWcL0uFxrSln
qzY6pNWNzzWNUbjT0ZTx2SZWALmOGu4waD/g8uZdNpjxO9dw/lL5RLurqjjH+JoftS78O1Rz7ZnX
XPjeSd9jwR+0+yCo0x1zLJbOU/WLhFXrUINxDVHjCs26D0nBee3iYV/nBmVfmYLV7/JfYPTcZlOi
yUJS7Rs+jPM1bRbcKtna3U821em+x0H5NPLAPLEllp9Nm907kQeuixySH9RieFt0fLuDoiA6C692
n73c7xFE9dMrXO8vrPi9M20qg/tK1OjlfW7kFUEgfh1FKGGNCvFYcQGujZV7Hw6H/psVjPWx5eyB
VbiqBzWQwUKpmierKJe7QWSSylhaYXlg11BtxrmaiY8YihwtSBeW2YYVNjpEGefpO+7DABJ0Wfzq
w54RLeLU5r7AqYgo0ZtPVea6SEqW7hOA/w84sxGkSGTISEoX7EZxcHAQVF1CEKwXQHzrw+D2/iX0
DXKOcH0TRfC75Ynfl8Fw4NUY7zObYDOnLB/daqpvJNuYmGYnOEzEc3zoIji2ceVubSYuR6oZGb7C
1WUYpOOG3bRei/mVYSraApZIFWjJyun2hSXHh7lrsx+LbKdEAFLcqGFGnINRcT1MWYew3h9SKMRj
eowRDRW3UuCKdcLmyZOzdZ073XzJywahY6CG4lBRO1Bf28R9rBPiwIChm3bGomF+bD5hQEYXzAkN
0kYIatuoQoYzalP9LAIlmQSu9VvUZGYz96jy0DdOX/LJ4uBfvCQdrOgj1t58XwasAXignSvKqDgh
CoMro/3QYrkeqSY4a4MJgo3FLYylAQrOuNP06SGcK4kaJ/DabwtKfAZ0wdyfHc4xAlQ81+IJuD37
SimUllVhjnYKuaCoYPAlCjUsbs5UMBwtDLnhL0Xg093ZTc3qzp8gAYyYT35iyGidB10OzFf++E1k
LAX3mRCZx4iNx2BhMHKuu8X2N9PkIDrgNTK7T30BzPbnFEPoafnEV+Lp8DGjR6iQyAf2ekehDpuO
Zy0ZhjHa2avPCxjFV3FQzWQeZ7zn0bYL2uJQmtW5hpGKduxcxan0OXynOqhrTMOOeWzC1uUgTvvc
T5hN92o/9MYT+xlU/byzK2qUC7GLFfcr2EVk6rLAyNEU6K6j6I73ePzKLwcJiES7LD9Tw+7t0UPR
Mm3hlS6SKtgB3l30qc3aCFkpJgryxX9qZcN2RvR2VWXRH//4qPKW1EDAZHFYWEh9VXbdHwkud641
qOij02fO1bb5ZzHwNbTIqo92y8irKuUtc+fUzRCgfuGvR/MfJ7Unl+c+XnBnRG7bvrSMVYuNmy2U
QIIp+OPo821ZYxjoZ7T5KNjhMQEGzBzvo+xabg3HLGG28Sx29/uShnKASTQXB3Ye/CC7YQU1mD6+
833gvasQ1TeVwkV1NEEUAHF79S2eeoKn+zZSz65iB7V1qmyMtjFUnWPT5t5pYrcgtqBWuBqDKrHj
ulbIVn5Qqk65nK21dSMuUtXTESEKnrNkyef+2A8uIWbUiWzrnbjOeXHG7aUyZOHuQpRRryA9+eqM
LNHo9+7w02vD+HVZFwB29grzhorC+B8VBqw3J9YILFvHGLVXracfS0YivwEWlPde3EZ7383CTQt8
fDPlKOX+J3tnsmO5sW7nVzHu2CyQwSCDHNiD3bfZ9xMim0r2fbB9en9bOtZRCTjHFjy5MC6ggUqp
rNy5N8n4m7W+JfJD1QR1syS/279hK22sCwdG0aAkucupq7ONH+PUbvtpwptQ3JpIl98z9qpnZ2r2
g1FY65YgxVu/hp4YGvNwFSG/x4hNjC6eZhU82FnaYJxPnM8y0pa9GOimDnaWTTsfP8W1soGpd5mQ
59lHV1cCBV1m2m4OQ2bFIHL8S6fW+v5KUklsPBWoD6utM54+JEPv6jarjpaexEoFcfbVQu7g+Nim
kcl2wp5AXTtVl+9Iyiq+i6kcz3mgzYcqijpyRzDuzQtXI61hF191r7POLqVKhbZjKC1OkIDkGgxh
tQVkxi6mbVPbO6YqCDWEqtoG9uKc7VwdoUa1O3Z0gjUnYOXS2sMa9ZmVV1bDu20FMEMq1wpQUxbq
mLbG+FMi1lrJTFj7xjYZbcPjvktkIyCa0/nvSvIvzzLlzl5m/fQUCPlMjXmvovC2iYiiMeqqObaT
aW2hCd9JW/VkR00bhj/NR1ja5VKr0kFTrMLrCkgOwMncuDUGlPujFzdbhLG30QAjy4/oJQ3Xmdat
HcDj6znotXDG61D33bEsk/IaGfG4Y4rgvdlRIW5y7SNHGlL7Ogk9EuWa3FpbTgy2YWrCc5ulwZU7
du1tEdXJI0JyIgHRutgtMlK76N5ZaJZPDTh6d2lE6JHjJI5XGRawnR+0TyCo3Fe00f6ylWHz1cQy
Xs2z13Id6KZezC5APdF4citYDM5eLDkztUZkgBh4wZ3JiNCy1bbshOTTt7/iAkmEmM6zZglSZs36
v8dlSFCnBy3Uab0rmpdwXQ4SZIn2HvH6LOLJxJ7SjzgW6Nhsq/loXX3ndc6nSK1nzPzVojaruybo
7lMjeYiiaUHGyruIzMe/P+l+KHP++ast/v9uxP3L/7X9WV695z/bv/5V/xnn4AKL57+egx9+Nu3P
6ZcR+OUbfh+BG+IHHf4lZ4pxA4Nr59Lh/z4D50u/ISjIPoA6QeYw8+mibHT0P/5D+j8EdHg2njjO
leVdQvPasvvHlyymLRdpItkKgvn4/8MM3AFY43v8CF/yEkzPtP/SWydBl4Iol9RdJi8QYmbZQrs3
ymrdDY7mGeYHzrEliAL/urYItqnJ66DtGcYv6rH6dWzAKy0iI30Ihi5vFuTmFs+NCXAGza//KlNf
3cRYzu/x+LhQwWvjXUYq+Pz7V+a/3Kz8ctn9203Nf8prj4/+31x778V/O79PP38BPECL+ePyUz8Y
V8OdVPiA2HR44g/CgwHGAdgK9Dl2H5Ta7mX/8Y/rT1k/mEXxjT4JQhfsDAOif1x/yvwBiIiL+ffL
8m/sX36LP/vnXAdYl4k6mauP/T1TRPuveVMxwv0W6MqMXm4uOGXKKdxz6MhN66p0F2UBXu8Qhlm/
boymu6oZksdHFhgrSnxid7OdYcQxD7vAVrisagcNbaQHgkMMGbEbpYmJn3tEiJS4sRreMiuK1SbS
AWOLMTHhG6KGggifiLAzEXT3GiXRbC4qeAI3rhmP39axnhfTaGXsUrAw+h2Be9sZk2S9KGRVvCez
nrEpBEl3r8EaazWBy0nj1nwcpBPmW3zq+REQ5NysbCzAm3auiUxBPjvY67xpo8PgOsknfJg9JsI2
XyagAA/VKMd+OblV90TULTjyKKwRf+JLoFIyLUYLvn7wizjHPVChsiAqYF+nimrbcgq9zk2bNTqm
kHeEzT4ywQ6r5lS34h3TuH4rvL7acbzUC0fn+e8Ih8tt8U9ix192n3/54//8//Q2vFAE//VteHrX
ffz+yxFw+YZ/QFa8H8izXCLVeNKbXPF/3IICyIpieo7UTjI9h5fyxx3oeD9MymSsZ8AxAcb9eQvq
/HCVhNUCkwm7N7Pcv3MCACn7ywj6wrokXZOXwCOCn/SXYXA6KgT3XqIg3znFd84c87W4ODcvIrBt
Zhvhz7To6wIRxui9BnOWXiIWuvFs1m0tN3Bm5RNTO+bDhmVQW+LVIcFksqt5m8zVxP7EU3JcAsdS
5toqBRr0Eq5LsQqIP3gNLNfp1gnXP87DscMw0XS9qNe5Sgn5SR1acoTxZrkBMRmIo63Ti6YYuPYD
75rG7ZjN4+coy4ZBkSM1zGcWhhiZSmScS2MAOwEfA7cu6t64TjCXM8lMI0mP54wBI58Amc6LnXms
YaTL/AcNdt1Ua9uOkE4Tgmi/05iTOkGgi2RMUUpkxWJIjUNg4dZy8Dzc9H5QfLfccgdk8fkq6Ovx
TmVzc0t0AngycxbtuMltkZEhRT34PFldkS7szvTP2A2nK0dMl5VzIqcnonKcaD12VbRnzRTndLWe
9ToVIDcA3Mje39SwM15QecIjQ4pcvZPBQl+uU0NcgmVM1kc8urOAQZxxye9JtPpqBgPgNPXmxfTK
gPysELbg4awzGa7ioum+IyeMn0LJj1lnOJJSROrKUMuEvoh+1RyMM2pERVIP9fTjVMnGJpZimJ/7
OCsrPI8opzEGUEYvO9C+zSrTbfikEeuA+8tLv942vcfYTKGBpkJwy0EfYop78utmTol1kaH9wdlt
mdUymAu1H6ZCd8uwT6wvXDL2wa6M3MPcgbFl2fdpd0WLFYltLfh1LvgTnB+SSEFnU+H4PUzA4Qmb
DjocwCl+LipygY1jpVt0ZKui0RUTq7KzXnzt1f5iZJqGtFb0K3SkrAUsujM8KCy1/ZUp2u7U9XZa
rFgR8hp6VYeEt7lq+rANp3iRTVJyzXjl+GH4weW0IEJArjopIyzYnbz0Ll3ApdRM8WwvRQedpSHK
hrCZuK1hbqn0mREu+cxl5qRfJDsZTGZj5T7meYIKEN+vSXlfA4FdY6TWi4Ed3ItmApAuZMicnKX3
5aMvCYrAT8I8AGBXyQhLTuh2GMx14TfswGEi9IvObTXAPEmvRzMlSqL0RVGvirHClVQPOQFSkD2Y
+oomeoJu5JMlL5MA1VYDXWORaHt+ArOPDzmeRI05dWqtamk0zRAto1yoaGOgMs+WOaB8TtJk0Cfy
7YZkyYYbZ61b+/oNnZn9HHiYHFe2NctoyYYwaM825qdkgUF8aDapa0zVscxVIffwudFNIITMkw0Y
nfyD9Xyc7jyjZeie6Di5ngajA3ZKQoLFnmfmc0fPLNqlZILgEUrgz86S7JRwWDU1ePQtugxE2pUP
3GFZE1I/HkYrCh7UVHI3m3OJQTGu4v4WOUVpHWJDZs5uZFw13I+VmVpvrScSa43+XOYslywQAzVy
5ZeGiwEyD+kEKMgau8+XAgpKvaT6mRIP0yna9YRRJx/SdZxGTnAbDkLFiygw2n4lNGHVp45NuYWe
uJDRVWr78bcGRd4votTvkVUTssDnG6d2u0X2aT7ZlHMeTqHR/ynCOS42gwuSccWYPe5YSGUeFjDQ
TR0mwUId3HROxN4gMjragKgww/uZdA7Uf0ObmjvpJkgYsyZ1vktD9Z/tDHTq2Fkm1IiicvRzkQeY
XjvZSIJ3+m7O1mNb4iVxnIQMcbxp2F9IB3TDWzHla1QqkCKAJswfTpCj4OoHDhFIHEPXrSrPmQWK
wdh+IJkobJedaeHXwYoH66pM+ibdisxEjkAglb3gx7bPNZ7gD3tIdbBuSmxECx1crPyBJctiCc6h
xDXrdB5BLGPQWWsVMZTcXFRzq6bD3L43TEN9U2mO7jJGBo9PoefZzUwv8pnFDIA3MAlFpeICSnum
4bLGc+T34CU9pmQkvkSjj2A6ciE/NIX0XmIe+9bWoKP6aPC8NzwyEtdcNRhD20M0B3reRTG6on1f
VvqzbWoofqOu5wfDCoKHVuE32DHbfDUUSlaZy2TeZlHoHuagGT6crgyPHSIU+2Kbw8LsCGQk5Vg+
NNLT56Ft82+UC763JVZp2mkj0jw1+RGfVeJU32gHmDtklqk4QoasF0sLezoDbtSoSGshvr7x0Fbu
Ar9m8uJoaQ0PWLe9u9lz9bOHlLtc9pinblgeY+lP52BAoGzAvUK8TTIuH5CDK47PhQC6Kduj12QA
D8EBcQfbatKRCpXAXwrSSWAxctH8LizdbyUBIff48Uf0CwiIg3XkZNg2sBqg0URT5L/2FeFva+kH
0Xvadmz1SmwgaGrBxrYbQDiWZFQ+2pJ5YzJ/8/v0DVlVmBG2U9J7koG1mdSrCXSuXnlFM15HDZOk
tYttjSE7O/Y3SwLM4MS7YGLx0/njPkLn6P6uEfqvIvg/+Bj+XRF8V+bvxa9V8G/f8Y8q2P+hiGCk
DRUAVen5qHV/n4NQBVPkQs0Cyy8Uq1sK1P89B6F0diVtjs8sBH70n+cg9g+YhRd0oXTBbNGq/p0q
2PmNOP/PZlRRe7tCIWFzkSwCNvyrjCXLPLB3WAaWcZrG1avosxw/JPlpaJEXBsVScC08MGO3+Qyn
bCSDplJVt4LtYeYPHogT96qBrKA+CJ7R/iJwMcUsB9xgOHM58VGvAXDx3y84qAk/YmjVKFPtyDpN
Jnl+mAPBYibU2E0YPaRZ0BnnMu8kdlI7z8gPKFw7Me9KU2XODXkCltrXg9D3XjcwvaXnuIFy0c57
YErymRkTNroxr5xwM4VDfq2CtvZWHSi3GpFQYZX5hwMSCyeftoshOAUqbQbs3jYRhI/mZGN4qz1z
IjnDB6m9sXGZQtyAR0KeYGRazsrn2fMqozxwNyT59SQJ0dz4bCt9VvqTqyu9nDtq9dU8cj4uEmge
QOysgtLSMzwDWCkqc2MToqeuVkXbDuEZFpOPY3PM77H2zT0Pk3Y4mdlQCsAsPRpwfoX4TetZ37FG
QzKHCW9E19EX9mZqEtdb5wMH3EYmKU5OKnqLAx0XNUlzrmn1GYm55fDCg5rkBztuVLzOgJeBV+0M
QKxh18mf8aSnpxQtSRj4E9qkuOX8bEP3Nhub8jS7uZLYu90QNGtshV80SWmyRUF9l2cm7X8m2/Y9
ABW19GEHLBnGyFOk5fw8kbyp6nqpHBVWB4Gsu7k4pvUxMVoWpIZoskcsiP2+qrzszEKTnU5gCftg
UQZ/hDbxB2AssmWf29mn6RQ4Reu8QIOfAkO6VljKsJVgTYecaHXOkbo7ecuAGRDHmYwBzIt8rvh1
QPh+o3UQ5sI0wpH4q8bIoq1jqK5d2TQp93lfRpBfcOtuGQwNxFSlSPtJPDPH82wQaQbnBxgUKIuk
Q6OeMNVBbyF5gDsQKwEFt+G0hgXHesSUmhAjMp05Mp0OA2cmcn13YfB0Cyv2yueGSlUjGePVg0Sp
8mu7xUa21LLH8wrPpbgqY+PyUkevmzde1DcPRR3HX56ArbjEp9Y/o+Umvl1X9vTQMTHKFgx9XIsR
Y60NrMBo+BGkNuEX+5rosQEihsEX2FO5DUYcgBdAevVdt2HmrdDpJ7cFMS0auW5r3NYFLAWQ4TJQ
YJdckGDBBD1+oPdo8SbDGlsIo7SOuU7gERWI278CiqDppKN0IA8+tt1bDGrhI7NX2SxxigXbKKbI
WqDItV/EFE9wyT3sEIDI6uQagBxqWQYyzjekjxAzPNmFtBXE4HLcqX44hYDHH2KSV+8AzwGpkqoV
+7TwA8TGvWyfDXRe+kS22URrI6WxsEiGPjMjckrstjW2CTPvGnMt67SnYstd85oEjsDfJBruMDiE
oeoOAm9xCjnRaL+qwRh+lnYzZ3twRn5441QEpC1my5zYzmueXh/21OLTy9lvvZaqYm4W9NhzeMDR
eC4jO08/vRBg2QYoXeUuO1hAj3rsc1xlogCAjF29ydd1b6WPFiU/7Vne5c/4pHpGAHPifTZgu248
Vm4JTKc6DNfg/+1yk0OvKghwq4230AlQOU9+Vj0oCEURY2kCtwhoE9E30WkFDLi8Kl+ADOj2oD1i
m5e1PQYnUkRHb8OGfZ4pzQPYD+2FgrYhWRGzaNvatA5egsdr4bqj92gLjIyLEOJdu8HSkF9d7lV/
Ezm92AVjIuQitMbkpq4UPYQdZ8EttLi8WUq7qG9qXYcvrtAlKa0SxMaOH0pq2WTKINi3Eet9xJIS
P3Rv+1O8rgWMoBV4P4YF5mCrZTPwVFvhdJ4lODUvyTZqQJ2+BB8FeNkOkWi5ZC+jRwhKt1mNEULD
pUwg1S/YihuHSpYVAWtFO39CxPIeS9Hpn3PukcqmxMBSmCC6tzYBxgWqzi2DJW84r90dMB2vmjxM
71uSPTqKW8mwcfYtVDjwZab7oUuJwRscIyXYclJFs0pMaIs0hGh7yPgpgnxjl14OPyvyiyc+NWYY
TlgGX16fMC/InJncDPgkiPMUr/KxrIvm2MHIgFGAwzFHDeMlxJTRodyFc+GNa5DvePlBX3b7aVCi
XLmAjO5mv0V2CtcT1vzU9OFzZnbhtSL1McOElcPqwFWKVsEcy/latoNvrjyblpSn0zB/kU8xHGKV
0FB0NLTjkp08s4dpxihsGC5uak5UFErFaL9aroY24Wi/BSEweBgHvNmXz102WXeGWSDaFUgNL5rf
Su2gdSJ7pya3a8YIZYg4nFK3Xg4+y9qlWdjmu6nQrS9aORTdwity9wZzAEcMfh3ZnsiWrSAcocK4
MVJezrIhy6VjJicwF8tI3M78B2PDmUUrP9mx9cjBVKYHPOuCU63p53UcxbZBJAFU2UWBOdRctJy3
1aYMmylakRl1oYuzOniZCQ/M15UrjSs/92f44bnHVZPXkBxWKne97z7MSizUNeXQwp5Ji104Bgh0
/o4gI7PYFK8hE4+bCmI8Uc5DJbi/ohmj35iiCPAqVj6rwHPie585VHDRBzfQPSgRsPLPRXsMqMNx
7LU+2J9oyrjfaD/Tj9kZk6t6FEw4ZIl5mPOBTxFn4YXhWchyOuSp1W8T4rxqMp/dGuSZNyHAuZiF
gJ0lwKGWURikL5YdjMBlLKc+gT3g+ArUTJpCrmE1sor21bNTdpDHmN7bj2VKgjEqKDED+dDG3G3a
YbyAVchbkGuYTQOa5YqftESSUjLsAAI/7+iImcJj8w/bVYDU8sGNgbwv6oj3H2owus7Et+N+TdkY
y9NIuzyuHeWKbu00BiLQwWUFQ9xwLz46Y0Rz4NP1vMOjD9/02Fn1IXVUy/AizzS2Aa817jKrbFCc
exEEwkRD0txY5Eiyj0ZOehtFRhMilkOOuM9l5/bEIXqXW2myqlXFYZCcrEniSO3i3oGt5zWTwfSz
t+6GabLvyJJK3waVX5CFKDq3TkdCxwb4XNYuY6gn7k2OyQsyaufYDCpZcI4maVopGi0O0qg+QtWM
601F0Fr0mmFJvlDhptD1by2obORToirCNchd2hVPfT/QbGK6NkliBfgs5iezyUfjA67RnJ4x1Nb1
A4GvlJ6aa6v4gufAdMwhitZ+7UpYkf8HWfZfZuJkS7BE47136FZgfruXr/8puSZIhOGCfKNZ5cvY
SwAq+ij9f19b/rIu+QV5fbHm/NJ0sHtzLOLxaJQkP47NwJ9/DHw56LW6TtnijFNB4ZCN95bSPB6p
GbHiY6muTm6FQpf8Pmo9hIz1KlBx8/Bbo/ZfPet//JY6+K8XN/dZ2b8jhvh1dfPH9l6IHw60OIvt
PU9e3xR85fem1XJ/MFi+fGzs0NnUW39qWn06Uwxq7GYEiV6o+/9Ynkr1Q7FgITaEiDy+B0Pc31ig
8o38VX++gHhBAGV4Cc5lk+rwGn+9gFjMYz3Jqh7gVi6i18sYiyG/b/bm2uiRuS4rtoCU8L6LHKax
nezLSy5gzA4ZV9+VuyFOp2Y5+QF8CyMT3nYO7ORt6uNiHwyifmVU3yE3YuYc5sH4lCfwhRpzfnAq
Zu65M3Wrdqzyh9lonC1WVAobW6U/wVckxx5s1suAEvQuAbLG3jE8UXYYO7NOx7Vq+uJTAFJZDcXY
PyERduBOOMZtUGnjhFCNxhdoLrBxNeQ7TBnAgWu3OUhdMHN7gv+Dceoti9QmTuQnvJYbP72J5FMF
O/22nPv68mzo9zMDRrcb5Bf26PxeIqfGgIImbtVQrl+pynI+QoIi74jGmm9VErkvGFlQRKtkCLYA
yKZdngwuWcJkUfu9qw8JwF3Gnp7GIQ1EyvEHRrOsSswu8XZBiRSwrjJ304Smu/Y7+A8DwY8vfi/k
VSAxEvSItfNx2PZEhG4Il6XBEd5MeEDy2KkK1Z+B2btfu6glTjbH7zFnO7wpe3q7DlTjqUMduw3Y
aLut82mlTgfn9TeNpTOeezsvTkEqAI9LdIaljG88lGPIx8xxw5wyuR1S/0kw61yOjQm3DWrpUmUd
5vKQROwyADVbWe0B5Wa1MhvgCx6/dtw4BCu7xYPhGM7ZjypYRaUet8pxCw4xAulB8YXPw4xth3V2
gya0dR+T2HmtzdC5MXQQIA1T9qkMCfQL4phZpDf50NFwjW+Jwf0MkopwlSlHyObMxgGASLC2G7t8
7/InF2NZuCQj+tY1OnEebD2g0tbfFRIqDGZVZ13nU5CugP/o88jrWhvYUlZuMZvHeXT6mbdBZ3fA
fDoYQH2+U2lYbPu5A4QzhXwekByfrEENT8Br+WM6mc8A2B/JWemPpsrDI3TI+oDktd8I+Lsr6iCW
FixB8lqYS2+g4qiADk1LQHPDAY+C2Lh2JN9wILC0jyZ/FTWVeZ6jelzbUMW3QEHgjpIHf52UXn1m
tYKvX9dJXmCQGl9R+hIPDJrpuiwUceE98oNVr6dnk29ZzmMchvscYsyitdGwBfB/dhnDiCWQEXXd
+KOLzo6J6RNDTqoTdO8LkGXwFWYRwVEX6tD5Bjq3aq7IAIiDxxxFLgV8Ox0Fa9dNCoH6U0tof/Ba
5pWda+tRhjbEpCA2rYVyvAJ7RmXtLbOxN2ylXgelTYqkAhxzRtBTFiZ3KL6tfmFWg//F1fPuJ4i1
WbXAWRpKjBD4xOgYihbJnixRos7FNqKsI5yrhBA7u2+zF5G6TBSBv2a/Y3GLJNEm7+v6SDS2vwc6
cGF01znL3tllxiQVT6ALM5lU5va6GKrmPo/j/mCqElZQmSZrwXby6FgyPyJbTHBHWP6Dmwz10Q5Z
TSF/UbxNxiQWbiAgIA0Cs0dZiR1LM/keFUCdIale4nqZqWRWW22cCBuhJypxD69MrMNMnsRcngm2
iF+F6921ZfpqEBK0rspUXClpVKcoCiNAvqxekMlSbLvXUZGzY1BNAV/8MgUfQJqOQw/8vGUfCmtP
rxo8rQsDWS6vh8YQoWB6CoRJNxNK9YEAeXoc2zE2QS2rewZpKUAQM6ScDpx10oFVrTmITk3uS+4J
DWue0PRxXVZoRiiTb6BXfsRix8CgXU9KbMAPvYXGDhdGtHJLwaQsVRtIKx8SLyy9dzScJnSqu4hh
QIJFMTbu2P3M17Y3oe0ihiM1BmpanyA0TFGkMIeAvmLob1FD6G5fDc2+yUjHpmV7Nugf16aZL2OH
yHCIoM4im9nZhckN+rcFZZOxsi/21NASxb5zHSiRuhA7f27vpRdfTxaE3NLpBTrRNL/qUqO/Gbo4
fDYDjXpNGG9soIAXh453Q+lqw+go1nEfvKAmJlzkssyZhA9hxN+htThQo+l7NScbK0q7rTGovdL1
RoeGeVQ+/xZMIXRRMwRRGU51uQkH4zDa/jcc0hvGX+ka9laAWCh8N/2wWhtgD66SuK4O0o1rmiin
WzSNN3/qvk5WDJXIfXGhx4qoRm/vQJVLgaouRODCQWIg6dRMpxqRvkZVH66lkYsHoyB93swg90Et
/ol6akTLb0W7npjd3UzqwWvsxt6ppdlaG2yoF7KWx74i7aNEk5AtaCsXI7X+oeQo3yeeqjfhnNYn
FPNncKLTQbEDbmzrlptsAwh+SJeCZSWcmysLTNh1B3nMd2ttrUvR2/tpHpAxEC7Ndqb3su3YsyDa
uBX4RDZM0bffB/2jY9nVLpMDZJ3ZNq/KIXtDYGhvQzNUexfq196Nmm8YGxkzPsph+CGld59CCloW
Hl1JW8fh0aDX2bZatXIBsTNdBUbg3NVIB65Cv6tuPOkqBmuIoScvyu9QhZhb1tnuoZt1cGbR5m7q
uqtYVWXlMSLeam/EREOPQ6tZ1ibGo4nJgJZ0gLM6JZx2eibnYWHGcn70w/jSR3pVizx6mrGjTKA0
m3qYlopz4iMNHLVQhpYHvyhJcWR9/5TMXXeDUYJFuZ6GL8xouHJnQ4ZH9lnhOU9Sb+2y5g+H/qRE
Zm8Yx+1wdJggo8x6b5I2tsE6s5JJdO8gmP9KB8kby5G9z0w7P/W27tddi3UpMAtrgbYiU4ssc10a
cSO4HpPJ2dUUWViRhYcEwAvfWmOm1PP2MBrI9pqOrgL6J0kHqenZmDLZlVMvU9ausIj2NfS7xk+O
HYho6CE8vAcoapsoyc5ONWCpmuxD2VdyYbgjk+PMXsVpl52Y9RBJ2RbbtBsPM7FHt1PvqtsucPPN
mA94u8Lpk13sPgD+iD6f0e50M2FGgthnYSOxK9iNSfiKooW17AgHKgYqFgIDaY3pSNJOsiSNp992
TvNspfO5V6DbytxhvN8wBWSgMzcaPY9+99k9Lo20hwiMwd4qmbyb2S435D6b5gJYjrmqff8zsny1
wkqULrhHNoSccAI3nb+NvJA0tuGDCaOugAdyj1rjGY26w5gc5BaWjzvA13de0GzckXdybC2SMhJ5
YsL7yOgg28DuYg+uqLjC8uhNWbWNi2tQnQ0BUdj7wgkmLsyEZXIB5EBzhJYd9l+NJcjhGdjnmqAl
F3YGscpmG3Fh5y8QE+290Psse//JcQ84EM85ZfeisK1kbZg5+m+X199jV0wWveY9DvAscMPwkInI
lGKuh0nPZjaP+wI8kYy3MrQeMJ/tLBbHq5le4jqI9Fc0jMcx0j05nLm7HlT0pKV9sZC/2UV5j5/x
q2/C7yCtseokuwiwF3a7ZoswHrRZOtnIyOLbADXwkq1DfjJMKOiQwKpV13enCTvNyjLzA4E0m6hz
JeORLl63A7V1xge/cFPHu/f5rOkGeqazdroJ++cIBdCisqz6aZ7CTR/FV6ETclhiO1Cl53I6A0Ut
AalPVf0UKkHE66ofeZ5ODnM8kjVW8Kv36HHKg8Uw/Jrh5kD2HY9NA/xy9WFo+wHSnAEE0opPBncy
xOND1fIxjd2uaeqHyonF2tJewTTRYZqTJVeFUzQHwyqc3RSFEp0Lx8lLxRRz0YJP/87mxHnLxgB3
q8FMKz9Q7fOhlnoNWb/EqSYwo1RXKZchvcUInzRjCFsgBIh4+qvmJxPheRPCbFiWEORcZhYbu1bz
ejITFLFxgRmuIfJSu9YHv92B3Ntz3gNVwMDbX5t96j1qz2WLAMTrSjVOQFE0e2us9g2SnK5eNV7j
AD3o2mcraTGJ+P11zkhwE4FB3Pa6No6G05hLNfv5ufZD99HD3o18y622ooRzp6u7yR552VgmcIg5
VgNbGrgxSS5Mo957jXbM95AcAZUz3enkDRXzJb10pbgqg/hQESeJwLeID62HIatPXqeGlLNEOwLA
WU9o/eXJNPXpJsWWxDT4Kiaw8tji+tpETc1YRkgXFMtALqE9btysPE8XvKQJGVqO87n1Aw48U9qA
zzK9a+ch2Xe1d8MRQObAHBz1oMt1VtbjswSyTQk9/Cy6ZKTbCc2FBCOC4opCnzgXHEI9+NG6Gbdl
hMuZ/CNAhsmGLtLldq4k90n8kjEb1/PFeJ27TXDdm9p9aacWqjSP05UyZAusXX9kMU4TRtD8Xpmt
Nj6oqxZ5h8zyJ6CAPMp997u3/HtRpnechqsijuWC+xRbMk5g/DjmY8Z1vuhyyX2cYe8MBqy3MdKJ
xcyOihscgd6g59t8GNjnFNm7CJFniggUeppAjks9Ha/NeBafDi1/QRePlipbDoWzNYvgUKTEgRts
OtahB0wudKr8GR35mtW9dWgdZ+WkXcUpzMwVgP6TsEIC7WBCom5cwt2EWAemGd3euK8uyS9q5qGK
PPKun5jZzY5zzjy15gEGnMaI3MWUOfFaBwotKAPpgSn5uSndad3H4lOL7onC6BpJXnCj5vlWOPHR
KeSrSGq5ygqqn9wRK88LAqqSxNpGGM5kinA8kwV1uSeCdQ2fnFaofCJLiwCwKDLPthuT2cLhu6Xk
rH56EB0PrH0G3kRc2uQL5vT2kDw7lDFcxWPFbL9lF76fCiN5KaF0nJnFdluFoIbVy0w4T1JN6r3I
Z7FtXAmmIIcGBt0tx7g79/YzyEbkoqCGj3GSENUUOcMqCTssQHY4b6co9/dNM1ePouMeC/IWCoPn
jngETUWByVQWxWCCoZmYHuc5N7JBbjo/fokSzVBg5imNIVC4ROKZ03QF1nGi2i6KRybib93Y5vsw
KfNDXZICllboxAiq0dTvrGS8UIRLEakS8rK8APa1WuEXU7d438H7pqW556kXP+BrTTZ0eKwIWM44
C6XB+l0WcFfaFnB5PNN4H4JU33baL5jTa+fbyOn5UubNZz/xxwd2rcXODDO2Q45zIe9xk2KjTern
uB/NnTbndM/N2F9zQwm5NF22r+HsQTlvZR7cW05gAHgg4HPtVkV997/YO48lybEz6b7L7NEG4EIu
ZhMQgZCp5QaWogpaazz9HDR/ktVN+0nj7MZmFqRZk12VkRGIKz53Pz61VfqO8Ctz82r1QI/VlKeM
qTiG0/VkcRWg2Iw7PTNW3RMokewtoUWsOZT3JN0kysFB5JmKmYa7ul7jO3rbODi2eBTApBJ2lLrZ
6URnfLa1ME/K0NlH3sUkhdZnlo7WjfzQFXTUbiSa6Q3NyjZOEHjj61obH1JCQ+EzVmd/skXrN8Nk
nbJstmQHuBxd1JJJjDOezYEawUy5AQjeeKNpAZYuw2485dTqvRlLIV/aqO+dZSRGbUJxOWYUUSHN
Kd1BLWeT/Qi0Mc6a9Ak/3UfD7O5uNpcPXWL6V2kmJRZ23B70EEBgbovImWKWq6wp6eTpTc3T6U4G
oAuybnAbUVwKTihwuxnRheuhwmE39quDAdMhpOHDaObFxo+aZVMrRm9XjTDxrQ+mdeSQb7uSqa9A
NBor0Ou63sflIGNk1sVb2QClK7FGkF/udlIkOFUyS5Nuyy7uESxn2A+S3CVBSz3IVyVXdYCXVfqs
cUX6PaLl3mhjyjd7W1OfsrQwHhTS8xhLbJYrc8vGkQq+X2UmSeSpU5LHbXQLr65y2O4lVyksEsDm
PN7OyoTtFu8O5mU1h8ekJ49RHJrkfud4X6mduA+HiEUgVyQml/ToHtZEySEAGFeVykNewkxRkltM
4fSQ5QRNHDR+2jmwpOAp1ZO0uGILBRikx8plthpowUmkcf2qwlQ+aGWj3GBim3C6RUt2JgYP+yrV
pHRvYkK9jVAp7zVGNswE9Hx4m8AdbY3eevQ6sW8hg7EmPMRGCrZWtyTClmjIER1iBrH+HCL3X+Ar
/5Yw8D8uMqUB2fn/j/zPw/yj+OR9jf449OcP/cWpZvzGrgfHSEYBskxB5/pfh/4603uG7cTysF+a
Mli7vznVdPk3aBG2RpbDRDNFNf370N/+TQP5D+WOmN3mYrP+naG/+J3X9YtoJCtICgz8DUE5NBmR
zZT3q2i01HociSHSUJvJO4hhXrweYA+khLz9amrwS3PN0JwGL+WOyT4D2kYSXgq8zo0VvshjthYA
ROBZki5Q92RQrGfWvk+9W/v9qkzcQRiX7+yo/0gK46M2w2fApG/rzDCt4cCCjPtTqMajvLA0Q0zF
4Blvk4xW1E5f4oHR7SOVpvemZH1rFPKyfNfNYV4bk1qx2HQNCyeuqtJDX9q0mECr+Wxme3rrlXZx
ZnhiD/OER66GjblbI9m89BSDYcVYSm5J7I4j/n6v7KuM37Pb6gM6DEKAPN24KrQblnc7CI1pPtst
q2wU08dIcckec8aTVYbvEWfkY6Zmd5SgEf6SeZWOrUOrSvUlOw60oqEBm4ZD9fa7aat3akyR/ciY
2oznHHoJJj24JWCowxMVqi0DEGH50NE+9WQS+wRzgMOcBo6GynFs6lg0ZXiUWMK4zTXoHM5KrMbh
3irzK1kfUw8WaJwSsF9G3B9plopOKKPvZLkZUZit+gktgo5VsGt6oKlFe4pToPB4Z4HGTVQDMahm
Iy+WC4llCbkHtkTK2AwfPFmLJV8PhSWdp6RT2Lzb5jpVJPh7K8XzvCyTSwTgnuGrznwWZgssCwo5
E/WS613KC8Wd0Cac0BpOEI5et8+CIogdVBmL/9qEIbt5AmSSE0XgFCoP+jMV4I/yGOKf0efVzWOk
nbrv/UxZLvrUKc7EhnFVw4Taxp4WDt7pepfHW5eitAQ097DAhQUxPmV86SfOvpraPHQKvL2lGy9U
P9AEVpaVhzjM01svfo37T99eQWrlHyHdR32onPWmBydDb6nTNPF1HcOcEgwVY2ZksE2nvHt15dea
/DZsafuMYa9SwI5lJTjlTDN3NMdyOLJxd1MStKN/+kaKyicM0n5WcTlTZ5Dvnf6SM/Dz+9CYqeex
GrAi5A4w27ROq3L0LEA+Pk61HFiCOo421L4jkNNOVU4vBlY34rGMQuJuxgnDaQSXxvDWiggOwBw+
6BKt7gnIHk/AncRTa2zQ2aPaWQHCIzz0sDY4KpnqzCsn0JRUfemRw+LmCRDvwFQIa0rSvnWAqlBb
6GxZWjMM0gEtpe0ZjI/DHIy9OMgA5wJ7EftaL2nY5Pl6kfv2szfkzFXKCrvJ9iFEsZh8Q2oWPxmt
d9w1X9bYPCE3qbuZoY5r5eRXOl7TDvOIvcfPb3BG4nXmY36t7RnmlMYbXXVYVQduuyM1wBCw8EJ2
pbq6pU17W6pX9k5sgYdKSd5ZEwiVMDjhfKTK2MizF26rQD5ADromOCGhp28JDSf9Wq8gI0aBHb/N
sV1QgDqCYj6wNqp7rcPVX+n0W9pFE4+ugQnZt6T+qrdco7GsOv1Km53FiC7QkyHxEe8KGkJlrk+0
jtwvZqc/mvQ1uxulERpKjq6xsvpjtFxOyDAHLrwtXzUj8dIc7IcKkNYbOIEh3J7UEgkolfA3lR8a
bLl7pL1DKKj2k3KTlueCEJa9yuYOI+/VjpbPNpwyeCGrYTl6GH7HEQVhTc1/EvPJxnPpRA0XKwBc
1DsM69NQmp9jWJxzvBBQvCLYJGkjYCU2L/lEvSdtWwFdXpFXNPLnytRun5tG43R5Gvq0lWJL3gzO
0rCcUlOCr4F+y9eH16P0MzidxPyRtQMCZc6ExxLjZVbn72rB+pwSnRVTVx1ERELEDCfrv3Hq+N8I
GrCxBFCf8M9OLyfuN2P168nlb3/o//nsld84aQDdtSwmt4RDsQT8zWfP2QGTuiBVyjphcET5q89e
/KaaQggZEz4+FEzwfz+9KL9hLDDw7SsqmQ98pP/O6QXLwmZJ+OX4om6wAV3WZUPDhE9Ik1/31+ML
T19aINuVXAW6+HbuBFQ7JS8OMOjZWyhIAbjicnPYjMeV7LOq5s+mXn9HVf4+MnrGwPiRykCm9KVY
PViddOtVo6DPzpB2M00Od1GFqDLiq0N2CR/nFphV300fA2GznTWzwUvNdBOlcL5FGcKsHl2IR6xW
bQisSOLkZNEANDWqs9SRjdKm3KgwfwqZ6zf8ckq3JOVitYn60E7HylKOM0ahYyvFT9T6/FBTboQI
DMMVrj1R9JLkYUhwfGcoOlJegixmcOJR7CnY6tXKWT/PZvaqmspRG9n8uSuIzQtLM1sReaO96X36
4AwGiB+IXHvw4oOLC1vjrKHcrV2jHkIpP62L+Yp3tLpyV7gbFu2B2j1rh2hc4e6oaIZCwGFzSLg7
G7HfVt1tIQnpqFE4OVDsSCWgvie4V+5tGMdW1u1NyN2O2nSMk36ftBrPPbnatd0kog77rlk7XOop
oBTiIYrmK2cbYKbVvWwvXjPUQYLg3a7tIZlnh/X1YMnReZQFHL7hPNWk5xoOEczKnCLlbJHWj2Ba
+DcblrquKElkiefFhOuiSISAgGXs7aJ9UmfV15dQCvpVLS+416CkyJIndW3iwc1HPY2+QPuw+6x7
iLQm3a2xeogb2FTYQw9lzBCUQ01Z0DauZQQy6UUgf8CwRdcA5ceph+GtcCiHc0nQHbBhB2rZBI1u
XOi48hP8/hSHVG6kYQiLNv5sE52mGrovbEN7J7Xc9sCKvioKPsas5HgujfCZFGISnfkjsUJ6g2qo
cWRYdxW3bbx35h58wNeoKefU3pBQ1KdvUEtsfjTd0fjFfpjvZVRW5mhxkFInQaPp8pHLy7s9RUhe
TecvQ3leGR9KXXZbGMNNoxhu1o2PIaURoZYD+S89Re3Zn3pY1kzJkhpuU5Iyn5g06xN00X5mv/ON
krpmWQFcmU7IV+lQHSdTpsOkp7RXPUAPOYtqPhhSNmFMoIskG9gqa02kPs/Pc1hyjV7zxrUG416x
GApl0zZWaiKvbJsgm7kgIFl5y5px/FQxD+qD7RY9nYGpiv9Uix6o5/KhJXrmEr7QIsZZXO0/GyAP
DGi+NFV6psq5oRxPc5dR+1pN86Pt+lOkxl+m3GE+nvVHFUDx12AkD3obHmbIsUJfzoLzYrY0AagH
01mWxp10wGWGctOW9d7M5jtb0ploLPa5yucnOEFUJaheUomHRo3uakW6T0qeFptCQZBjjo0fRk2J
EoaZ4lv5soeYljpabr+IqqGtW1y1LvxYmXg5tCbdESaF3d9f+roO1rRCxkxh5Eoyygvj2tLWg7Cu
vs0+R5X9VjEb7eSuepgU6djRxQuMmaB2Sy7eh1V3gu/fY0I2qKGetmqzQvvCQzAeTGwQfj0/i03/
jyp8RgVvcLsR6Er1kX/IHHq+vKWj+GJV33hEQwfU3JVUS+GlDRKDwmIDj+OoGBCXyavfNKlSHoxW
941qeGzWjl4ygNBKRLoaPHdWKY3Tyz2XE0XG/sVwifR9/GRhk9nsZk1mvySp4HhWIdZZimuNSQAP
I3Nt49kun2LrqbCQ9+h582slXlxpEtRy9iz863iRiT4Ws/qcte2+p6mhs5avCq9aT2h0U2E1P+ns
NOjASXpKbjgo9UT6kyu3JS5lGn4fkIYnYZhMtMpdNaDaCL66u5ThDYDvJ90sb02dL9tA2eQuBOG4
W8Le4FItDnhd3xJTpw5zpZ0EVpcwbumYeMF9NbikuYnvRLi/SfoeED2vMd5Mh+j5d1eJei+iAt92
ld4N8/hecCzbT5js+fysJwbRdzYmCH4S5faGXnyQYaEEtmjvKpRY9Dym9DpLrrmML9PAP8GcYghb
gkPuJftzglW3G2ZxnOTylqUAqULiOpEp6wMC0nOnlZ9GZJxtbqvcF26jIn9lOT9Axjvko71SoMvU
TRnw1g6BOnSyExKvNrmS7MaEtztdVD+vAS6wd8BHMEpqpGGqOvIyH40m+ZQMYJMGKLXdak5unfeX
RbW+AHSV7jgNMXcY8cwNElHVyOlpSOubedLOnOI5Ikf2z4k4n7+oxcAqrzCIL5MIECy+5KqJ3udJ
fiXdcFy1Yt9WCUz+BiYsTXpf6zyeqoHcNIYnOJFQtupxBmPIyrAzo/KlpIEVbTm5TcTyXMjSD2bl
ZHCm/qDhy+8XA0QoZYyhbd4BRb1oVX+LU+mjWtlQV4w/YNqvmqKDU8QX2HfzybIok6IRCUwKHDu2
8s4rZupFTcOLB5JtFHfUO+7Y32aq3vJxPrFwtecsq4NMSICcQ6vGIjbcm1ONcw76C193lgxSaw4o
0x9zpDz0YYpPSxpPvV1f2ToyrqQ95fYh8Su8vkXfcaJXK4CZy13eIklNGNx9rcpuGULRE2TdJRXB
qQEf584ec1KyGol8XA2f3YxgAa71RmjZV6daR1pOkDowGF44zVBQbYOSA1XyAqEm5fqDQI6Zwati
xkF1Ut0ndfGqCKJZJfantkIboDWg9lZAwpYyXovtyNUPZzWnPrXqfmL1Dirqr8Hyi59Fhf2utU4U
3zN2qAu+W5O817SRPp1IqXaDOigXspWUufPSYycxyOsSe+t1+Zr1CO897ma7h8JNnp/lgQLUYvFz
QhEOdOUDii9jjWx9Twzrc1GKng65wdoNunyzQFC16/WtCvmcDCXlr66gwE4pH0n20alafBLLzOiE
PUK1x3vBDZS0YoHpwILlt1DtyiThnHSF5uDVYvg1gBKYq2Lclw31gYguH5Bzc3SyiRLQVfZGA6PI
lsYvLCoXtRGHVoOJkz6pw9KUX81ooDzYyaWJCCkqxUTrKUA5g7ilr0Di4L6bPUoJ2oUepnsWssEL
R5z7EYVQXkQhH+1V7ejWESJjSwpzh+2exVbXzk1RDExDWDVS5biMbejEIfbLuRn8dWnEXmzUrkaF
p1D0ckRKKWddhDYAFBOLBywYfm8LImR1LU31Q6kxGrTsBT7K7JV17jSK8cxKvrAkJhcu8R9mzscF
CYFGaXw4jI04b/WpO8gRDW99L/lFBl4lS2fdA314YyzUCuQ64rO63BtD8jaty0WluLPr0g9zIE7Q
mj2vRs9GD/PTFnvrIKPaCZmmpuYoEALklwmRe0pk/qjFYHisi4mbZsvNxI6rNWkwaM2lqUPyLON0
I6kidadG3PUzC7NSysjiVGRqoj9Zc296gyQ9FNO8X+YeN604RtVC+9AgvmtTU07mPD2AjHnqNMtr
JesnlTa2Y8y67uQ1wsNWGlljMdQLCDT0tlKjRIltwRYurEqgmGazM1YmA6ZtIGcv09vSU0iqmRBY
YDosLQhvFtN2RxOdmxhLeAB6fT+RJuSQ/PvYJ/3IKOdWqOAG7WdN7qpOV/A/4AbTVHNoL1x9hrtB
Jmvs381wx9NH81WoftNg/hSG5SFFvk0L4dX4ghxtWR/JWYP2zJvHEiHNw5Fx6tTlVTKZdNBjToH6
vDyqYXueU/FIgvfGytb7rhxOPMMFH+v0SNCocVJF/+xshm7yJldK81GkebDo00mLxSFCw8dkssW9
TN1bUg5UWjXQkIkO2RbSD7VqLiRUY84DOfwHkgsR6cZdj6l2KhncquuWuulyVx5QmySoFWRZw0Cn
dUut7QP4mJ+hiIe9bpImYldJsVnswq7Sj00Bj8CKUqj8xfsgZWRn7IOEYnKGfVPsC3q9jllsXDU7
zZmedTvWIj/K0kvd6AHHLk/U8WuFEnTo5Xo4yKS8A80yR+Zb8hA0lHgwE471Q6yzXMMeHoIFRdSp
WVaPULNlhOp8OpJDO5JNArCtnRaSq4xo7I9x4ODa5YziFmappqkf6wFHSZl3xLQGKeeYIqMBJwxs
e5tHtettHIRyhngnJ648La9gbVRHlXWc7Bv1qMMfidLgyFn3guX3rFbJs9WUpyQEIhpWwsRFmn2I
mm8j+FW83BP+WVAi/ClGtfIIdUaUNCMTZcFbjDmGcuhbyMwEeLYMJUpYAroz/VTUeD1pg04tG/rg
2LAkzkLaa+TE9nI6hA4WrgjWiHwVcXEbx/pHr+MwIDV37SGkbLUTvqQ3u2r7iZN+Z6IMZ6t11TjF
4gThL9F4LKTGo0TxlaBQwsUvqndFLNJdqtslp+fl3RiFUxTJE1/XL4SPm5jGql1GqoFTeftt1wms
GfpBjfKLfPqLIdrCh4Lta5ytucH+zmnLmAdKeeFn2aq8xwraJZoqTXqKCnm9loAQ03V3BtL4gWDB
GU7hTxWJITNziR/6NQJV1TPEW0kEG1kuu8YicYGwvUZJFQcillsb58WSXtP4jjSd2+cKVgSF2XlS
Pq6ES7mGEDYHgSUA2ipsnV0yfluVty7QM0aOIICEtf62HjPW5nqHnKcF8ZjdG+LGphLFaZjd7FRG
gwWFunW9HMm8HQ0UQaRk3U9C6mq72DjZMoYURW1fS4RLlmmdRXHAL0ELMlSeVbvr5dd5asKDWmt+
ySV3LbBZIuzvNKt5mVE84YWsz40Jz1ksl5DVO5yWa9UhUoemuFEL3alsc2+XxWGuprsSk6Oj9sl1
raoTcLuLrItLzxEsNsqnrmofi1p/sLMKH70SdHHc493tgmHVPFCkj4wRsMjb3a1Zk7YfbZVTkDrl
Xq6+hVWv7IZubbnsDq9peoUZ89SijDBx7rJANZbvdtWOTcfVVOMExqCRa3xM+K0eMBcjsIKLwkal
k1XMWwLosiiPIxQh7IV2uYv4Hu8ERqNenRiZfwn1ZWJBHNfmLhmXeE+m8fVUGPalqovLOCpHGQKD
g3oBOWTMD7qFtMzPaYuF0KcR/+jM5lxjvTbkYi/V3KZlwoQmbHRE9h3HzNe1+GgGktIfQBWducdP
aEqj39ecSeRUdoYONSFRwkPRXzti3Lgnqns6NUCmJEXh6nP8QHpGOsnT0LvwBDO/GUfO+qZ8XUzt
kT7GJ9GBuScYzAmgbZUgW7cjJcyu6huqDsH8cr22iems6jDth7YOZAP6dbeRncbAaLvHJK5av8Qc
kOofZmOah2z+meaYgZkkFKV8A3J4veqrScRD+ibRF79otE3KsvVaNmsVDH1Guw6/hTUu4xUPJHKN
hpaHVxhrgm7tsBGpHp01BF+JFPlmVmCWJqcHBAm3qKE5UzVIe4UZH61CvPaKLwooQ/VnS2EhbxkH
HU3tid5oVXoZEbiPememJ6MXCoobY4AJp7WrhRKm0EF/+L8QXL8cvv/zPwDG/rOZ8uUj7/+YgNv+
/b+MkxXtN6a/SEyahoFIoeXnr+Nk/h/AoRrtEUTdtnny38fJwgBeqArZNlXVlqG7ghQku7rha4X+
myWTq4SEqzNy1sS/JYbzo/40TVbBXAmKfEzm1kyVN9n912myzJlFooydNQeIW4KvTJ3Ar+mhUxrD
XclMMlk+eiFulfxjjW+t4WmgH0ZNd8YS3xHa2oP6xs155tzgdd0DBiZkqoCEGeVfgWD2QvbNi2gx
aWl1DNfAYuSqYmHUX9f6YuAF2n70VD+q9MYr0JFOUg1TnJJYT1mC6MmY7+R8b7aIHWCPuMbM5aGP
GmiiOzwtu7AK3aoKuD/tMVUaYURRQ3us+J/MbftJmC7A7eCLLePpTdofOWn6limy3N1ud7le+0Gh
DVmNXdK0D2NJ1L7+uU76LrRflxrnc9F8Yne/odLuIHF21bINdQ6QQ1wy2jCp1NnNxauVfeJocKBQ
O2bCfXcgBZMYrhI61WR7LYufnH2pdX2u9AeKv/fx+DGL6lnHJT2H9FQsyNEC7nkRPlPP4ys1dJcq
PkVNjGEw8pVZOUggXKOm9ydlJHwu2KUTNzMpC68WV5l/UjO6J6Zfm3dL8q41hzGecXa/DdFpK5TQ
WV0pjaJX7FpwSaAWxgtBB07hF2eDYqGMTw1y+YeyflkQtuwPpldO3wpPYdAQL58bbqxnOgBX6nGw
IOqZgd5GXptle7nDb2C+YoQ8LNBKhnqiFI06ab2/hAj1ubIPq5iGPwfQjEvdqUNcgl1juJkpn020
xlEBO2ZCgVQv8K822JUHr61JeOPrFSgKHUKhilqdT2yFHdZGaFwoxXHzUeZcrAl+TfDC5dM0xsck
7uBlYgsDTTIuyamWVRT4B0HLcfoNdQwjU+SUzF2oEZstQDTtu0yiXYW0XOrYldKWjiODz5dCNXzL
hp57pRk5hNF2JX+ViDryFnupkinkKPcYkM5GMZ5MZvslYYuavoXVuqmZxXKsjBJijWpOxSzJ7Dey
Yrsiv+RdyC/Ka+CbsP3ESH9XBpwMW/KrfMsWAHy4JLcCiOSLW5VXtwtQi5m7KObAmuFps7oj8e41
hkcbsmuTPwB/40MaDaiURTvebLYMTJXZTfrZLcUXN8ugLLhazyV4nTKiZHrxm1nZYe9wNRMDtXkL
UtKR5POowA2ab2iP+WUlvP2LLvVrRHvDUv1Brvp9gdFllSyvKWuyieXn1wVGkOW1Y6B6NHT8TNjm
uuIJah4NkYVvbLe120gwLpCogmqtM5fTw2IWnjLGXr3OoEimfZWHPuhrfxSKPzLajbTbIox94sH8
MW4Wymc539PDtFpu/wMTI2Oc/TZZVTjCaAtXpMqfUtgDmb1TmYTF92vjV6bkkPd1FqR9bfP4iveF
nIJgICg/21LlAZxwtq7j0eI7jny7ng3tOya2SHPKyegI58Pc6w5p/IFs0S0xvbFknh5xw5LU7XBv
GLhTbrr4viDaqM/7f/6mKn+KLat/flP/RB0fzAUU6mYNWvMnuc9u2e7dTbpf4c8U5ftSo5nLr8R6
fi8raj1aZf/F57oRrP/hc9UEWTzdxCfOLvXHz7UcJcmCfjjsMsXEPofTP3bIzETdbR7jxflcBT4f
ZyVLpbdcXBydPiDjUEqvjXmYQy+rblgqZPVZTs5866XlMOunyNrntpsxcZSNoJYHFtObf/7ObW/M
r+IpbxwpdNwDoMos+hz/BAxQeGIwweecSu3PgWqpQTac1Twv2fov3p/tL/rHH8R4HAACCAT7z59Q
NOSMAhg18S1TKZjOd0XkWJS6W0HU/KufZf7DrwX+m3ZYzhGbLKyo2h8/DLA9s0RsgFItihJL4542
9EPSTUFUVMFojC5pVmwi8U5JxetUk37WxV7RD1nl6bBaM2ZyJtb7ElNxtqRPGwBYyXLiqSUOKCwt
keRG7PMAWNg7iyAnx5Iy65jEc8yXF/PVt9Ti2yDcZOfNIRllbgGs5kON9nmdui+FsAwH8tuVEhFr
uswE0ecbTb5DnvME/UzRwj2adOxGRjN+LjoZeWGT70LvNSmHSVvUshq8KOUWYf0OxutQyfN5zrmR
KSwl05aHz9GmnnOsH0PcUFETuVIsBRH65vqzkG7RGo8tViD4HzwVuzSc3X684kZRK+SSQnUTBQ/V
dlmmOKUPH2WKli0AnX1glnewTVnVax8X2E4xaaXgbTDfxqj1p/oF3W7bhk3Am/ryEmtkPhsSBcUa
YBt2Ru2hNreCTIgU8mWaGdsv34p8zqzGNVaIMNLjkiL15N+LVRzlwsOZelwGRqP2T0v5NnkLBCgC
htNT+UHVAMrsjancp8hIfYA5OOvvERJZqlY++pcoG125+X0HKKqXHnGwsXQEycRFC3E69UzjnmCW
Lm2MoIr8N/LoFC/7VSyusdWB823VNsHMwiQ9u10F9go6qMQoB6JOwwizNfC4MGBuVnEgqvFo5f0+
joCv4LZ2meK6ualRQ5tgGcRHVwULvzy4oy35CzRh4JH6Uhu+91z9V3KQinDsJIhh5FKFlYbK3ly+
UqBkKQcewfdki9BG7H3Dhj465xHlgFrsaZzN+HFlDCOg1UDehzsGNhmA5cnA5LUvBa5eyDPEBkPj
mTGBNw402Ru3BJhYys1g21IFfDYILG7NQYZkaEBkzCEEiDR51cGRDeEdBe4hZnvqSPY8ej6DpkJ9
tRRUYJ0/hrQtZm1POtYZKW+3ODwu8VFP7YNeYEmi1ZF87i4m8tiG5a7s7ldVf8jF06iPF8F4ChvJ
USHQHz1ZMV5+S0DKo2kohuWN4KySmwnvSfDsLek2DhmBD3fN8EXCmdMXURtulZp8JIXgjlS4TabP
bPlIYIczTOqqEE4ng/OI4VmVel8izef1dFCK0FHrnzQcUn9St+hVgsZcxD6mwpNGu3pGh2f0mtDc
TkQKs7sEvhH1377l+DdZP1ajYCDEuc4m08QWqTw31s2gKy6edcGJixp0l3o7NmrpUU9ehvlRFvJB
YphqTzFeb9oxIFbB5MPgdxNiOzABSQ/dl1TxeWmvRMWRKaiHn6YjI/mH7Ug5MeId7A2GO+60ePTj
+qvsXmqkIpWz5pLdYEP2++FNTuInnN2E8GSm4JHH+U50gRSSYSLD8jzCS1tbBJPop1pz1NSZkHPN
lxRiapQMlj7U0x0gKKbq3C0o6Jlmk0f1NsctJ2aelQVrPI1ow4up0hyLI3d8Aby+0xKeS7iqQAo9
jUEKkC13UV8r+dhJNJDxnSeMTid7WY67UOp9od4ydIiJpmrM7p8biX4lgpxLlT3b0+hN+PutREc2
ZwSu5DemCX4V1yDR+T2yxU6nnkAsOPQHzS1iIkZ5spuZD8thh2XBciJjDlK72OXGQWBenTGjGgZf
4/YdYJWPhe/Ap4XH43lInxTKkzgrSZDPdCMHSKkdQsZsSfrcgZmnE81NH/L5W+fa01RDMBcw3Zd7
iF77flmPcUFwDGe0HLd3UnffZOshZEhUMr42Ws0xkiBZJ2yHeGwZm+FU2K0C/lj5wNbQIaDlff4o
T6e45SnNDyMdc9IHhZ+/v5S+gsMo3WYYBk3uK5hJPaPllVYkBXT8H/oXTBBCA3xtZXoheFp7GXZV
7QEo3YFA8XmQyLe1dJmVzsA+lHGzxfxIDovkDJyq5aHQSLF2ubNm1RHHgMIsiiVvCJEzKAGMkhja
PbqeY35aKwOxAK0PlD55OfUU9k8Qn4cJJaPdZ2Mwym8THNCsPzcJbHazPOjaDV6gWYWyf9dKbjIG
kbyvQ9ArZzE/QKpvwgB2HL/B2WxrV2XwaWO57hqZONePbn4NuXtx9tlq/7pMZS041WiVKTp4876W
z/X2c4r8SvT6XQoxaunNO6Y4tGhsJ89N1bkIEiwvqt/Nj60ZnTEquyMPrS3PKKkqvEVmafNNBnJz
ImVq1hFGLfMqcf9GQPRXRrjtWL1bSZBRl0kbIkG/1MtXX+MOm3lELB6V6lAZ1zF7G813Rc2flNZw
NOVnwUB6Wf06rdwlhr4085yufsyUdZW5mMSqu77PZKaoGWd+HnIhipODYIAnhR5Q592Aq1Mr3EXW
CZexgGOTWUik2HcrH1i6Jg6kW3embAc6uDPjcFu5umKbTUd3RlPGjM0H3fsNIH1zjHDrH1sWU71G
1hDBqDxBm7tTK92babWNjGyftaM/WzbDNumlYamfqtFfuF7F9cPcnYeh2RHqBC5Rn5X8oWNX7pkc
WxNKvfnK5f4qLOYkzVM4/5Ck5dqJAiWFplpVQ5vJfspw/Brm1Gt8wG3HVIIP5k3CKwWp1UO83+k5
JYRyebGpkgs310U2uHrIdf5xQooqCInNxeCRq/MrHuvaoGRoJjvL728xFKxj3E4ajWRyT8A12g9l
+phURJ4R16w1O674ee1+2oHu98jwwMTBTEfUz1YdgjYF74+8QgTnYU8x98y8u4LfUMfH0KzlRVVr
z4hjj8S3m6NLSPim0poUjk3WWg7iIj32+AmyeoFPmHhLzkmuAvbC5gsxM9M4nEyQ43WnkOcrZagu
QDfcsT8bvPidmgdxGbq6eTvbxxqwmYWCn2T8LmgY2rqPNMk1Gflkqr7f/Gb0825t4GfBjV8K0x+j
rOMktAjf1ntSE4HW5X4hW9d4O6WI7iZN5idRy26iBcpS+HjfcVvw9Mj1BT+IW4Ual/bKzYbnOSyY
K6eeQWsqbeP0Vbg0iV7zbOsBLy51f1NkHD+K1pu3W+tcfhCcvJKNOahgAZFg4HNsUvGAdwXOjJEf
h1FB3osQpSauqy0+vdsVMGUH/C011oPNQTTGXU4u1DSKbwH2H3+9A1SYocv7f5F3JsuNY1uW/SKk
oW+mAEiwFUn10gQmuST0PXDRfH0t+MuyFxGvMsPeoAZpGRZhpnC5y0ECvPfcc/ZeGzn7Vp2IUuc+
EmgAqozdgazUTKX65D2yjcITTIzrTS8fNXnxJ+TE4FO3uvlW2A9DD+Mb0qddvvI0g4NVZvQDGMZw
OfoZcZtZFPt5+N4BWYwRauozR2V4gCP5beqyLTXud/VEajWHArXucF4YWzQ8rGFbYn+j3ApKsbrm
X6MWqwfT3yZ9jezXIqOkHEUwzmdtqmA8MMaWxvZu1Lr90jdBoo4BTTgyTA/YFf2iTO5/n+r+LZfV
/0a9s2Jw7PyvnVrnqvz49Set8+8/8I/GtPUfurYm6lj0IhRdVjQ6v//QOfMdmR3HwXH1+3Cv/DPX
Stf+wzIU5NEWR01yI9Z28n82ptdvqToxWTJCORmJ/7+lc3aQRf/5AE0D3KBJbKgaLXB21r/0F6wY
JHTImAQdzw3pRuQPx5vhzx77iUeHb4dXndM7U6oHYD6HcVP6RZAE1mWZt0vaEV3oHp8joXpF5QVa
0G8EqrFXFtnDsMWrkm7HVzhRB7HpD7R0AULIgz+R83333G04HO0gXW0IDm+RIMBn0DYgRtTiWQZo
BuwD/4BbeZyWmXsZ9zWhvVwYvdCt8G0GLVvUX9G74Q/ebeAqboMH89fPg3iPAiqgdevCUblpo4ep
fziyAA/u8+DGJ/lOveV7Ds8HwwWXdQBdGKhB7RtvR8nP+SGSjzl71x7yjfqZbMPNsHsmpOcBuZy7
/g2EIVgXDPDaKdxqySaxXPlevKln1M/uLfS6jXJZMcnu8+H2/Oy45+P6P7PXnvJ9t3nXPazmbntq
T5U7H6DScu2FW7iv28fHyP2EbXYCorYp7gHXudlzUwNqxbZiuUeZyAk2bD/BJwJ49DnelonPeI4f
9564j7xXbrpnJMevEXP+C52va3pYzD/bN83P7kkIdcsTvpG72aECfQJXdI/DH30p+t8homdIda7d
ml9LIO/rXX/UOWsBKtW2qM+o06KTcUuukVcHTE1d5dKDIY1ABRQb9ZLw2rsD/5LrPVrX9nXZ0ozx
k1O05zl4njYICnzzPT+Qz6TVW4WSC+WBV47Xxs/zKyJeqfOyW/3Jvs6+OnzXF8ok/dvYNrchIN7J
73+hDmgz9wiHgXGpsX+fqGMlT0Gbxb1GY7h8izMbaBasiRQBDKCXEok7gC/2qF3PG3cGP6huqNL3
E0e/eI+rJN5fy3j/1hKx8DPgGEH0jiVrC8bhKO9BhJzat/l93ZCIdaa3SbZas4t1NrDI7yNfGQOq
SevUobMSLwsAuPzOuaWu5NeB/VKf45N61h7aE0POJ9O6Sp/OJ8FtvmyvEd6u7Gl8IR+yu9iXLsgn
vVQ6j6givDajAGRsi2TJpaXH1y0jBIzhdTCerH05IfTxFA7oDjkSHBDPbACD6TIVGX4gQdDpwVg1
EjP0OHzEqWuc+gvx9G1FYNGBbJMq3ml+eIiv6T49GSg4fjiE+4v/ic3dvV5PB66feNyHxpdYAhCo
ASiJX6XKrR85YJFWz3Gh+zHfzXNxjANnj1sdYLC00Q7ZVuIBWx2b0sb4RTAPz4AS+ExYYq/wQmhU
QA/dXri0pCV6NK88dQh6kxflmnWe8eZL6Lke5F/p1sXZ5gLR2enwAj0sUXQ2f/HCiJjZxtthe513
quMSZn1Eds+7g6cMe8SddgmfpG3mr59gWXuiUZQheXK7T64rZHrg1a8G64blidfwll6j4/QFkb/5
lj6RnFLOEnvXabTud0ZQRi8NxAE0SJqv7OZzudW97bxZeQ9uv1/8C3S14yco2vM6ZTmmX9mdeYCM
aH6UPof8bypvaUNxZr/ln4Xktjv17RqdnQ/yWqDhpFf1XrsmDr5EfGZvy7zvPeWmndU3+1S38N0h
2w3uL3mvLGf7slk8K7BfEbKd4Sp5CBU+1eteuw8sj7jmH+3OvgpP28wP2uGu2ac7RGCNK2NtzfYE
0OjPOhnIQcuI3Y13mc+yvPn4QKTfes5edh/IzL0e0o3mvWwQS7h3s78x8JNufqm+6qMO+VJPfOXK
vv5afrxpLOZoyCiYtv1m8Mdt/DH4HAj4FcWbNtMm36GO24ynO3WreHel2z53oMIvy4GX4CbCK/bV
CVXKxr5Ue5nfAmLRrV3hQYTBaMbvcQKiLPI74zD6XBD/vpwINnbzCrOGS8q1DibjbL5le538nR9O
m3yZ/7xRNa1Xcdc/rzOeYx5g2XxGV8e6iEQbwMypOY1bxoaEFXGs/EnVQ+cjVFaY9XjzFiUrPG1e
U7Hny5MTCNxjaAW6/iAxqrzkhU/yvRIM83bw+TOczIPc2Eq5v9jexOMpn/VfEYOj2thqG0j0wRt5
ZLwGmHZ0PTCLBjyVvhXQj/M/tI8nREWHB2/3IwGz8NWjebS3TxA2UV55WGKMD87C+5Z90zoT6E6R
f6Wy9odt4ze+Fqz/9Rvphr1FemeP5fKtgL5q9Fh+ZCsuPehOXBSCCN5JAipcZm5rH/TsNO8z7asv
ofukbKMiS/RLuLk5vjGyfeXBnFxEtNMh47Ef5lwy6m6Omx2gbGmniZ3jK/QBABSZ9K3+v5SX/5MS
eS2qvf+6cLyr2vFj/qNJTln/wD8KR41sUwz8Noa2/zS7/d/CEakDigVLluH5yoCZjX/a+wlEZQBI
vWibsmYofzTIGRYRq9pabVI+/tuF45rr+IfBC8prtAxMGqlqqVEpcNfv/4E8naTg3/qa/O9mbiT6
ILNhvhug+W/tLJtXrZXYgpRRY8Ow8nl1ySqddMGFoF/nXGlmIEU5/ds/vHvXfx2C/o6A/Oc0yMRO
aDJ1slRD1vANMmH480WpZIuXUSeFHgdx5zluZOOlHGzAbQVkcTCcuUP7Qmc09SViSxRoKMiectWi
M9n7Q6v6+pvr+fO86B/Xg4sQ9LGlaNAa1vniH94kw2BiXqs2lcJgKTSMG2wDayMBwJaBk+MhTluG
NyRe1iA0q7b4pYsopkExRxq2+7mtkAbkXVl7VVyaMMzB33wkpFUWABKhbf/NfEv5M+abywXUgCkT
vyO8Q/X3w/PHy62rvleLEbgbnRMmvSEJMFTJemd/JxawSCq3Lps9xaIf43ZT017jxGZQIULd+Zv5
4b/eSdtSTFNVzdX/acvOX965Ed5XrTZrn9e0GUcgnEwJ54hLFp0u0QnrmsG0OJsYmSgN9imdnK0E
pxFrd5XTAzPLosm8v7mbf33keXsU7iPGVDQ8aHn+MtQUauXY40jJIpuJatLqKEiVqwtrvE15rH4P
GJQehM0HYdO2Yw3yaZgtyjqR6GdrtCCn5g0Pw+a/vyp19aH+6Zm3LdUxGH0iYJJBbvzlmY+bcNEk
sSJ/o0pMX6kzAnsdcu1rqJThe+ytCAMGwYmraaTvEYdoiE+9dmydtfs3t59lDW/Liu3xzop0VYZu
2lV8YnIkBF7JmIr3VAdV4Dq0lhw8H0l+nQdJA0UbK7kNp2eZ50vTNen9TErp6ryj2EyWrMURquAk
TGylff7vX/RfBvO/n1R7XcMMQ17FWdZfHo8i6Qu0d9jrlMgul5MDKwQDaTHhAiragnJLnrKGkIMG
/b4XJar8o4Ud0wmSIUZa85U2PFp8AL9iSape/uba/h+PiW2y/hiIvVQk8OuJ+w8fenmRJMKWNE4P
LQYeolGRTmJnlatbnMmWA9A5A+UkW/kqAC31Ud1OfSvPPqtn+iPVkvVYEktTuH9zWX8+6K9vmaMQ
1ItFCJ0bi/df/MyQCNTCbhaovdNE41fNoUWSGUheEmuzgoVR1QzpY8L4n6Hpt9Atz+YQf2ZwbNHe
pATl/dtXBBuXC5ERq+AnV39LWv7wRtmkQiitDdEzXgib2QJyEM9DL7ARRc2cfA6EoiBH03DfcriE
0+tFdqJ/mIkD0KknnOpvVmsy3P7ls2RBy0EKujrMDYCrbMZ/vHVk/i46Btmeeq5J0Owvocp5fJaT
mw0jjJQbZuZtEBpyb/hZpqGjwFssd7BIcKGgFNIWc2trS/ljtGAaXGuMAephXqNcJLLHEIeolhY+
jmnN7N3QF4URRDnKH0NtOfdNm+V3UW+MFodhGc7doAKc3dlhGjEXHrrOZO5WGq8Cu0N9TvreAmJe
lyF9EYsYN05oUpI/mPrEHjM7jYInPZvm7I4QFRB3pAiZ2rZy2oh7XBIg40wkS6JIE6CNMwAszQ4E
MRVk3sHqZ/xT9wA++taAcGVE0rczGQnRyxKgwEMt68WT0Zit49twMxDSE5vF5CbRskPWZEPlodJE
Ut4V6q9iAFNNHm02YS2XzPApTGplB02qlND/GTh/mRaHMzq+hiask7UM3xxsP9LBzIZxJyMKZ/uU
05RRkqmxwMutyQC0FslQ4C2qmyKw1kfC05DJaedG6hz6sHHPBxyoZQn/eJoPqt3G0yZpRudbJiap
dUeh21EwJY4Mb0tRMR04KffDq1XIyWgBTPy9U9U0NZCcJjrB0hhukhjFtQxxlSLk/Oh6sIO5TrsK
M8gU28JHdp7jR5V3daMdm3L5qgSDkiEb0KO0HWZDdE6WMWXQe9tAihl7SyPzcrXVZiBsZbXF9pGe
mrLDI0u/3jJ/OYN2sXWOl+Rxck0kyJZgFw6MUiKU71hbW8c+GCzKtLXfWxv7HQXlVkXaqc4bTLRe
vEKX0hJ1A/EDyQFBvjjO2ZBueyO3ATqD5CbWLKdbjRJgus/4J1DlHpmnOYvPmWSEj7EpiSBz3q1G
Ld4LOzTQZ04ld0OVNcoQ1N6fSWjQg0+L9s3oukui1xKU6BoWWR+plypZrPtcomFNdLRmfKpY2aO9
3avh2ao68dUXktL7Kq0a8NEC0tqaAn3VxGztNWDD4FjMkMkAAVZuBeJjGxWN7iqixkYyTCdKEfXR
KKNko6TFW1mbH9qoHXLS46750L2UpXIiqKYNhipPtlUrVroe2V3HVqTaEUOTNzEM/hROVFzMwZHJ
MW7H517JlU2TDh8S4TLXViklDX9kvYUtCrY0DsHwkreSV+8JOvVDW8YYO4VcDeldHJMnHLS80O8c
sM+7PkCjIQNhrQOSkJC7o56MfYPi1RCMTWQ14kRuNRIinH4SYl8R7sjJre/ohoDonp2dxMQVaaWM
jnZrptVg7OrRgHtdTeaAime29S/cWDFAojpuq3Ojw3jFw9un5a1vZOsnmlr6PlgafisCkK/wmDSv
tja3emDiIS9OCqwsVMFLEdnHISbJZWfODcW650AO7S+zPWnJMQRAC6ESVHD1JTvEXL+quDjpJ1Q4
VJjwQ14ufKlIm2wrTDypfUDEgmN9wq/s7M9ImXuUFn0o2tnehBEr80vUjyo9EdHWxmk0lkF6gORi
Gzt7ZrfezYoCMtaqjLnFjtU52gyGPw4nvDa0q9nhoIRWmnLFQ+ugEZiKLn2VapsxGXGs5mw+aZKt
D8+VnDF+xH7fxR8rpYMDvLbYyxfQUEHfaYJW0eyqOYsgH4B6xANjlIbR0dFyqnUQt7BmB02D8slf
o42mZ8WuQrQrSqWMYPastt2FgqnVLhvUWH2R9LTLj5KzWIiRY53So7IaMd63GoHNw7ZmKU/LoNXb
Ob0BzVTHM7dI6fm0FJP2CaC2t9fKhX3vnlxh27ory1QrN23YStV34sCSQGpJ3Tvt+oSHxCszIsOO
Hd4eNnSMbQhm077piz1ZaPFrU3I1p7AuQX90LTiku3Rsan2n5QNKHqttKvnJTqWWzDhJb8s7MS4J
9PbRYZY7g403DixZhv6CTtOKaewK/IjpNEUMA6ymlMr3SiXfcEX/QH/+LA07XS5gqgtIjroacz8n
1HS+Br+uu9hLsRrf66FplsCchwS3UhyV4OoXPdJXHZcwiceQ5bFxKl9ElbE0bq7puQo4o4Ta700E
gk8kiEX2GOKdzfr4ri/YCL+JrzPn87B6FQ/McwvpTscpbGwVmw807Txzakk+4POrpRSBdhe1yH2J
XURwY6uRD8m+uBPq1MPZnwA6ulami/poV2RP0o4KJ6t4kkTdqq/YPqvwMhO4AK1JsZYZH2xZjw4m
0RQjHL5kvcJr7qRd65wztjP8zFCLQ4dxK/sxeHLyDczH0CTukMWsNoksJcRlZAbaTwDigylz0mnH
yQdNf4UGQ0c4OAGFMOXKIdLKVPLY1XOC57wKmXzpgWwBTwNC3ZAe7UVo4UWKnSj+si0EQHcIsxFq
EA8fPViDqTxzyjrL2nGx4LFXBSNOTPJFKHtiCt/aavwqCvQbIDKCuhSYWBAhaYO6EaiZbaTiAF6Q
4dBONGugxHLnz0a3gdV0lpvwZkafODKQzrcMeAkYL5o7wbua6Hc9auKgGbI7azHUe4Q1kdeIwZPD
dD+aGg2CZQhSllOAUUEH7Cqc5atT6D+Eq2xyPbQvjtozAZri3SKQ0KC3xlsfiwsm4ccptHZO0b0i
U3rtnWm5hb16D2JW2vOZQlYS1tphLnKmGayBWCGzA+6m/biEr+BJmXF3LzPKHJsj0WRUYA40lqic
0LdpWfam3h3IRnsVdL3jvqeb180Gkkaa6zjI9lmm3Kx+cY7kMvdbvdProzo6QcKoqrXv07F4BoNa
7ESjhj9tZX3lY08HRMpJakzmIMoYpJ9rmAsI9BLJ2HK4bjZpWx+LXG0DziwNcr3SfIo7LidH83nF
g49AKFrgPTc8MRjhsl03Ngp8EK3Gq+o0uH1lbdjOgpA62dynGbolUe2yTrnJOG+VBUaKKgcd2g8p
hXwL0Gh080K0+9SILs1CIr2sXfCNN1v4oeP7LFAtRCOHgVistsJKknyjCQ/hauPPneIx0YgrGq13
a2jAZvzYsk5MCZ/mrVnQIGy75pymor+EWoGzMBuRKVeFtu1kFVlsmhUbaWCcktqTGihNE7kaOB3U
ZhF7dtg8IIWc9nOqvE6LFF7DWc+340SoaVNGT3qNmVUpZrSyTrIRfXmD94BQYSJGhFRtMlxI+aXF
i9M0NvBKTsIn4uSlIrfVJavlCyYfkjIia5GYEHrIcjp7lg4gRjaHfqPLw4s9T8k2jQtE7Y4cnWlD
AMtTdIyAaX0y8Hr61kR2QdWmLw6vPmEgtzjaE0Kv1ZOiv/aEbwxR5i1jlWPRj1EI1ajiEu25S+ND
k6kLj8qIrGFAodG1WXNaQjFtSSa8iCnJzypSYjSba+2VHpJJg9faKj2mEaW6Sv34WImofKQS9NRU
9ye1+ByFtpyaEA04inS1DBkwYF7cqupwtNdsVqlqABuC83ETroRkQds+dpE8u0lcKyt5ScOsYhqk
JQL1fIjVhteR52cMiYh0qvgpUYv6TZlrKyArZj/nPGQLmb6+Yi/HGn28L/DTSWb008ca5ZSolAvQ
zYhNcDQ/OCQrd4M9XqUa+xElc/Gki0lCYdJ2TEk4V2Z5T4ZKY5fHHl8R+XNomiI0geRZCOJBEQtm
6EkO5PVkX4NcNdCzSVBqq7L/KCwLOZU9zMhUk/g2FcpqWbAe2wR/iEFPQonZNFUJZZXUhFc5z18E
tLzBM1VhBWkBgVErBvJKpMy5p6lKEs2k0s6M67u86/TjgK3MQyq6IAzu9lHVB5ktA4vCOlgBm3NL
BR/1UFJ2J2p17VooUT4McKQletcC0zG3oVDjF7A1gIwzrUeWE9Yz5R0bKBnX1tp0MaW3CAHgvjUG
baOPQEWqvp1ddSwHlyAphhRdNBzjya72mLlRwsRJszOmQmy6sku8cqmfmwyHBSiM6RYXoeQXIJFG
dE9Ne1liI3slQSFm7Fcz1tEXMBSyfCIlUGyTRlICvZySB7UjBdSgvIMuoI0XZYoLbkY6B0Wsio2j
Nijn1FB9xhkWP3AL2RtTkrF2C/USDtZBccEAkJWxqHfkZqC3sqsHXW5VAqC45JdF6ZjQ1qbKuLwX
cRBPlfhe404PBsluuBTm9mgNTFWzEHmi5KBDjdd7UyFqOzdZGd50m3VXqdWNlZDT2PLBmtW8/ArH
/tMZR7xPZtR8kWnWXCb2YSxiYbZVTfTgRthjEevwGPX2mD6GGH8vs1kQKGKnxamcJvis3RC9qJX1
rHdmN7hFGb5Cbcnv+yKPEVnS7HPr3MphwM6rxSUfWPXvITwxqQbxlKffMc8X5iOdUjEIO0kM0100
Er+7XaJlJIp0dGAsvtpl3svWdgEOwzg3DzFsNJ2Jx9iAx26vsncA6Ipo5TeWl2ZH7gBwj7rppvyr
MSqx0xFAt6yCCFUtDHZZ070ukM3Kxco3yWiBQe+EgpBaQGAKp+FlJJzHTyYaobpDC0oMDvzZETl6
ahIPH1Y8092Y36qpogxyrGM6Y/rlcWyxy5KXAdqmmu5WBlnCqqh2Gyk1NrRXbbfNNXcQHX0Pq9e3
ohNo3G0ypLetzEAp7qPUo0oHeVInr5pERlMBQpv4IN7HMbX0bTVgIOubsf10pKI6TSWh4UoFlV+Z
6RhB0ymHM9SFu05NTrEg8MRt9FZ4i12NATJ/8oRik1GzzqFGkzmchatWODaBUfedRR6wrOcJEE3F
QFg+LVeSW07TvBAIp+nzOZ76k1qCf0rrIJ1KVBEx0LJBEz0ImVK3EJySbQKyx0bbRfiWFcy5Csd7
qUGnOIjklTwiyl0t2zOEc5wnS5nqyOGRp6XAi99SQ/3QSf45kNXYfE6kx7lZ130pPJQU/k9wsYm5
NRUxNm4B8nNfy7XzGIc9y5RTlYay0Sjnh0fNUUnNsy2jao9lCBALUgYcAEmJeVSohQZ5M5o0Dcxo
7Y/kBgY1zixg91C8jcbvdswEWHXBtOCAsHOcj6qwN0T0SmuxzX3JovMSGRN+NdpVKfPR1mGVaacW
bAdiX4GPxSPiHgOl+alU0hzYi030FVXSpqS+5ycOLHX0Gxn2dz7wQjJuxY82DGf0Rslp0p2rY82v
gMYg1crlQx3T6omGK63oHS02vEdKreDzsJAlIqgvQuMkyB5Kauet1bOHpOx+RVL0aEwjtOeF9bDt
ol1BQwAWYI+Q36S2ryrO/Omw1Y2eQhjyWZmTKOhAUq8KNKCj5qPGJr9NvlgDu10W9pWbqxFqYgeg
0oLewR6uC535LCp+xjwl9yXbWiwynSptBPFWgAkfFaX4jiIn6HtQxyqHQc9WCfHWoihxoY952jzu
44h0sgmngabg6emLXRVOnyiuDmFWXA0aLvEEcW+IfnLZ4YZEt96U7lRsmVOC/xYZS6KI2zAOhFdV
v5IIpGFe6Xs8i35OTKU0PBLq9WEMD4Nw7tvGPhsh6u6uj5mc29lhGqZz1jYP7Rzpnk195HdGip6A
KCQAKXZTAEIrImxsWj9IPyIyWA1IzmnKG5DmtsHGrod806ytyVPtRHRB2DQmIs60hOKhzIL2vsaT
RLVrLES+cgZZc3jzNRGgkWQPVgZq445BzTfdYmJVqrIjUEPoeXhJ6D/8HiUxJIR8WecHq1OxystL
177Iwm5AhcBgdIuxa2/y0szT1nCMak0kUelsGkQTkwYy9An3hxQwnk26T4EmN2oSaHphPsrUvYg/
LHAxiH8FUKWxVoDxkk3DILAOiXLy8iXEKprb9YSWu5ZXS0ppm2+902ekQoVzSdtTxNknBzOa3dAF
Jug5yKoxRseosIk5J8RHgs8EnyNjnkKAtfFqJzOFg2j0jE6FxhnlYgp5PNDWXkkVSdGSqWYJGXn/
oAjPsER3zuO+uHVklw5bziBTgeNhtEZ/TCb7bgKaAOG5MuTmZPZNfg+jt459U5SqemfTkW8OdtW2
xr5RivzdqeaUhupSOutZVcA7ySJiYHYjqFt2v7bodjF754Mz1ayyCY6loF4IKUawlpviBJe0v6Pd
Vr7WUaiv570mfdMyOCR3Xahk2TmNkqR4wtKSvojZkOpz2OvGT8QJFTJjH3FCSXLdKv2EDOUQFRK3
kE02IlquFVly6/NsWY6LYcS87dQME+V7sdzsCXyL33VSUh7MtFfe6D+GxY+dxM7JKHBn4/4Z8Sty
dC8hn6dlN2/LuMujXWOP2CzUEsATQBQrLPwKYtmHxo0FdVzpfYYELAI5pI6A3PhIjdm3wE65Bj9z
ciZ5RzafZPyogCol6IpbJWyjC52D6EvRZipSs5IoqkaZ6BrC3Ws8F3BX+qMDmLNxlywT+h5YMYZw
VuAEB6gBFALUD8TpiBgWKDW4lIjDmxxyp3PJsp4cvV0Fw2CBNEwxo4SSJJqgWWU6yV9DL8tBnuoK
uZdx2RDqToIcC6cNYJZCpK98yx4giFTFQK1aZLFdeFKCIbtvWgupe6+Fv2jAI0yp5WjiecnAqpZC
v6d9E3oJ04fZnXnbObiCvsm8WQpV9IBdK7Du1tXNTsvlKaIRIVyJzLOYRUzCRpV0U/HZkCvXIM1T
inLbjyPTc4N28VNiTaylQu0hacgdbfmJSWwU68TOzcMSchqDgDEtQ/US6hYmcRsUwWcjTzboDHPG
s5gSJvMOgwcCZb/CCRH0AC66Mdmola0KWwnBpQhxICuyNK4Je414G0te4wb19vg+MW/7pfeEfuOk
Wh2fg9BZoaE3Is9e0uUR/kuDZUqgewKIZdd+phV0KPWxNr4yFid8JrOG5h8XnnKU5ALoQq31fcru
1Fjh9xAtMwIZq9UJ0JyJIObJqdpD38cWvComJIRu5WpMhCUIMTY9frnGOBtpHRY6EHuc77rhheo7
woqXV/aVtn4L0TEqELhBvgdFluQ4zBj5OduytAyUlByV7xnTKrdG7p3LYlu19bMQj2AG2sLsrYc0
31IIa/KrkqwW0LbLcG2nSoK3fayX5SuZSEzyR9ikJFPZRSNORmqy0lqOlqJjrauk2gDQheSvdcpS
0BSLqYNouxTwzXIefgbq7Uch6wsFVJoCy6GcRc6YjWpxjaZRWTyRdjxxsj0q54ju2S02GkScdqek
kp9CyDlrcVW9FImsJawGuJa8AiDqeMbCHz9Bpy3vnaLkkF92xlUDgvgWkdv0aSFgv+bKPOIEqQWN
kfWYG2HvtpCScpR3CEyoounFFILI5YQTJbI53mvuBM4DLyUdGOBLlOBayGLmZmZSsUNUU36zmW/j
4pe1piVEB7aTn5axeMnzzAx3Zhop79kyNo/AcNHUJoaBCoqMMwYDql7mHGN4bJ9FPqjtqetn/UnO
zflVKPV6FY5afReLkL9qdUGa2S1q/dRJpfNWcR/OWWa2eD+kjtg6hXyGnr05zlpue8Wt67IkeVVk
B6+N0djRg6il+nuB2te6FnnT4PUzzbp2sEhuMRGV5EpGCj03M00XPCjA8fmoR2r+wvLM+dRQanwm
zHrVT6Vs6GsbNqnBUGhJiHYVHJsU6JmkPoxFVT2pimx+Ob01Y+ioOBei3ZGQ9TU2IONeVqwySEzO
NH5R2N0U2DpIPwZE4WIxz4i0BaOh2tQQQ0b9Ekud3gS1UrfMX5rauthKmr7kEAgD/moNhloYa4hb
6jq81SOxi2OnVYCaNav/NrLFXIjAixvsvdmMkzPVmxyBxIAy3Z3spHtl07GNgANIdsnDPvtZlBl0
bEIYA3XNFOMZlrQkZOwkypwunzOg99U1eQjmKDXvWKFWXw59ptRdEjm7JwVhLr3ZEMaN+Ft+UhtW
+SvhT8ZTyvZObWMnEr65ghaXJyxVfCSSwr1KHdO+SY6wv0VK+8BPUWQuPtOjQtrkykjx5wyWuDcN
mjF+POnG49SN8rvmVHQEinm0Uw5hExTRKulZShUb96qfijF8WojoxomcYXnKhkGfOSwNXQl1md6T
H9PE5rUpxO4yWq7LjdAB2QIVGZt4a1moLda2lYNVyTCNt9quYzS1BHiiRdTM7KFgsomXJ2oSBof2
igUbl9eCpHUuV4Ne5BqZmV/HsBoiTC95ZLsjydPmWSLVy2LP4NjqhUwH8TZPDDLubcuMlVPXqoBF
gUfKhEkkY3VXZzFSHJs8WTPI56m6tE0G0WyiKfErXAy8yQuJo+a+VyXa3MuYgQ6eGiJfd7XWxric
9ALNld7V2YfE/aiRAzvVU79k85kQcWxRk0UX0dWYzCF1DHF3B4qdUJ+Odt0obt/WlbzpoDK8SfWQ
ILKVs/Ix14pUfR5Nq/txGIE99AqQ5hJIcOjXY2T/gJfNLjIQ12PGOSQh0hF0gRvLtvQh8kp+TRyz
wC5qgVZPdQ4IakdGJoL4mbj1mkkcsJW0/KSNb90zWLcyn6wTHKBG2kSY59NytkF6aJa/NDJw7nZQ
a+lakEQV4drWlnnHWUP9paVjtRxIAYFuPc9a8r3Mg/o1zg0o4WRw6O5nTq2/8+BQL6WYEZUNcq16
IN7aSD91UVT470KMjC58SHjJjNSTx3SwbPjcJglna7go+5Ok28ZdGmsC6e+YzuSgKVTg9oI+yBsW
dAgcEWSZ/FLHgmlIaZMiWZ2xjtX5WO81Ihfe7NpI2CAIRkdxPY9re1buu9ob+4XGWxG3EwOZfLLY
DAFfzp6oBYzgzirpxw5DqflDYamM4XNjoIM06WSVJWYIoHEhIuf/MHdmvZUi6db+K5/62pSCGaTT
52JPnqf07Btkp20I5oCAAH79echqqSuz+1SdvvukVkrZWbbx3uzgHdZ6FqzbSfB0zQf3maCuYWH+
QnL8Jm5jDHKo6wF2uriz6hsWqybd0RlUX6l2MZUMYIrPKIV9mEjpvJxMWBAbrP4dteHgJBZ2K7+d
keAOsToFAmnbe6dsAvKQp7q61FrXd5XOUzrtquWXj9vBdvn+4/gJLjinjFfRcmfZTGnJ5VtmGhmv
6F/KMBbo3nnavHXc5q8Wr3B6LsaWo8L4PlFCWO7D8x6FVs8IZrJXn5lmdBQvqSYedm6jw0BT7+w1
GTFE6TlJ+hEvE0P/xR7kCi1qHkxmKBHYSLnt3vYm2K5spaNTS2TRAEjU6QxS45lwHsK8KMnCSGXz
PhO4+MmBYaTGR3oaly1PEvNgl+uh4PpJ5OwhOXDwuSFxxVqwOeaxuoZgt6YltWToydDcFjYW2ogj
A0f1KN8ouZx2F+M3vfMjdm8IyEd00JMEYQDYbGYqaWZ7ja7xXOupFjYSxqRqzaGLkvXpFrlMB2o+
smD0OllBl9G+/dDFtX++xs4IwA2J/zp4FHSgzXt1PYBfuJcdJj/M9lPM2D4b2DUGUowPYPNH8t5y
AxqSVEBKVCbtl3OhocqExkJ9bercQenA4XAWtQygCGkDp7rtl0V9EAUyXWRpNWCndafhkSQ/8uWn
Kek/GOf6N50CHIBx1shrjo74CoYP4DmmOuVbHy2JdeYClmZ8RtV1O6ZV/z4Q5g2IhrjGFwvSbcu2
0CeEJ/Dq+SoZ/RicgMjXsPGpay5apq48TEg7PlPTxHxodFX7XCyZdxnUYL2dugdppIZu/RwE5qb1
9HzNs7SPYOjL6s5fd4i7uGSdTqehWjhDPSk6gyWL60DWsdgNRccAQmOJrskVDcmnrDhogstiikO5
SfNe+yeiTFI4S52aX9nWdvc50gzYfrxN/k7FY/mc0pS525aT+6aueU/iuabda7xhOh+KH6dIRlzS
hgiZ5m0OR9VvAXfnyU7m4XgHpBdIfjKjPjgt7FaU+2nGXwvjt7JtghacD7qo3Np2ox/cePS8oB/d
gHcXTRJIVVSzwEr8RJbETMqMmGgqv+nDYw8AzQZiaH4gRHJ5Drq5ujRBgHmC8hHn0KoJxDEEG6e+
ZNI3fOP9ZX83Q2eqyYUgixJSC8KjyDgjN9CQZS+OMweYl0spbmNSgNoz5Vc8ysnK0R3IgnJ5kuTh
JscyCVGcOUO9zLtG9RbJovEIZqenZ35QEEHBH8NFoZIHPoM4cvamy14jXcEuPXQfWTHQ6y1RhDeK
bYpPX6Lbe9bAGdHzKGpxvsQLmQLOomu14Ygy+IgHhA7HHUfknQU47FlmDivdaE7LjTVyem6KiDse
aJVVPnJkAvN10IZ9aXbBFzMlAGlEocbglqRrXQocorXWYeR0ZTcp4xhnWgo2l+BrqGIA/FuXwHlc
ZpwmdJMD5zAbLbRjLY7wuXjyG1dNO06M9mwAjlvsMjKHhi0nP1YwJTplIM/2AWVR3FbZ9dhH7bcg
0crlJ6gZ5I8VVJcSFG+yY1SR+1fCTcjNFF2EiBQEmfUQMy7C8+0pxznJirg654HfvbVz2ppdb/Ta
4Ym8RUYrIuQPweBRsUgRrIG1fQ1qJ0TAN9+gSFuztpdmdcj5NNu0r1n4UVcJr2vgZOl3i2zO43zM
oq+09c2jwUwJBKdGKMk34mG/XxJUbaednnjtZDCl9xkm/ldkEO6z9Nv0KTUMCzZRlTBadhHFXAfR
op9y5Rd6nW75+LiDBM1c5cOvhhbWTOPaUui3ujP0UkoHhocm7GriufwS95pp2iHZ1/kCztqfQx2e
rPsZHuWVo+8Ce31cjmaS1YHN3groRZfHaCr28udodvBNGTo1LFkubGhGhvCHaQaXZV15RB20iAkB
Z+dOl2Nee/0JUVLygVdNvjmiGK4Sj7yVTTvmut17UY7OgsenvC9l391E8Qg9u5wse8+tkT+RAGKg
6rcWhG9mR4W4DDxjMJAZTRidw/gI7kKxyBOkc0Q0uyKpnxOq3K+iREu1Se1FYulJWv1iFVzFNg1D
KBHRQsl87A9F76MukoW7R29XPIe+wt+CZHlYziCJ97QWkcw/OkTGlx2KlQ8bOuwziyYEglo006uu
0dNsmjnrnnVtmW/VHGYoLoR8sHozWoh8NLPJ3PW8lyaPxW3ray8jxbiG2znTZ94RBCHplmzmxpsp
qzuQBH6qHsldyW4YwNUvrm9brK5osohEEbH5SpIMtEUF9oN6DyBxCnGD+Q3F6ghMAjnZVdyVFRPz
ivmuNwAcXGbmCruutCmoZ9e2v5sU6n6FZOd+DuY4Q2eREoWejDp7p8JENmBFvEYBaOc3OEbqpYxn
Jgx+x2859CXXmBdpCXYqRgghfN3WiMAqCrGCXUKxWSdr/c6emCQOYQzqhpw9fGQY14Nnz3QgEnnw
5A+J05jkohALXYFi1XQmid45WGGJXz+KA7Zbi5MLzhBnKDmv3JBIwwbVLIXN4GdPo8vDKp1ELA8t
eKoK4m/FzVrExUeZeKDfGhIhL8J6Kpgnq5A2duGqA5Se1vIyDl1y70TN/BrE2Ae2necTWsvaojqV
hsdDVeQhJjAUsGaL+IKYdFTlmdjP7cR7aOtQnVbaZNZlbKXlY2uG4loW8LDBvzhMO5S2exxyeckA
dCZ0T7P7mgiZHSw2Y9NKACUfVpJ9TQTs8F0loiRbJhgAHQpTCoByOQFFuzknyGE3TMn0MCR6hjQe
+uFXL5aJx025GGRVhgYiJ8b7cfFRau+HyR6eOhlxLroIm8JNXvkaP6wr0++j5djX2RIEKc/Cgm/h
zI3BAVwUISuPGU32ljU45ECnyXKoFCrPr4vI78ID+Bp612aKrWi3UGvfWvawtkVWS2loe4zIt46m
fN079RJ0vAWVudGskiSFAAO9k2mxy8se6RvRslUR9+dy7tgaTtMsLoiyH8c9MTlD/zyko/897x33
yY00nCbKyPyD7Of6QScWzfHkzTH2S9H+8E86bLHNEmfIGWVfrqPtctwx615v1KHGqGK1Qd9gkDBx
vqlZJo3briNim/tJYq5N0Dwheqd3bLdM0vUXD6bp+zxMnWQwrdtnbkAQonncEb1ZSjPd06Iy3ZeE
813gt5iumxiZIJw1W0IxFZIKzOJgZfhGkJ/aZNDjX8dlAt2U6pRd6DL44gVAcIPBHRVJuJAQHzNK
MQVCtu04tCKGrZEEF2CZuT5FZX/tmQiLKBFezoa+vCoPipXxeD6Qe4OczRuyHoVM6V/Vdjl/VMGY
EwgxFW+etKqnHgBAzOiyYZblTGzhD/Y8dRGATmN/DxgfI1awFmvYcvqV79qfQX10qZffWkSqV9Am
JMunJpIhcwwnXcfh0WJOh1ApaFJ+lj+7OGMyyB4WerU2dFS471sSfsgdan3CkSUREevef81V5Iie
bYuqI104yHZJT+lyJZDxXaawtnhLFs8f9yg9i2xP5YYUBv22B7AxG6fnlNQ9mDEk2zRnS+lacA+5
XTJaNX+ISdU0TDnpZnkthnxkkeZbJiy3FTKl13mxfJZTOdsiordQhGzttiDw1CohWiG4HuITPlPL
M54AITYZjcC3tM2Lz3zx1HO3jOhaNKFXLTxQv4jJAMs5q7xgqO/ccPS4I5dJs5k1o33FbAOdk0K3
95j7WKe20aDCJ7tjyVYmBS1ZyBwV2FaEXKNERFTvCdEh+BpKCJodlTNHPRc94VuMlD0LpNxoTYbX
NbbdbWY0cPk5b9Fp+DNdHRTFjKJJMpp5lw6Y0LOyGoC3i47PGr13ZQOtYbuJbrSY3Q8F/WY+QUJM
ogjY0hwIQLnwWEoMn17OXgt0We46znWXBcu4HeepeqEkbl8louYaAUNum1vNKx1tnAiZBUabWLLa
IXKOhIW+9T6TNCBoQ3pd8OoOSFo3DEvjL5VTOPI0ZcH/YHkzVrMinvKHxWuH2xTQw9qhUZKyxEzD
rwJHkg0itXbfvNYF11MSXrBqaOsgxqBA8suQWeqpULp8zxNG9LtBkV67lWNB+EyVMNnauE1rX5qW
hutkYfNR8KYnIVrPEZL2hqaksbchqRPvDnmbCBLxjaZgSfN42BWxt6L6NCfHKhtYGGzSQoePnR7E
Zxt4Y7AzjAmusdGZe6ty5/Eio9cHRN5VGGrRrAfo4/ICRR+VxXwohjglfIPh91Y7c3/uAX9eDgQf
2Aw3ReOTwOSETbKd3RkmOxLKEibuLEcoAQFxkwg4DWpYPzLLtNcjT2ecOQ1TE7S483CG8W64zMu5
qr7lfPsb9CeLhVx+UhT6MerZHWkDpjxO4GI4W6otbpw2iUomb1aEHWnPXiQZdkM3BlCVWPmV2OKX
CkJt187fCpO6D7prVosV2lymtFlTpge0HWDCULiDQCeVmKU52aLrGcLYwLMiytCF8Bs2E00OS2bp
2N67ZqiyvRzZ8+3V2uexy3dBQ3Of06k3wiK+eEkLLUDqtNzF4yCip5lX3wOgVrEzxffpflOcVqTa
YYpY+R/ALbddrRSkwTlEuSBkZx5Ylqnv/uAza8hbvcpYVZxbG9xM9uM6qnhjMSmHA3rGrAXFJikM
41AzHe94NvrHS5J7kKQRWjA3G4njYAZZTuiestF6ax1ylLespDnh8zQIz3K3IQRMCSusgfeL4bU2
M/OIDkuC2bBTAslowSa6CRrHEm+MK7F+lh26+NEZZ1YKbkjoeM6UwMCw8tzswg9RdGwrxTEN0Spf
Q6RwjBAF4oKX27jofbKbeF6yx47CvwdA2IXvTHKEB1AyGKny5NAQxeanaJzCwpmqE+naxBji+nDf
GV3QyzR2V9HpFnNPVPyAsoXPbk2dRTdKyCBPEjgm68jlTC0CPe+4rlp2le/DpQMnv7K30tGDNAv3
Dfv6vDAvLnKa553s4bJtsXCqr7SzPO9ySqcoOZRzDXEyZjOKy3TKMoVYyoVtL0hmO3N7P23RRfip
txkn/rxlTTe8pUXTsM0fQ16k1GsXnl6tOz5JE9jrvM+14GvEFeadQud+tq/VVANbclWKHsnunOzc
GQ3+hUkOMJWS3k+u8s7ubgi/RbaTSxFnh5I9GK1bs8gECZhaQRZLiDwyzwuX7zXbbrbzxzn9mpeK
vsgufKCYeeGxsexGs7L/RLfEF3VU2uk5XQFHKUaIlAQjb7a+k5cDU9SyHUaISc8TbxeEPgwnt0pC
nqUk/WKWYcFMrUoLBSh2CtBH9qMMwrsm9PW1HuJ1cDI59kvTTdOXrfz8c7FS8cqKJoYg6XTVeWkh
UgGQNUGYaNvqkY1rz1NDYG/az2kKJ7LVTVDsDF8HpNBGErGxJvQ3IOAs79Om+yUiChAm3G6dpTy0
EoV7NOH/r/aM9yQfJCMZOLEHzhH5J2yGc5KP7G9zBQh93yHhy7dpKzD8I0aROcvMCSdJJFPigdmW
zyDRkZ/j8l8888gohpFN5CbKeS/YDfnniYy9asMbGttPOeLT6iS1ExZ7vSOIuEpBpOfftFJJ9Vkh
UIIwiwEX3NTiAub2Rh1+4QDscY11scc9x1jwbEYmjNiiLL17bIeAbcO6XVcUSMwg3UlfpPuhGZNk
F9ETWKheMPZsj0Y5eVHW5f66YaZnx90epLt+bmivjjA1sKOdFr1FIwmRw3gTyos6akO1PWK1LcU0
tHR26ZC8RF0QwSuaiW0aGY/cjmNBhNQRxUhgGAwMW69S5j2lqn0P3Cp4qoMuOz+yUOw4NiF427Hs
6h5Kl8P6JWVUhrtwLm6OwjyKCYuR7rY0BdOH2Co5JqwwR84vYfo+05PI5aDbiDHvUWl6MS5hy8NS
lRatYeDRdGnpOt+ZljChQsPc0rarEZ5p5I82llrbcXKCJoP2SpfKZtFNIjPtb9aRL3XUDzjxLM4j
ZnOagbAoSkCPOKHZZ7NOiG8rVu4g/guvW3ZWOkCaTXxrTneN31YsZCsPTrdTxz3uTcySiZc00XmZ
9IDXjmYiavn+MMqq1Cz5iV04aGMq06FdLP25t3adCePzoyzpdYGIad45FR8N1Kg8iShwSoZgbRVF
D0ddgl/BJxtklxG7xqR9/oA9TpKMRuvR7o9Gw9GeDGOxr5MsIAw9Z5tJBTpD9kajUx2M6ZDUHjUC
TjFdW7LDvRC/9lEectILL38fYt29ZfDkL33FCb49Yjoj6ZS8Yi/DdC2mCObg4LfW1GerHKYtHetC
61vEe3tOpgsRq/QtGtUQ7Jxu6F/LPgifA3Y3UNlr17I3bu3KflObibs1m6bygKaYprTP0ENuo6bt
kddmMj0zpRu/WzGTTaTS1XXn5g3+QeIW35Cyswln0E9DQbx8fZ7xg6FMsmLqTwLmwyuVDwolpPLs
iylZ+VI5VuYdHOSjp2M8wV4+KlvbbiMMjwiyrJlSTFkKeGEZn4nCpzFTkT8c5CB/hJgxht6Wo3Lv
j1CQ9pbP/ggaYAo7FA50ebP0ciAAJcnuWrQAcpPYqfVMUpD3TOR6ecM6uXiIlDd+HdlxmFGA9fM+
nNHVb5mZUT4QT0zG8FGKaqJQsxvvR2eeLudEMlgVSWJzkwqyxFNL6VV94JFwEtlCcKW6P/ctRo3b
IgrRXvvrhi8NmlUQTKOSb44U8oUhItPq0NcG7V/INhk+pTs0n0eu24jFRqN0cBXmK5rbAUqxNYdQ
pfGKSQb2feXfDQwGQXi1dXPfGN3VfwE/cP7VH80wJyCKGpM04AH3VxBaMXMApNMK8He7aVvUPYdp
VlnG2Q6DgOvsVTbYfkP2+vmIaONb6uA1XQ1JCzTFlPCJyi0hSwvUsRdj0SEmKZVIM0SPq5JZFkI9
UzX59xa4gzvb0BwTTVZ6dz983v8Ro++6/azvdPf5qS/f2v9av/R7w9oLNY7+75//2v/+9/QT5Ix+
++kv+1pLPd8On9387XM9Fv77v/hG//gv/6//+P8+f3yX+7n9/PvfvjdDjXD922cqm/on6smKd/jf
MSk3DQV/+lb+y5f8DkqxAgJeHNCrQYDbngIswNZtPnv9979ZQFSc0HY9oBbuD+zJP6PEnd8Y7/F+
+5y3K0qA++EfiD1X/CbcNbGMNTpFRhD9R9kvP3vK+Qk2Vyci5kts2TlgfrmvTFOXC+lE4TZFvHOF
4FLejn2iDtGYyjMYjexm29WaoupCXoohyH6/IX5/L/4NFMX5merBBXg2GesiDny2xQ4JOD+b2k2b
SsZUdrDlSi0mpJoB6YCUsUX4f0rdDXevmekePd3LK7+yKAomXIH7JRrxO+H7Wc4nP2gfqzl4wbzd
M9ee0FE5KY0/AVNMwQ9dHe7rKeiP//A2/5tLt//10iNqcUCIAGdBXNi/0P0VtS6ZL9Sn+JEpsDHi
Y9TsJX0aFAUnfJ4VY8oDel98oTQWjjxt3MkuzufJAXr75xfzc9IAL2OA9gaeQ2STChSGwS/Xgj+k
L2kWJtxiPrPhtGYXeIKFFjJZ2xTI4Io6xU9mpzI2WDRE2/zFBdgrfeCfpI/1jSTDAxRK4KH9hsbw
C51AzTMjnAyeYVNMZtnH4xAhb5uHQhwmtL7veaTxktleHlEfVEtzwEo+JiddXGlxPLWVzM4afATz
wbF8ZjOlBWRgX5pUxcee7GV/7ghj/io0wfZ+vWqMczEfS6btsIKiX2+/kdYssDW7f+VnSHcgtmAp
JKh2wg5TrlsHhbsxOxNsmdFMMG0kqY/zdUI/xcAAOLtDkbXXXmkFSOMRlDHiVVL/FVHk31wmL3Dg
8O5yjWGw/vsfYRQxChWRLHgT0WhNm7qPhjvRNcWhHQRAGeEwXt52zDCck3yxnOyqRfGbH08pUicW
Igsx8v3SIScIakVbLlGGOud/fgf+eAT9dAMExGn4oY8+Y4VTcC79dI3c5g5MIKch8NFPu+tSucQD
wjpooEHOJmAA0c7NoRpjT/Jgh/axDaJyPDAncMITmv9x2FCyR2dLkwzvPRN2UNPwds+Vz3RH5Xgd
cSV33xpfK+LjXH+0dquGxtt1liHyd8Yh4O2HALPANQ+yBKSc40B0gBBtHkLIAD5arrDvd8FQwTz6
81/+F+AUdz/wnTBeyVcul+uIX96gcCnhmw8MGUcyMggxZ36FVUcIorCMqFhxN4mibjDGy/dmdsQT
TAb4jYj2qS6boE7ILUQp8BeXxezjl/s75GR1UQ+7HklhMZ/Rn98UynQzRB68cQ+he3hqN0adUqow
So9No+p3sCsddmviC4dzUjxPa+YG+T43Lm5EHd3EtSBZwEbyeBq2gKpHuMN93nWPgxjMPVXYM8IJ
97REwE6zVA12ttWIV/Z9100XsWacLmvidEKnvpZUTiiJHF3D4640IvkuJ5kgEhgG6w98lasOhDzk
dAmuyOVj5ynmGV8cojhabIOYTJn9LELmXZ6+a0O0zV05f40KqwV11+skurmgJ2hwnFpdn+yr1hPw
K0DkOyjOz7uIQFuCpMWhRkNcbLldso+is1afheJ6uVXDaN8LJhMbSyr/Mp5L+hQWZVsnHIazeSJg
SMT+MfQr72Rpp/bODtK7fsEnknJHnLCaWC5pCRV9L8ZBAmdVe9xOQfRmKUZ5eepml0klbSr+JHjl
KD0jKxLOXRzEJ7j/4c/SGp1NsNsBeIasXRkdrFYLPwU0U6aO/6SClNIvtO6WnBl6n+v6FJFqemxr
gsgqSealmpnhhuiiv7WN8xAnqrh2aE839ipFJUsBzmsF3kPWF3Nqhc8dO9lXlIPUgShDaBdErhfA
s4Ym9SwGcfI54Yn/qKDT+xM6O7cvjvtyKm+Y7U17JJoVxhn9Kp14Ooih/kTlwLgxViwMd1jBXBhO
IlhYDnX5u+hobLd0z6O/bZmwfq3t9IfyXP8mJnnzqZuS6LPtFpIhWNAwLtYZZvk8kMdtf0nd4XjV
cBqES32CopcxsajPhd/Hp9gp6nEb8j7sPQ8a5iLAE6OAy8JNRaD5rdHanKZLl5yi9ayaY0OHdMUw
K8LdQ0zBZonH42Bke+z2UQDis62PnTHIHt05OU5Z7Z6j+DL7ODbeWVpkiCdMVXrHw5jVp0xhy5MF
hTCnvj82D60av49FCguo9OvuLbL97t0x6FM3g/GWQySdGmgN0B2NoBy3GZUNNtymyd7iOp2PGWaz
6Cf9Ef1yq5+Q6ZPvZaFd5gS3ee5EzA6bLfNZw0Z8APhugwPbKFahDNQKb8j5JNEYHIopCLvTDHzK
8ZB78Gor+ZxavnsX6Q7Z9Tirdw7WgkADR71muIBv1Lj6hgSTJ3sGo8+LTmQcRuRtwQF7T2YaWbZz
GBT7DP0txHgn7zaWUzgPvmRin3Wo14NglSnExZrMiaWeMCW1XKYdRiCWXGQVZ/Ky9PE3xJkXn9Q+
ebHuCDkYr6p3rMzw3opleLAd7ljAL850ZiR7wxFnyRY6XnlWJuYGKdwLOB5o/SLqTqGL4KsOqZL3
i2OblwYVyW3MRGcbGwzwkfGyb2k/WqeMAGtAbTNsiyrEKGqy7n5SPtLrCpoCoFZxw9/kIygHks5D
olk25FqFp6l003sikaZ3dgX5s56ZxmxrljObKmybq5mhCUMKzR8T23cCXkjYtRtEUJuQBeWLLubx
ZLaAIvMizScJHRUz6DIB4UuecPlQLNOtW5LhM1nB/L6K8bZq1u/QzD5jpdiZt66VnbudKO8qRKxX
g5OPXwSbC2pfuvwLy8P1leRWdoIYDNDP4vL2uYUh/TqZDMEKPOceqn756CSNt2fp5hstokFC70Zn
pBZOgK3WF2Hidfxe5WY5DSskAoWgXUFbalf7KZ/1NvUTgGle50EGsLMU0RBh9bZj4V1dRvz4+17p
+tEpIpcsCUIj/LCaoKz1wYktsuLMSdo3G7TKbc369szv2+kYbW14QGoB+2kKBOpxJv5D3fWPSd0m
F6XpnFPk1zNU/lHfqLIvrnvNT6MlDcjwAQOBxogk5BFHVZiU5XHaM+uiAjNPhAfoq6KrRlTaSOX8
Q8JchRVLIdV1NNHK0OHqDj1Mmn6yy0Sx0grOfUQPV0FPI2ECHe8R8hGNg2V6WsrPGLP7ZRXV9V5W
QXfDNrGCOBAR/Y70nXHI/NjWut75jU7ANa5iBpev9BI+z5tCYbQeksSw3BC5a5Gq5ds0VuNt2jnF
pT9m2TcbzMxp3iQFuviqZD7vxaMEsOSLR0VjdpE0VnDRKJ56iD8YdPCjneNSEgjRAbw6sZvJ+t6F
mJVjMnoYhURnVPxYUAMWdjzVOdGYs5iO3EWZn/QzfQCSlWZf9Loj5Dpy7lugNWysBu/D6t34Isoq
nNaeHkag2c4BocImR8j80Fe1fQwVKLhvWVQd9ETqN7kpzmsYV4ceZwgvi17sT58V/ybEfnqTIJo6
pgidXhiKLldtYg9X0k/JiEplfxqg8CSsqi0Epsh2OnflQsJmN6uTUStvVwe2Q6JY4J5LIioexql9
Gpc4PsMrAvDVhDPyxQQWApulAqukLM7xe7G65z457nJTn3m1O54A3LMYYpdMxKTjrCs7cwcmqyQs
kbMlGiv4GuxB78FNooAgrZhwFebshyrymjs+2eX5ojpANl2HiDCiAidMARMBQFFvPxPG8ciGXFzJ
pghfJrcKT1KV2HLvJkm8ZdSG9ZQ15LJX9hjdi6TpHhW2j2eLkR5mSzSjnzaN6U1QLwjye1z+e2/d
52FUXN6c0bursBwwaE6Op1DHd0kxda/DWGLNIFnkyyxN8ZnGbXYrVyt5oK3gJOoT3M9Jj2ejaCOg
98icptMgQP0ggQnqgAiSosDW7aJfQyERs2/psuJSr++Z46XQrXHzIeGVrTzJA0bmRc5HxJ2FusOp
09NZeFQXDMhdrMkLK0rWzmA3R5neOk7HuqnyC0muWeycO06PzK2tLf97SzLoXeKO2ttrlu6PZmyt
26ylwEfeXRmb3JWZIFjDzL0i0PBudH31pBo5EwleRR+Z46N+IUKXE8DLerDctZhvfCagtNrVClFx
y+ga6QK/u64zdBN8sMg8ifnUH4Zpzi5QJDbfCLkXxI+KGfCkz85zqubOOfhShS9OaiSQfIyR4Yby
L3rwWD2QWevGyEi5WdEK+V2uD7jBp+ksM3kePfpNTUhrOcQ8MUNE1uyMvdjDEdN2FZEftOOxomCd
+Qe4PSq+HZH8AFJbdAB6k/UUj3O2H21wkgTlfMPdUaQXsQRsdMhVEMQ7I2C0HBwZcOCkqJJOhl7H
D3Y2VB+Oq9uTkWbvK1WEs1BbVPpyGpb0plps0kHQuKtNlzN+5dyJCZ7PwqDJN6yxL7NwlQRkdvxR
Cx2BJnVZYltpqF548qJhCW2UkDJnJ5VP0gNwLlb4neg1zw1suMFxYkkCJjWj0os8thXK2RzzS6Gp
b3Y8eZqXSqUgfHDtJA9BF/UDHIMFegs5qI3ZjYuNWCK0AuUgYx7LD23c6KFExXo1mY5vPDRqXeXm
jfWW8NhCqR5hZmUxGqb3xeQlb2KBGLKZse0fd7jnCZmJVPRgZGHqY2Ro4UtddOArJgvr3LEdz3GH
zAoXMUlfWfiGPZRY+PKeijB4DaSFB6EKtci2oumLKwv1J4sEC8jWpp6cLDoEpiNbnGKbmiRyUfEL
KxM1Q1ZItZtWOrBKmtG6Glkhl7j1LP6cjSS5rEjq6MFW7sQeuYh9DH3D0FpblkZx/lq7Q3bBR7m2
zoSwBn1MeTAsx/nsN86eQQ+Ju6vAuDyHXUp+HpZulA+I08Sj1AV8o6YSI7JLAl9CLKchG3Tm+Aiu
bOHDDvTAzLFlp26RZMNU4aMPbygnwIl3dI9dAxgePgKK49rglIB6r2OqclGGtx685KvZQHwI4px3
qyxB/m0weqAwcVR9aQ1T9IK5wpqARkbuvg7ImGyWiYDbLLhRpBqfIfax3pzMJmyGNDResBy/noXG
NCBFLoOiNKbFhHK849FQBTbRRQjsntoh91lesnvdN7glzgdsi28Th/dVU7bjV8wskqTeyWpOnAzt
9a3MOuwkeVXRcw6dY9rjItCD3s7ZwgJziQb4Wly6i0ACWBYeHFxwhAZkftX/Bd52HcP+NPRiVxvS
VIRMPXxml94v2FKFfLQfE7vfhIr4KMKt6H5kypIN/kx7HGPGjCDWWkjM6iEP3sZ8ccVWmxJgQDA6
oDzDUqf6ukkWy9vbrOsxXduLr1dIAubkRerhZXAmEgmtwlTnAhFyyN0xEvqAFA7CB24I7WxHocCL
seu0jjla4plObWApJrIlBkagtSLiCZSJv8VTS6zxX8w+1tnGHwc/JJsz2mbo6JDWAiZjfZH+MJxS
NaZuVjw9Tuc8/e4JHJXbMembT+zjKY7HwWyF29q3cDAo+HmgoxgPFltvtV/YlzgY82u7lB53rfSm
q7+4uF+HtFzcCvdgmh7Zse/9enFCRUa3iqqvr1T+kCY2jV8nljjnDlTVeIH/Kgf7Mwm510vuN8dh
qYittjxFb/bn17LOYH96nSIB4zuKPbY4TL1/pUanreNkqOGJFJ/ndoe+9byKh2mfBq4+ACzy/+Lm
hLP+Lz9u5fwCJGJ/4Ipf3haPNauRErEF0sI3bU3tow56LI46iN/+/Bf7tz8pjh0R2CtMPFyZw3+4
Aaq0sfImndEwSLAcco7Fmaoys9UxvvQfP+o/WiDdNxX/+3lV9GP988890qX83oGY+tK//lc/rZv+
/9gvsc37w8u9brr+sZe6eqvYS90ZqZfPrnyrP/64YvrxVb+vmGzxmxfbLJZczEvEOXnceL9vmPzf
IOp7Pm9NEAifwpB/qdlXZX//mxf+Fgn/D4skJof/2DB5/m/rBznGtUv60v9wdx69kWNpFv0rg143
E+SjeeRiNhEMH5JC3mwISSnRm0dP/vo5LDNd1UA3UJsBemqRKCArVVIG+cz97j3X0x3xt9+na5df
n2f+4v7lhOfX5/ofz73UDTYtXee7gDbt8uX+acbEIDtUBidwjhBz9JJyTEKwxjbFLDXBq6srndBO
yiZNfB9HVCSVbwyavADhDw7RrLgjRmRwAeo0117TVvekc96qpisPbdAZN/lYeqdUyzhATUVPDBxD
gE9EsryCx8DZd3ZoafHqDQ59cahCb3HosWofx3h2D+SDmg3gD07EojeGE14QGn0CJz0mddtujaac
X0eZGP5Iyqw5wASYTiFH1JORjPcFhAB6jLVqZ8oaZ23RA5ILYTi+tIEN0bdoMeNW1W3GCRHuS1H7
Mut7dw10KNwx26ZPsYHEnVpk71f1RPCjjrCeKYFTG/kFW3VS6daKaY+3DrnhsakqC65IUh0lZ5hd
FhYmdbSy/xzwOm9r0/qqm1hs9DLWQfBa5hrve3J0Mmx8g5bRyGHW/ZXRhP3RyFSKh9Uw5GHoBbH9
AUEad5OJDDFmTfSiF5P2IbSZGs6Kc22fc/S3jXg6Mu7G5iqNUXtloiA+8i6R+7Y1F/OEo7zX0GjT
Y02skK5E4D+T1Wf7vkmz7zEkupoWyDcBxYYNDvJ9zzH6EJVBgGmalltA48XezavqcahZqbraDq8I
qOKUJdYPQzRt+n0ZNQ3lu3FGXk9i3uyQDA9Z6mnXZqyTfnOQ+LyS5tqpTJCbYjPnDD5rQPVIcy+x
jKrxO9v+Ljk8n8B2s8nCmrqdewv8WMEV28FEcig7k64XpdU7z2uaExx/uNhm6oB97rNtBuVlL4ec
qBUf6qMAk4l9xEi3GKvEDkYy+VO2Fd8GSEw8UDMeDEvPhE+gfIXJP1w5sLtX1Qi8qcbqCb2muB5o
McTYIj8GeNUY7ktqzqyMRpZRPnsiV9uhRR7AmA/2J1HyiJHJuiKiR7OzvnSpyjj3kUPojM5teSCz
nx+iXGHD9oglOoO3y/tef2KfcB8s8lDbAR47FF09oO3PydxN22HIjMrEeimzLtrXrRaqFfbB4oSY
sdAMGu4TeelCsreaxHiJ8AXhP+77T04cIFLDReYkzyZ8NB7j4DaMaVZ6EUe0OtcoqRA0NkMh4w1C
1aLESBuhbjGYm4KkTVd2/OvEZ9mvJsZgm3YcnA5P8vgm6pm6WKw7OIci+6Gfh7cUQXmdGZl5bdT9
KUMfXzu2YexMzTZuIJsEmyabtB1MFsqAqgjFH/Dequ0d40qpEW9XkVd7Z/S4PPGg2aBC7IgTMZnT
7gkK94xVj5n5JrC7F81p58eFA0wUhotdU+ZbfRzLfaE1CPlaTdOwkb6UlKVvBgy0z7yq3ZkbYnab
R+OTDDy572zN3DicjIFx5bV5Q3z9LouzlAELIEdurukl6AAcWGlLSCDFc3ytPGF1G69MUJaLUqVP
DqPdvemCYGqRTb/UGBmnyeXqlRtOY64T0VLcqYIhWhuj3p5zkqrahkiPuBJdCz0LS1Wj/NHxiuso
VckpinJ4inpa70oL2TDo5g8NHe4qqsr5p5LwqFdW7ky7ins6N35nROSh9dSgo+TLCDKN6VGjdvC6
2mOR5cNJpJhImEWQu0kfU82yKz+mVVrivO9yqENd3Hs3cTmZ81pDHX7mQKbjj9d17OhaMd+WWnHl
hkxDTDcUB7Yy2mIFAbAMCFzJEyqt4mEsHas6MO4sdhFuvwq+B23CHuZ5kpFHIam+GCHnrlqb5Y5D
XLVUVopsA0XhKetaByhknjyIztkSw3TP4UAmUjKwRI1fVA8iLjvMl35QBmHj9yAyDqYVdecQ1Yv6
ccvaiaq1fC/tP02FKuR1SU5t7eRtDUMgS0w8QdEIVZlqCgx3WUaLHbfwq9hJANTG+a7Mm3jrWQVJ
i/o1A6ZHreyLzLJrS4/uHY5OxMvxk2+5ViE1CWKjDBNHyuHS6r1HeAKFUNJyZywPiWnWXNSzZtOZ
XMYxSIbGHuIKlLy5oUCvQ2fCX7Ug4PNj5AKQMsegekhjOb3FCtJaMjnjGhY+N2xQeSSb5/JVZOrF
6yfanLwbt2WBqvv6Z1sDKmlFh19zCaoTfNomqRyvua9YIGji/pDZzamVBJ4ny0XQNkIG+MNHMWjB
c9uAiDJTegAZpMxs2x5VgURZ/Jj5BYtZ1NE3nbA3aqbr3YWBCG8ylB4fa557m2UxUCImCR3BMsX8
qbfxjGoDhaWA8e8roP3v2AiQYTM3lFh84+CA0q92TWyPrHZd9kzWd2TYaMw7F2o4XKA4oLxKli9d
VRaWnxjUbVWydA6GqMyPwKig+zgFmufcmvKE59D+WUaZuPGg197WVSQpz+NbvbFCgDtrpzkKdOoj
l5zgqcS0nJxo3s0uYxB8Glyjj3XAJuaU422ICYjorJDoixgfwqalE1hWkh7YePDxRUSvVErY5C4Q
EV5TLawOhR2MxUYv7IMEqeuzLrv8Yts7HkwdHr49nmwxOjcpoVjiRJlR3YbjLN8RWi694ej9lmMV
wY+ITOoVH3GgViBWisuALPRkpvpzU/JGjSBzSEvAA1oR+KdgMMzg0MPoM/LOfARZUCJq9mBqC46e
6IEWmUFVc4hAtCONZlO7/FLFLvsg9AzIviq4ckRWXeOg7e/qsBkPBmY9bJiKDrN8AWWXZsLujSfm
k+8xg5WP4Ma+0oMTX+TTUxi5Gih7UuuN1a6FXQtoI3lwnoHG7CJI/WSwRYYFgmAuqgj1MlsQtjut
qYo91s0r6CbGKpXkPI+9RbpM6yMdbM40OyBNsGfKlmbnsqe2l6L1znprXRvPhnA1TBUJrnXXcAjp
inrcE2WcrsuginYzJrrjiG/8IYHIxxZiTHRGGO64HgxdXXqlVS1l3o7tj7zs9h4CibkQyALjzRVE
oxGPcCeCP3F3ZRyGWxm42n26MPdieO14gwb8S3OdqNfadFz9nAER/8pM1Rn3UVCMNk3Uct7icjWD
9RzLtzru6T8yUOjElnIBDTu+Kna2kyBdls13bWrfXPLMe2BbKKe5A8WfbR8eSFvl755Zka3Qs0Tt
UmaR17Ul0QnN3H2Cf0OQit/Vjji7wZpEGSeSCFKq1dQ7zFv2VtFkc2cnPCrKjalKHPp10jFK0Kea
azXzMsy0uch9C6rqtuUDv7E159niLLllpBEwEpfRZh7H5MvNSW4wzDAP3cROymwx3etdVG34JOj6
wCf9WDAr3vT5G7x2SkSZqDOHT764ZibnwuMkRlUzR1V7Z+SvEnfaSsbx2bLn+7DG01u1Wv+etKBG
0ra+NBmtDpxTbmtLbTO8zSRRvkTpbdypuGOi9oUL7g7r96eZih1oKLknPSbOEM8eUDUPWSYvAV5Y
6AHGYZxRtzCTLwRSEohW5BzqkMZIInvkcqTAWWBzph90WDLRTpCR/hiTIGLZhJ/jS2+hBmA7bu6m
URnePohLuCZk8XLtlpi8LW+1NP5EUEluBSrmA44pkzlH65BYFFN4q4X04Eo9w2clBe1+TB7ug6Vy
ffbGmfwTFfYpSLrNANr1xrOniaouj6ACWlJAid/sECSTJE98alOG22EhlWy9TNdoAKmTOxibkCWG
lVcb05U+UKrXeEm8d6uZ20KUsbvmuhUdSLhqFzmXuMvKrp2vLZAeX7pVh1y5SrLfdl1eR0FI66OM
7QsRhXojKzLNBfggncXYdHYdpxxiRrssayR/n5lGV2uHaoC7qo42sPVZhXO08nQIik0GRSBeFXzA
KPa1yd5rqhMxp2GhF41XOFgX4fUFT+9SBliMlBYyreWs7SAT4742Ib5QMYrd/VLhPF8lwr3LIBz4
BZbkHNRZL7v7PJ71jezmfO8wSt26brkKQ1seC2K9R/hm7Q5beH8bKXHOLHVxFJzKhev7rGs1iaR0
YswvEnjIk4iuHAUYyxoUUbkkQ6zGoH+whRbsSt2bNxNH8BsZu+IqMkaxVblj7ewM2R5sorpNAPEf
ZzEMh65BeB+xOfd2fCsx6J+tdtAOzM6yq2AigqyTdae3PGJwsm3jPr+Dg/CzS0pjP3T64JM3EfT4
miGVknGnFWAMZzkwI8L8HUdj/CjFwCtLZOMO2Fn63I1ZCgcmQHDdDIPePNQuYQ7uVIvtjUobeQ5j
i19SRj6UChXYDR0c9VivZj8yWBG0GSdnGOX1OrKKlxDB9NpgUB36fahBfytit/HDSnupSzfZ5EvT
AEMrfaFSzscZjMVaZOY+hS6FJaGWXCOT8EIcxNuwwuV3tj232wj1bq2gga7zwhk/asbwPsgwHjvS
hECWIdc/L0jAYQWOn7N9iMRgMb+K1pjCzKdRucauTCBS9WrS/YHpzbad6+wA2Cm9oojmgYeBw0/X
Tvpx1hpE6bqycrLOmjq0XYB3TZ9K9ueEzzdSTIe4f1jLz4JtKBjHmxzf1H2N2NdxS22WXvRJnZrB
xa/NAeOqMyXVuvU0UYpgV0tNjPYR0FG2XmjZ30bruC+ONiWHVG/Gh7+Xdq7mlioIwA1GtLxdzToC
Dre3vcFYx1J/N9xkOP29kwmQQcfC42Z6/V5XHh10oTdeV5DHkpghkITrymkhvuXamVwbozFd/m+V
uT/5wP+DWjS50v9b+Y4R0FcRo6j+ajY//Pzvv/3yR37T7pwfGCbRxDkCotSht/yu3RnmD+zfmC0E
b4nAZ/wH7c754SL6SNfiFxzgEkH2H9qdJVCX8SHibF3cwH9Fu2M2+2f9XOqIxwLdWpoGFm0hLbTK
P2q7wAFkT5lPvJ4qPX8ymfx8mC40tpXCT46qRTsL7a9Ed130Lg9KVWbQqbC2Z4sGB7zdw2dD+gNz
oFeX+2jquNsDCBfXujXljd/aVvjZhEUUEWKatevKiPDKLFAg4XdVo8QOyZP9dsLAFq6ttkYXYzWD
srV4K4S5syqvEbsiSuNHhD+j3IBXb6PtkKsAVK5VBe+iSjx2lRrqJTl0C/94P/dj6c/A1cHrOpK8
a6BKNK2GKGAAtwykF3TOIL3pwgZgc2MT0d1HToCbkVgO3zpMJ8c3IE2uPab12dEs7fqUhiZm9QH9
4K1OXUTGwE4AwPVl5s2HMR1DeAku8+faaEgVczcw3pMS/TAJ2uGswGOdpVECl2nZAMd1M7Evrdo5
MpJVjVIjNxU8X+1kakL3dsDo83qlV3YjNiOdZC9JGC7lQ7hVgNF6FUEZKinHF0Fo/c4sRtrBFUZh
JqdTSrc0pPF807he/ZKHtvUqjdB+kvA031LlqRsqYHpUv9HBc2nXZqRtKyxqEKzH5NokSxb3+DgF
rcWBN+8rNgYMBC6p+NJ98sLmxD0aDoTJZk/9qgf/Ak7LjQxe8vFSW9kpqEgfkwiLPGvPd1EoZ62s
+ICpNN7QRUy/0hbh892NilvdOJdL+tmdn+coxeJUzu31nMQ+hSQrAZa6Fbnc6Gb+geX50cX+ssaC
uq4MdWNPOW6q7sqw6XrKQdB0HR4M7xhphH+br6QaLip8ypz4y1It1kz9Je5on18OGbN707Ut/vOR
PorgYPQgpAfL3AVR86JSBLYiuVbDtOMoecvrh7aGz52b7U7ltI+KcjPIY0mgGgTLuBodsc3JoeII
jXZc5M+zi/8SPp6fyPzc6u5qiuU9s/hDEngckMJWPBD8MO+dbC4/E705mCOPoDuMox9xSMJHbBoP
QS+zhTKx6Qdd3qd2vMBimRmz/zIP2vTGpL04FowtS3XfIq2vHDe52IT0ToWNoY7p4fDQTO66lum2
C7pjFPb1tYTTZIVyFfbsc965FjHRyO5CVnkbm7M/M6j1jHd9uuaev05p17BI4OrPZEo2RjA9Zymb
YM1nKmlvDJb4OYW20NRcjjuYfu8dqFVoQSuPyH9CkVE7vzlWfxvM7b0pcUxAbazAyXIDJik9+kNy
nTn21sVGocvwpmG4ymLpWxhN05baSpezLMLeODAx0JLTgg+fC22rEvuMZ9D3kK0yxGSitt3G4nux
qnpPUvC+0x6j7FN0wYnINfnMF+FwIfXUp0ywAcSnOMi2vLJrb9zTSvYZOZJvi4b4qdUKbPP9a0RO
1SFLJiPuV8YDgeNyh6XxQ9O8d566U4/4BC4F9pLiIqSltwPuVpQg9SBV1q91HEaMIs016MRbgsvb
wIHvoBwGB3bx4rQtyWs8HBOKfzqCF2srccAz4vfFvMPDx+i9V37PT+bQHgWRbN0BaXGC4Qs403LQ
6YS4jWt78IWJ4lGG6SWm+ygYsvOYq/3yTLvZEFASCZmCpxTmbmynp5GI4t3I/4Yo6KvUSmPlJv3V
xNnBnNNn4di7sjcxFgtt16TdwZ7d+3wGrNjQ4kLDFIwnPY6PXrbcUrU19Mt81TfZNf1BHx4UeOC+
HUaCmLSmqSD6E7NANlPSOaZ97WxnqmH05sXsjTfi13tZ5Mk9jRQ70ha+lZu3lYxv9Jyjv87J090B
5EULlNeyANGDqU72Sw9FfS/RHJCeDpbbwg25aBPqSxzeDQDF8U8eqWPp+4Ki2Kar7zNYK7327Zre
42TWd2I4egN201o+tlXqV4TAAcoUot2NxGyxTw3jKZzPEhtNrbEuG0l8gy3kPCfc1u1pb1m8mANu
cYWzaWQOoi0n7Y2XXWdin5v1memKXKdlHnPMoxgSf7cPlHmxW8sNMiiK80Q7Iul4fD04gCrXNyug
MGirLYwicws+8rsZ7QM8u31MmcapKDzIyDaZbr1397JSN2zTgJEgZq5hmj5aQ+7RJwtGDxh4mG7K
1KF3fdiNCdaLtjoT7dvZHO3ZZ+f2Jm7tcxN81pl+xi24dmluaPt8k6bsAAldNl3OdUHgZek+VGyf
6R24UI+6WvgVMDK2Ntq9sD9mcYAddyPHG5fgzNxcdMhtgw7oAje3Cf6J6xw4JSIRjmZF7yYqG8Zp
PDZrmFs3aTCuuqwmOa4P7wS5zjUDKEZd31jmT92Uwj+xZny8Frp5vMXUwGo71luZHxRQvS50HgYK
2Z5J7C6G/bNWZOs4rW5yHCKMfcz8kXHSqzvXgrftE/q+n+jtx1x326HRyo+UIOnRxiztQhxpApck
wGRtSbqCUa/Ll0irgb/F+gV4tONP88UzDnmHB19PeLlK6I/AtdjBiIfvzXxmFYzfY6d+F4HFp9wA
z0aJb8e9YjE3uOz4rWNxjQ/Poaf5XTh4+1DqWLMRjvX4pdYkH1KKRK2MWy3jy09POohTbT2SQblG
KmLzhwOw0dqtXXtr9tKRHC/0ssZmVDdn+8l8aYLQPdUzDsDBvhpl/Q0C6Zwac+qPFCi1VrwGq7ov
l201Zezr3hj1s0WxLwvT4zyKUwg/a3YnD8rLBYH1eUzSA3iibR5kq3H8cA3yyVY5npRebRIw8FoY
7ZQZH3GPgX2Feifo7kWj2XYWwwmgEtxui2FTJ/ozWcTPvKZJT5/2dd1cd+0vNR3bqWwPoJd5jE17
a3rdz9BBYbDt+Iq807Gk6IxqWtIMDAJ9IJ8PDpW7K9io5mGI1bDOF7BQY5/RyQ7ot+jAO5YPbJC1
dpXw8zm636berjN6/YJHBwQb80ED6M7PMsBhY3CoIxa8thLCFO34ni+AmH7JsN1nSbilyA7F/M1M
XBgZxSu4axioE61MCjz9m0lsOIaTDSznNm5I0FCoUqSvNg3zUD1pJoyvaZBa91jGoG/FDmAeF2aS
8bNz4PmyyKdc7hlQHgnRwa4EoGDbQHCAzTUmNsVia+fGxqiAhGjjRTMmX/ZYTVOmWoQWZqt8csoF
aPE6V89R0iBFwDa9gRfNPoWT1rG2IVfMFJtxlk0YdbSSgWNHBxnIIiaWpnN0I0IgVk6LSSzUIaGi
Yur5QSco1ORElH0/CD14tiv25CjZczLZ17bBnIyAiqNtaNnehMFnZzWTnzPircKfvbB8xGamCC1y
Y7NeNtjRnLYg8kmBlGTv+xWRZx5ROCWTPj9yN8LZHlpbt74l1l7fxkwp/D7mqgE+irSEzYFYmVdV
Kp569YWssJvKm14/5VULSLaARdrQ4GNts+rDHUdUkbPs38dyM3lEDhdCOnVSOTG94iuw+0Oa3zCe
ONotHZV6Fr6QtQlvp8Gcv7oWdw7T8tJOKNaYCY6FZYgMzTUi7QqHMf/iFM1eYC5y0i0ucULNkRLt
E3Z4dcCuul4ICTVfeRVNEFkKg+mJbM37IgeAwcktVftBtsQMtXWkigg5wn6Xzc7WPOjn64LGN2+Q
Pxun9idNf7A7Nq25wk+ropZNOatY39oKzzwXo1k2HzAR16Mwf7ZdP9yCxGSTZT8JrO0UBkdLflnu
9KboGJw4eadAkftT4kZXk2Hv6QixbwuKZvX5FGviCy4ytTWaT80O9xdOOYXHRUGnPbrjxQiCeY+F
A/VRbRThreUoIzAbLh77LhLbQSUPiKjbzGb2PH7gSdhniXmVwMiGQUFwiOlF/UXbzoYuZt8JPpkm
Mc+ko4LUaJJZaMmAl8viFMps68A6Am++Nfq7Ru6hGvG9eitOwBDA7CfqONks5K3wcl90xroUxVWS
i1Xnyj3Tme3cf5sxVwcxPdSNc9WH+tllHbwmQ7Qji+13Q30xknKdUAoLiAQjBgKf3xja7eRE70an
rZROP49dQ6FYHM7tumbyMFFHgF1AuzdnePfSPmPUfxunHloJHohRVcEhdUKI/bN248mOkwzYAiN5
yegYpoI5i/Q1+BhfahqjccBw7yZAGSXdCyo+7MWjkdSXINDlpp+lSdV9HhaMV2vfDYsrwpRYKDuK
cp1py3/4PYdwZfBcEXnK7Qm2dKpfB+HTBDZkoMfMRECl9f4qnLW1OeYbpaxmxzAE5zeZdEY9w1tE
U/ODKOr9zMlvMXWE+ju8bd5uUAGbWjCA1zqOM2bxIHiBc64WU23gTTa4t0Rxf6RwAhxe4J1FzavV
xvE+trtm79kUpNU2uZUpCRTuGt5Ll6vo2hoNnxF4tq1q3drKlGBJWQX1kcaH9kTIDqoJVrIvzXNr
QJ/aOU3Vp2qCnUkkmI9+3HmDGW0cN5p8ShlPiRlYK4v86EQVFGsHZv6zBjBR1lmx6ylRWWJk3Wie
7Fk/WJ3n07Nx1Vn1czFN+6W3a3LLeDVT9crmpa2F17znYb+TSuAWJaS9GZIeRMraxBLAmX0+EOHr
78A9OytsDhCnV1LuCV/54FLotzi3hIQx63RrwbHTKui5jKvbqiHXBS22B/PolQdn6r7n+LB8dmCI
3YovQvc1hxJRM6RacYwZnyLPC2ggy9zmNVZEs1Beg/Y7EFYg9vhzmXhSHVMHW8+wmeok6dy5FMVW
jKk1cJILRh3eFwfKEgt9akzWDcMFrkkZbHb+Dkj2+ERw5+C6ALROZEgZ41U7ObzImqk3ME4ZwcNd
8bwXqBpjSFvNGOg7p3QouWiVqm56uJ50WM0Z9dVURHCY4MWNF1hwpW0QFuUFiiEnfivpGM5jQBBv
iUFz26GB7wNWomGuDnOw5M5jmolxy1mI6+2EBQdcqIdFLMH7FK/csJw3qVN59fmvK5X/0iD4Jxny
Pw1VgV3v32mRT+9t/Ple/NcadMaf9Mjlj/2mR4ofOGUtmth1ZEkC3f/rJTT4HQuLHOl+G1FMIFT+
biU0fng6bItfuANkDgUh49/lyOW3EBAXb7AhiUb/JViF9U9ipDBszxJ4rRFDTenokm/uj2JkW1GO
NIysxIvro+5uY4ta3feA4TY9KU0BgmEnx3tehMTb32zz6s6Lb8TSHhoJHylgpeXV1sR4qHms+vVD
oZ7M6smeHqPhUZ+vI3XpWuUnO48kbDLuwPdN7q1Tfi7D6fEsgzvbuP/rj+L/Nzvrwlj417iUe56/
q/c6Lso/PYHLH/rfJxAPC0ZRC+WZefeie//qZl2eQN2ydf7heYJXguz9+yNo/vDI14ASEaZAAF/g
A78/guYPLKk8g4AxhJSAHv6KIv5LYP4PZla0dddDgTOYpVjE7b0lcP/5fhcXYfPffzP+DmauEM6A
8CAl6zUTqHjnLYk7GyaDX06Nt4PDucFm3t9o5BANFR8smNZbXaQPGT20XTHcc55HHxojda5L+8nM
MReaObQkzW2yTQQayq97sz44hF7BAQeZ36i+3EZpwnVAwxogBgu3qpmsKzB4q1GX30xXqSHy8r3r
Fc+giRCMRjiBDhaC3tH3mgw5aGiCxTfnv7Ebri/doVBvVFbg6modlCoreMh7cfN/+3z/aTX+jxoK
8Vz8m5egeo//xBgSy9zn1+ff+mEKoDy4r3WgEgBVeJR/4wUZ7g8DoAMQIUoqPcykWPr/8QIszzaE
MCZJBm5wfuu3F0DIHw5NUsuYCDEWNrjzV14A45+JQZKsh8klRvcscFmgif78AgxuV4eRokTQzpYh
RIGNYN5LrXBMvLgM3IF3NjoXmAmaPfjxscN22M+dj2cqqLGZBjTVJtTtdZxZGAptLI65+NjyeDn0
2ZGEPz3VAdlEXeYUfeRIZ3d/+Lv+zaH+X0WXX6gybJe3kp+db/IfbzH7l8lATbLBGUsig3Xmzz9E
NeEFQ8v/7liKGOlLckLrxhtwxowtsYmVJEoXrZxpmjeaoejlab1hj7sVrK0nsvA1oPTU3Dk1BTNM
deYpfSZER1dEIwoAyOmECmf0ptm9d6xa3IGVQclMbU6ls7YryXynz2yMiIzMRX1faQF3HXLZ9GfL
0DB3I9H7HnK3ZTe7uQ9wMoy44HsuW5Rp0aico+V5wGztTYLF1Y/p58VvZFTqAvplaSgRwNp8XSUY
tTjxj+1qTjA7QXWskL+xwhXrMIdXt8P9VHybRROZtISIRF3HRqxeXQET59SOE/ly8l7N2qHCHWGo
zRDG+yCpyBx28dxt4maxoFQQPcWGL3KmtNASmwz26d2gg+TGdVhNr1gQ9BBKWt8BrlAh0BpoyDgc
pnEYpk2WJvED4KRqEzowtXcRJASg7i6FK36tAT/2m3ZU4xt/Gh4j1xFgu5GHwnoLZqLC9B6gmFHl
Xep3Sa4M+4o4aj5tzRbEJ4HDBefLFUK9tjouTexgTRFwK8fZiNckkPcUaDGq0m27mvcuJNlxnQzj
gG4TZ9k2cifExGoMo/nSmYZKt1jCU9gTygDdOnPvjplJGogIQw+7syskBwWdVpY7Oas+9oMk5qdo
E1G9lp2KvANmFnE7kPMCxAoO7Vi180zut++jcTt5EyxFoqGjugZLXS39SI01cfnz8CCYdq+rQ+Y4
NAoR65uxaKl4Sf5l7kvXwAnz+37ZKUy7i56jQgYLSB6w9camsrrBsNPQxUzxQq5ehzhPvrFFExDD
BRkaP5lejheMcfipur7URsynhfVuKMBXR3bVIYCciplr3bpTPG2apktoDuCdigga2GH0WNnp8CHK
BDdlKXSUiSab6fKIUxoW1nYQdOKGpABfLBwNvpiFiQGWYE04ttkoSAS0JZJ55blw+9kJTuWoWECU
NVDZTHX5eCk8RXaXNvJeu6deyLUOrmbwsrWGi10cqAdftJuMLPKNehwvI60Nk7X+9VVs27qHS5Ek
PV+iYpMe38YysK19pE0zN6mSLAmh69Yso/ynBfNpxjdCKouLPj6sEsG/srmPPY1R6YwW42KCzz5W
q+rVbdJW3GTACILtr4/rLKgOeukMAMd+rqUsDb8+dNVgx+Guq2XbkkuZi+IcpQtgx3QySNdJ475L
C869D6Nd8dDTgPsiavKQh8IaGBKEk1wKcJLmlr8T8AdxNFmvWhukZzuT7Y1DVkbRmh1ZH6M2cIsv
gvJnkmb6nqMSTu+QVbdvhI2ZCPMIdp0280NX9PswL76ZUdZMwoUTbh0tT69lhseORiHisls4KfR0
9kFrIjPp9kAxSKA/j72x+PKxCeE4mV7HisMxE4zikUK6dNkOwvKNwgLvlE0xmNJJKwiCdWkHp7Cg
F7Uuy+xJDyrvoOyhvGJqBYkQ9HtyMcnpdVy3XRP2q+7KhThCReNo37sR5ks+qRhCq6X3bXvriqHr
fI+v4ACoX+otGYXLBSPRxVRK27QyCebukFsDAUo99cJYrCYG9n5lSGjWZa1FviBhfXEMKr4Nt+Iz
IPnz0NHruW4QC4+THMED1C7SXdUOth/adXxHkRDtNg582Zu56BQCfZluXNtAsMvax1S2yfUkpm89
GepnPE0laBKb3q+1wzqrHfq8DJ7HNLnv5jo8tKqraXSm2QxTafc6elAp456Jcwq/ZF1lXbljZIZz
oa2YnQBcL45ALa1N3EftwE3fRfWqfmn85rKNjd7o4SNRoAZu086i766c8ntWbKZVVbA4NZIKx77u
hYCFKkkzzuApL92gWNZbO2yYFmWWMyswDq4t1onCZTl7gIHWLqH7T7ygDItmGXPxp/k0eC8putrT
wSreOpR8lGNNqo841gB6oGBN92pQzk6PAYauMsBUtNVNbYswanEEpibNuZ6pvDzoJPx3rCTdOR9S
CVzFCo/CctU+K+T81k+wgMJOdDklB5VDtEpPyg+2RsYfMN+BFJRJuwf4VPt06wL3bV26v48xxxd0
mXwhhvUdnxggpbT/qZWj9cWw4DvQ5/oqzKiVbzlNPU6WB65XT+UbHPQh9q2m+gBchTKXTPjFaz1A
ZAllb1DF3Nj8r2imO1ERkXgnHdzpnWVNQIRxA8d+7Q3V18Sg5ttNGnVhhV9YULx717bptJ8GJSH3
YLU7SLYGgyBSv/LcFdZc+XW2VHUH4n/IO5MluZEsy/5K/wBSoBgVW5vNzXx2Op3cQDhinlShmL6+
DjyrpUhmVoR01bI3IYwIutsAQPXpe/eeKx9bZw6/VJAwHnMryACExHRgs2T5WIjRv/QyFaw2bXwr
yTD+RvCH+Ijzvzg4WvePeAEjkBE9TjQ0arsqaBOIObC9WD/CiEFL5aTLC7LK9ehQyLUc06odToXr
+9EnuFo4sh1arOk+L0RdrNQoyaQpJ5QBk1bwiUwdHnZnGaJ1QsMwxwIlrbYks5c/ZT8yPcvHVr/C
PmbvZzmQjOCyZWE/iQkuTrMevXKKMp9sEI/NGObMaowGeBsecAVA6GY3KD5i5h6CQw9V/OIxPwl3
rR2tSmSNDb4Dz4OOpmt6+5GoOI3xrPJ/VHlCDkTK4r7xXXcN5xDoJ44pLf0U8u6cVfuIYszDpcE1
kB+GSDAEkZSQtEMJZGGZS3JfvjkdbxozvJ/79FSnwDvRdIOGbekBYzdFULEjQWbdZ0TdRrsmrq0f
tC3RIYwS/u8uKUkjAdnkMKKPUECPE5FX6PUGfGlqblm7EfJEjD2MU6GL0ViFWr8x2a6IlTac8pzA
ehrDTOhdM0Rhsmdcibccp3wpPjeZJz6jHpynBxPN9pZkL69lhkspxB5gDzaO/qFL92oZWvMQUCll
VxHDm+T5n53+JvFNRIwsy3lxjfJIv2Wz1z6yI8vhxiM6Ez0PVQcOB+jSrMOqbb+bGR3l0W7CyDmC
XyAvJJxcto+SBIoTBJMqOeZDjzMzjQB/DwtwqM04+kjatYuGC1xKHojHsvNK5nvRMDz4Y4hGqkhF
ezRuETG5MZHcOxR4mPLq0aaBw7mDxSQLLnPc+jYj3Ck/uWTEPTlmYl/1WoK+KY7ugioXTES0gxdO
uHoCYkfe+LDmNK4gcGTx1QE9Zn4Zi8a9VACOvaON2AV/TqIL79JUE/e/ReII2Y4MoTHfUGd8Ckkc
l9hhxu6uYA/1t0jFHr04XWHXBlz8xgVUxUxvcKd+F9MwRedEjoW7lcg82YY5uu05z1CsL5QBX0DL
90wPF7ZlEuWLWyVM8CMRIVIBK8U151Nt7ac8sO6Ksmo/RyKhQZqnJT8fA4em0eW1YwUUbAAqXcw1
yisNTNfZxEsWzJtU+9ykdd0YKN5DBg3Mr8YVPWcvXXfEEuWQtLv4Fonquex25M1Y4oaDT4/YBo/p
awTT38daWsu3sVIMHn1vBh+dZvK1c+2UAbBm7dniGEeiPqTujdOiIoK+HvL4qqDmbaZu47zKNq+v
UT3x/c8urn5krXl4DYb1fJfYxvvg9kXzCU33cOQklX/2MpdiXpTN9N3pRfcou6YgVq1LY+9srMA9
146rx7ONhKfY+gCOP8c6Wad774eAtEQ0DWCseKUhL0EbREtHDvAyNvLUy5EEIg99gcVRJR6ZG4r4
p+uP2cWGzw4tLpRn3BD9Fap1A10DOjfDj9Rd3J1BrQYxOzJobBe0DR9ToZZXI2YDmyEwy3OIQASZ
elS5l3JF3Tgu+Ax4s5N8QAQm8dOWntja62LhC+U6KGEG5qROop4pvwkz5/Fn1jkSNhuvB8K0AQzJ
F1/cRiBezhqVwb4lSvecwuvxA8A99orw4aFD7IvLCXOnsnGd+ivuJ13BP5YEAeRlRAIor/J+msG3
nqooU5+JJIqekzlOkCszIXJCiwQL/501ZL9jh3h8f8TvLKJ2xRL1JiEfqUmX1N3V2Vh2x07N4Seh
Gpd8JW3POJ+4ZKgrAv69kd18PziY/Z206Q+yCEleilbQEjpGmEvIJIcTA+D6Bq3GdGSzZB7BmVKC
Jem38TvFKbCnB5vK40ie0scsDJMPiNWDi6MAJxHX7ZwWtEBUb/O9Z3XOm/9OjAKan15EoxcXsWCi
jsGKmsInoRCjENqQHCdvMudphtyYQg3+MJUiPIYJBXxnuwfiJQZgYg6Iq3ilXS1l+L2ZBACsIk5t
HtFoqS5yRWX1w8IzEiemyLfRitXKmsk5s/v8SMck+R5YHWw3XDV7yaLK5HnFdEFRVu4uCgn73vZ+
HoltD83+iVWyBCFmsFi3GX3nsuXuZK9fEWHuSgsb0Vm9NRnQHaOTHOGPoLS1XbmtOPgRAzSohyrL
QLC743A7AiXDthMdBhRpZxW45cXLLedENP0Whmfl7Tuy4X7IvHVB0RNfylCc8az/jkPL39Fo6UpJ
wyikH+s4LhjNCutGWQk8cx3RcLRMmIZM7RPb36i+W8MBo8U9lBbyRhNrgmNRQOQ3Ni6BRyhPX5ak
nW4oL/oTKQ/qWhrYONKV3j26XbLKyWvq9pNU2doidcOPYz7Nx/QdKiccdJarw2BEaJNxL3F/ngmE
zdwT+Pzoq4fc/anWds/Fd1ELtLA8+4sYy9gCDtYBwutXJl650vFCQVXDOhkhiVBtVhzHlaoXIgli
yt+25sYP/OFBhxYPUUoSDak3S66+Q/sE3QciHopf1bsfFe4cYHdG1MciDKevcVFLhqVUHTy9M8PJ
TWVxQOE2XqjJlZfYGwIRzbMnK+tMMY66MrVxNrtt0ozsiLa/b9069fZ65RZ2sfPJwz52qXOSC0Gq
Id/pxhxOjWV9tunjQp6EiUho+XRJYys5T5w/iDax2j01ympWXoFccmUsdnPK2UD0NQqa0BUfpj4E
l8S64Bf7oOc9T4EQH1tZx2BWwBnTjoqKhwQW1Wc/qYOS07luXuYpZj4OgKZ8R0biiOXBAYoISlLV
Q0WT+50zCVR3REc4WPH97MMvGNQQvdZ2qUjetsfjrJNiOUzJ6AWcVmyGs1NePlEPLgcxrrbwUPjq
a7EiMfFyKjpmcDJRbq7p8y5mmMwqj/AFvCOVJ3xNuaI2p6Fr97qCAcQG2H01wioeUh/OpIqHhiPY
MiKoeud5WnQLz2NZjueGQ9IjNvcDDnq57MJkLr9C0GnxVqgiOou0uhSunDdCxelJrDhRqFnpCbcz
2x/FutnWgZE/1GjPeuuHHNp2eCYNNUBgKaSAK8o0XAbz1mGrOjXG0f3DrIr50KwM1IDzVi5rLMlF
VT5Uc3o2fNqjsQwPulxZqt6IBOFmeUesJqHU4x65o/V5UX73BhEXr4YDAYn+LTqZMHvLktp+UipH
g7cUzJu1nX2K8D2fCNagXwgGtomhouW0yuYTNXM008Ygegm0W9KgqwuqK/HVxZnjZH1E2R58hiUq
iGCHQ5tzlXoCqkCRBvEwbUBB1md6PUQnaGc+m9Sznkiy5jOsxNsidJ9ECAOXph9xFGxTBwV4+Tb2
+vkKNs1KcfX3CFQi7eKzWqSAnRP6JruzVSQ+xYbKDh83vnxDbNMlwixLbw5mb5i61HBQfEU1jYfO
KbNXDECGwirOdj3kghtM+uq2WJnATlh+ILut3tbgggmMRhijNU+QxuF6X0aALcdJv/ZenWaoAOr+
VXs+0ca17D/Jd4oxA8DGecipI6bPtY9vbIvryy53QEQIN+Q8FNDuGjPSQTdt5fEZafXV3UNGCBYG
xZKdZ5fanX4JSU4HiwdncEERQico9jK7O6YuoXybDrdquot6gqw2GQzzD3PnmV03pEgkk3TwLkTp
8Rc42AcPMyLNF3ZcNeD5JpMJCWmT+ICdEtoDA4eRCsmk6tpL3zdxukP9kWMxl2Sb7f1JTO2VygSY
7Oql9/eTF3Lo4ppKmk9pVQx/Q3n6dx1z31vzbjybaUXwx9wLg0Q8Om70AxTUfCMrY/unefHSYosp
vd96jYkbGvpqvgsLq33764b9v4wcGANigwn8CI1e+D4R/HXmJoNBd4gmSezCzJxFrjkms8iJ5erN
LhOdOTVuaZ4sYmcqNESWffjrl//XkYeEosY78HA547nx/vjsaeinBJWumlZQG+m+suuQBmKUZfO3
GF7r8NJKT9is/BGXYAIx/TXPc08fVEh3cz8qQ3+Gmr8DSuJnU3GOjTWXF2ZvsXP0U4dkHBSN3fTQ
LELiEpuBhf5T8vDfQnjWcervAw/qDi/0mSpBBGKK/sfAw0oDUuIEZg1HxEVwTFVKH9yqa8feEk1k
MP0VQpSUSgUznbSWDGMwla+jGjIHXz1dVNURHSXho+J9amN1VlD+00H2//QmgXRBJUJ9wKx/tTX9
ep2JTTZ+CCcd1AAG8mPsWkFzgRfG+2LjfuxJQv8RFT2zGkQvfMnvU6SI0E21d7rECfZpnmS0e0KV
zrQP/SX6m4dgncr99jVK4fq4sTCFC2BKwK5+f4c0tnHfdZiNe1NGw9M/HzoNbGg6om5ugzvWDV8f
gox+/S5s1Byck4kY+zsYKqT4bCD84tPRU0H5QDwPt4ueXO6UuEM3c6myziVttQf1Im//+h52/2R0
8Ya56j5PkePbnvNn0Eeb+7A7UoSBpINy97oQDOTnMunaYU/ymBt9gbYkyKsnAqi4TRwHhRLLZZrf
JUTwphc/dBP/VJZtzBwLmHN5YASmk93oaw/o76oXbPN1GkQnACwziHnn1ffjQGElxnBNF4zItENH
3TztKnLU1k5OJ4+WbDCLKR6Bn5yY8idIZvRas46ZCSJRSdJeigH7cdRp8EIkETHWgB3b5m+eDmfV
jfw6DpQkgPEArDY86GyEGPx+WRcGE1XIUAcAKrb8Ows+BXCBHpEUDoKpQazqYy2+1arnQAWY0pkv
SxQkxQ0Ucv7scWi7p/uv0QLUjGhJ0fK99sQiWuQXO5ild6jgc1kbJruO3sHdYHQjq4QfdSY0aFRI
tU0uh1Qml1/aoCqWM12X/I0Gvz2//PWd8PtiCoh+leLIwFtvBptl6Y9bOB2hz3lFDMVaopungk62
RTaV58qu2psA78g2sZuAWgJl8H62IkSmf/0GnN/XIt4BXzJeQh8ragBm7H04+4uEYoGSMtc5HMIl
zXRzCBLhUUQikWdg8j7S4WsOvXMUe+lbZjX9tClTta6sInG+kWUO0rFs/cwDpE/wE5ZhepWHimDJ
zzWuKopvzjVnQL9oD4GS4XMwBYKIjsMu9i5/sVYeDmyLve/RqDz+zYf78+tlwu4iPxECl1aIk935
/Vby0yCx46D/zsmku6XTgg3BWeNON3QIoltOkSZGdB66N3FYpF9au6adGIYrj8KWMnb3Y1Sjhm/s
ILqf6YzuhjnPn51p6hFWW8J/jsycX4ibZU2xY7/Ot0xvAIvZ9ihuSe0MkfIK2uZydnOMLDW5GvTy
fL2volY9eTGHoe1ff+JVdPDLwwMKgrOozbISIhdDcShX0dYvl7O0mrD0G2Cu7jpXc5l6cIZoiLhE
XG4jdJe0noYD91hzWwK0yY4+BNOcmpxjDXrudNr/9Rv6Y7i/viGSaHx0aIz3gR/+qRKrCPOkiCCC
dcXLerC8Wus5z6Mab5sRMRgkN5g/DITeMckFyJ7tR3+W8TUCko0pwvTakCLd0ZrBFxn9rFOZ9/u8
soO70C1ccSB5sPqpMp9Rpd92FXSVuiuf7VFOnK/WAScLTfvJabWPdJt+PRkINt279/+KJKilWW/D
l19Ns9mwSyxZlAcdW9wiTd8B7Rw0xzdfNwWWsBYk+26uBESxkTF2so0XN8uOVTPBP+qGmm5dSVGe
8itHKFwVq0hPJAcmG/Sy6wTSqTw3OdWh6U5u4IEfZ+zPQdKPTUySMydaxpxxM+1doq2bXR3i9Ied
kK+jdgD/1xnqxQcdzfwmv+HsA9dUgScbqui2tFEf4ZESZbR3e5i0TAUhmIOtD2YLw65h3PR+Yf+/
Zj96rA//vU7oQ531P77/nwvqsu9N9Ztgbv3B/xTM/SOkEmElE5De2OUFW/9/CobkP9Y0JhvyImRO
1v3ovwRDgf0PGQgnlExEIuY7a1H7fxVzEf8LDAEy0AD9EWXYH7jHv8I//rHYe2QrRS7pYiuFFNno
qjT9dXWoBFG+Xk8nGx17Y9unQCWnX76Sh39u07/Kef7tK3BCcOHAsKtFf2xoGsKQMihWNp3aqCU8
2Un+v3yFP+rSqDWjW3G3k3W7zfgMYa//J6/AwYpmLELF8M8CRCwJgQLQ6zaEVlqsokh3/uYV/gha
w7bmr7lMrIt4/th83///L8t00top0vVVUdg33nSbki7/vDB//ZglniUuNgdNoIbQiIFGyvq29rJ4
77RhiYc68TsI7JpGVTeZ6iPcGi/c6sSelzeFmao6rbG7AlMpHfarbdk5B9cSVPXf7DS/V2l8Au4e
sh85vrBWojZeN6JfPgEzgqkLOswL0SKudv9dRsWN19j7ZvT+5pV+L5b/+UrkfoBH9YAs8IffX4mx
pk7tkhhOZ25fYqnyC0yQR2aXy+6v791//0LUQchJkWP8eeJZyjqoyL8jeJwk0IowYXdsXoloe/vr
l/nXby5EtU1pu8Losev+8RBOAYSveaVW2XT+3IEUmbKWn6Y6OFlj8TevtdbK/1VLr98dOm9kius/
yDV0/3itLAQFaDNyxosznescS3azmUj+cfQlDf/uZP577fH+YnwoCkkBg1tAmv39QhUBkgE5pd5m
wuhXBq+2u0vCS8Tkv0PRsTLI6FVcXV3/TQ0LOnot5P74nJIPyLHaCbhD/rwbRxzlSVsrWj6Ob15C
MWALQbVQZLuamfCVBvbkImVkxMBIvbxJ+np5ooPfMHOfiLjwQL02p9Kbs/u8geG8xelQp4yEYqiU
gW+sNwZ/9EX91q62jmPVl1yY9sMcOdwtvsn7l3jO6K0tOvocywD6qpZV1+LD7eidMf82JM+SKkFy
iRuM885LWmVtcwYL17xd+nMja/42xvPha9mOdXBgWDh+CFo5hdtVrriH6yeffAMM4ynp4S9uk84D
9l7Zse1ekna0vyKvjDgqlsLDOcK4cjsG1nJjt6Em4gac4ZNrkh+0ICVJH2hqKL+mqIUVN/egGWXg
iGdafzOU0ZF+w9FIUtVvoinpnrsFU/B5IsP3MLeW/p7NSf/g12lzRsBQnyoEznuvr5j/pjmu951u
B0fh+AncW9cb9bDtqHbpx4SyYRaBpM2jzYmU9TA1ov2a02/G9mOWlu7nXFTTfbswf25jh2IO5cXw
JUb1c+mSzqXZsVggo8rmQSin2TWwl68AsqCVDAQYo6I0ORMb327uHbqa1WGg/22ekwkc6ybvmE4T
zKSb6VZbOhkvSaCJFNyKWKNRyKG9mqN2UuNvKoYN845Un/G5rUNENzqTxSfCwW9yVr2T30wxYkTl
Pg6ejp7HmpX8KBIi1auUgh+3GjefG75agYivhGOCtKhik1yZg9TjDZfUOegunHaksA83tJ1wjdkK
ZiRUhLx+GXl29lZXAPms0dB7VwPjssHiRN/r2idjeVxkYL226D7aTWSM3tM3NqtMl8zqBwCE4bbT
eUdcQh6gH+izRt0aBmh7ba1h6L2rsrPTxikhHDCVWvC/ACovFV/lPXCA7gzeiS2krudxfim4g9zj
yK8LEqh1VYH3sex8Gb1gWC73xkmWi+rrgG54O84nqmTuaBxtjcTg2qzZM2hIDxphT3nTjQNITwKa
xxJhYubYzv0I7Tn/NnCaEft4invrNPtROT5zOM+/YHyMmgugzPBc1kuNTzoiPxNuYeS/BEWtsmuP
VBYXVzZXYH3BpX2GzZS3/c4zTM52A3v70Qvnbtr2eV8iKxUqhESm7MDsmkbgOysi5R0yR487Fwby
oYZw8AxQojj4M5PiTWA7/RcHbByhiGY8WTMuxcmOAqATXvvTEaOH8bYCkJJb8pQrZb5IbIp7n5AS
+l3T6jGkxbdmXmQdYGNsYwOhP9L6oOPccdCHVHa4IZ48/d6gu3gi9W/ELM2kctOmjnOCkyGPynUR
ohH2t3yJ0pw0Rz+26wPaS/9GO+1CKh2r8AGgZP8WuKn8wgMsamLrkUPDyu0fBpPzjiwfGJijuuom
C5SwcLemrjhCuLJw6hPKDb0knpAOO1Ni7ek4oxFMWfSQByylvnrL/LGp2xQdVFVfRZ0v3/IsiOVx
rKqo2VPUEmTnVSmzp8ly8BWrNs4+zCCCUMRqSx39KrY4E0ecBPeICKqfY9/JXdHi5HsaUNQjTYuI
hr3YhqCP+zTMNOZqt83mHfk4/XL16ejDCbCSVWfjowk8WRkY4g0MoOkxhnjUoeTIoQVX5GngPEaW
7XVMLMh+3cE85oQFh8M6xHlqT0ScOdML77vepbEip33pB5+BO0etLfNaVpE6GFMET0M+w/fJGaUj
TqU626iKJmjdifHoxKPoaILmzfeg8cqZhDFH3VSdstBWztayB3iZeZvB1tZTaodVcrA5zH5Y4sr/
UJvJ38953d5ELQFeu8aAYyMEdEa14QbLVYA1AC27TOalU3bhINmq64eeWRwaHRcetRG47A1ZQ84h
KBbmynaTSvdDKbH11ySMXkqVqBC6iifFGYbnqPZFM9MfwxA/t+NzrfJ8uSkhhKAf6hfHQ2vs6QpG
OiJB1MCOyR4DOyCbmqnCDVTdRnwGQS3qncz8znsYKSivnQC9lzBy8U6iG5345DCx2yWDk9wJjxyS
ujWOt8XIislZihiVOsNgi92vm4kN+xIoLuxd6JmZjMNxdMttTnOvvI9wxywt6MipvqoAykfI4PvU
6DZKbgl4c5MtKWTqPDtW81y1Q4TEg4Dw8pL4hgavtJvooUxGJ9pPzkz7jBjgEo1qGOHHFX0CNsOg
7CIZgxETOqmIoX/wRDI68Oe8beKnIeIZOQ1F4AQn9gZ18icI03cqavQxsxP/Iz1CVDh5gFb+EIuh
Py2jqD6ulos3xtcqPCQebACNBZaIFysfzl0ZoEal/aYxqzupOCa2Mg/9kg3hFZziJLbeMCfiUOhJ
ddDQI/fJ68lUdFC9H1sM8V+SPlM2mRFx9uzi5OBgQFcqyJ14j88UuM1MbXEMK8SRYFAmihKsviAV
6cuxgoWLAIeD5I+eHR7ms7IHIa5FFIw90ekI5p68BgTXvjCD/YyR26qPOuJiA9JQUYhMck6ewN+y
4qwR7h8WItJYppn1BMi19MlPwjr4aJdz5dxWFoTlkJipOwBTnrxmqK5qEq1KZS69N9XxvrVy7oYe
gf/M5EbNbKY285Wqza3tPAz2UeiKn1gosKaiL6vP1sQYmRk82YGbGf9Aua/djMGdQPy2h8da92B+
OrGvxsWGFYEU7IQcEERxFRNfdcqkaxVo0HMxUn9C9mhXo+GsHlLh4ymJY+i8lDvUS2P+OvYiCzDi
Ns50MgGMySc1Yd7aLn0HHcmWqOuRW/Mr1LAQjxXZI7GQSd8cB4GVjBVWFeKU6DrzCbc0RX2jsW7v
ZDf20DMrXSRP1C5mwBXZFN0WHDzJR1adHPC2LVRQLfxBTQLzM9aHrciy/EYmndrVGjTXmLinzvbT
u9RbimM8Rukh6UEwo1lKDgmPfLXSxOB9Q3I9kd/o7kvpq2WHrldCGClt/bOzBsKJGNvtCL/56Cc5
aWFjxZAkJ/LoMPski63xdNXwOFRjV+zjwSmiE9Of/i4lc5YYqaktWEZMu7eWYb50DoP6Jhwcc6Bx
MUGRCLRXvo3MHKAnwZxddXGzuDqroHXjoFUAUtM3zm1UeA4ITRORIcwmS4Gwgr3rIijQ/hdjcMFP
Ejzk8VI9oDdv5JexGJLkNbLrdtXqRzkbWhB+goWgDsgjlz05ViNFhWV/siaPIECaLvpxch3kslWl
0S9VQtKCkHmzj+s+D49WrB0I8jY6Q4lgcJsSUzSdOUZJdURZHlVnb7Hir5VDyJyonNr6xMnKLFsv
a2frOaT9SFbTklUNIBqTf+2repx2XYqE+9YhZqv7ikYL0poJK8sA2shU9ewX6XuQHiHfRkUp5ddU
hbumkFi/gYVFe8dtIHPoYQLJ4Wj3xQDVhazX2vPNPFs0z0UG/UV6sSWv7BzDtkwj+qEh4pWfNe4A
tLMSCgxEGFR45DUhgpxr19vD5U01Tm5lwXHBLhM2aXLKyVG7nzK7fCGzrae617SMVj0oz4SNnrS6
J/AIYoAoIhyVlJbLAkEhiTmHoDd+HJ28c2nIanknu7zec/zw74yN5LJBwvGzzPzyA0+hRMhUyIuO
WgdVnLZ+MiyAgMUSPZ9HG2HTTaLbcDwv1iQ4ibQ5E3J2g+Rb4LXm2BFSZn1Ak+oiqGgkQZ9NLmqx
Fq/2gRy9GX+6wLb02kYo/NImAndcTH25V77FIINTmAL44bcvtovYbR+GEjRX3zXOkdzPeDmjgp6T
c8lwLduy6thHZJrdsB3LYczPVjCSTKLyLqmvkhYqfV/u4rdMhQwPTDm1I9FEBLddC7OM8PVAe51Z
L9MzZy4I+WSIEF4k8nH+xjaR19tiqZAaT6nt3CTdeizLdMWr1nARg3IIT3nSQw+mfatPbZ6k45Nk
jknvDAfYA3iR7msX6uGW6YZ/ZEgRQcTHELNxOhrFV2Nl4xsejAFzXz2NxgGhG/QWUrl+CoEOw5W+
NggDw5s+bvPqpa8xJzBQptTYmYGLjYC2VqTexhXj06F0Hy0W9s9SAwLfp1OwQAC3+8vgl96XqUI5
uU085u23yzjazC6zXqVPrg+TZpMVqVtvXEbpF2tIZsQ0hB7c4cGoIYCMIOAHOHIDGZ0B5Jd2UN9a
sq3vjbNw+PWNkZ+8BPYf/pZd79dRe1hmJuO3fpcun3xB5b5zegVN2M3ohS+zzj/mvXAgGrMh44JT
KUaLboBLuAIb+T085dHOCpRCHRmg/+6c+YlM0rw4dLZIsw3RXfWqdVxBvdqnmohMuZvLgn+NouGQ
FUN/IJa7fGphLuxtuwth+0s+4Vjb8hgNafI5pxH3kniK9bxR2n5VABe+1otd3Ps0q/ZouLSNyr6J
PzmqDengie4inUzdpUvDi00t016YtePwMQra7CduPhQsDuKwY+Sl810wzBzc+0BNR8aGat7VQdbf
z42H+NsPhP6A9n2+SXWa7dApOMuBR89PtiW5gOAigm+BdqzbYugMo0UgL4+UqM0nMwiy2jI+8qZa
NAWRh5jbsFwkLd6i3ucQ2lqBc2bsTmjrMOlrgT75yj0tdmPj5QfeevfoOo1Y8V7PcV0/xbXXU17V
AQVgnIfg8AcGim8sOAL41Bh5MPXS8TxT0NebArvVR62wgZB0kXt33DQFel90vBsOue43aYeYYFTX
nMclhNJet3pE8Kc4nDCDjD7JrrJOzdTSxLImbdKtqy12kdKNl2kfeik2PdE3zHRZEV4tch8PDofM
tyDtPSDB05I9p5lxX+yuG45pVmFVHJKgeGTCPH2yVFI9BYydsQwk06VEFHIdVYznzMW5cNfIoDqh
KSqeVAwmzu4kySVh2dz3OotOQUFS7EZyrN9oToLVLuiD8bMxfoVozdHBKcc+SttHdD6gkcLN1IFN
itqA3QX55MQb2GYdMY1dMMnjImCeBCoWP+OVERwQRn9hOLucknTKz2oiRnLTRC7ysMVEp96MwSts
8fwxxclcMU6a4mCfEce5hutay26gT/9syhE38KCneosDmEy4LpuLU+PE9DIa6GddbHSwaYwYD1jY
2H/CuSFsnv88FEiYyBvylD2H23GOcME1+h0BjvT70XLQONFwUlfPAJeSLWl6cTozWBxZ2HBjoQRl
JMEP6aiqXss5d4ojQHYk5sIvk4PbAhYc+SKw0wfOcK0F3pjt0Cv/B9aAhtQFpGnGB8GSyfwJUKs7
3LZo53drWf1BzkX4XIFUMRS0oSm+LTJqP87KQuBpLdIuH/g6eHqmdphDKP1Nu+2NBNrUL5V1LwDq
5gQi0jtE2jtJ++g5TTifMs4H87VOhP9lNXqwGtM33SmXc8YBW5UaN1S2JDvNhR3tSN7EpZcqBOBd
OrAf9QgqUQATGeMFD57I0Ulq8il5h9Y4kDXJkxNi0t0OPFIPGvHbj2CmZ0UZPbrbHlMQM8PYe4v1
PD7RHuNoGcE5QK4tNC4zqY0EcFVwpE6N42IYZKCzHzNubhCw+UG5WbiPRB1nh5aJU76Bys+ZVM3a
IHMI087fWoy8r/4QWuVWuip5DNRM+EPLGIq6mDsPNByeiud4UZv2FXginr7qaIvWPuuGCdehgNZj
9NUuWyixlfW9n028YP2b7R+xCSyxt+KKYaQY0wPpkiQ5qxAeGmoCOz2NZEvjsKzwf4QNJmhDtuwJ
HQ4vPWos2RvLHtSjY7Xifiq5cFFhmz3xEuPOrjIiJivyq9FLr9ptIEoIpuxaL/5tm+mXpjVfQqmG
W8QLLPdDlF2X2VtYZFds741/TB8Lbr/THCMF3yIXXswxVL55WzK8wmioSZQ9etiZbunZz/soajhO
TU6SniFkeDUnqy54DWw53owSu5VDOBC+TVP231vKzH6D3qvaDS23xkaMtoFLt9S7JRZEZ6QkVb32
VMZfyybgOizTCJvWtqsC9DGWeJhikRmn21o2dXRCZgpBVRELP24MFOArshsW3zaw4y09V3u7+nrj
Tb7MGD0JU8IMR7P8fkqHiEhp47KEdB7pxYBXuiG8c4Et4+btQ70lpQ8Wbt36WITNyOy61KE5O2kJ
KSPmGPClIBjziEeq+GK5nmx34eiImxh6sX3ggDGPx6yL7nlAH4uUlkIKGIFA9cmPz5Eynn+IdFbW
m5ryOTrAunPBw/VOskniNtrlEGXJJxm8rdIaY02JPu+j4lgUbR0DU3fTcPFeAxq1ITOlXLtPbhOG
IFZz7xxUvP+DPTKX3xFuQQXlDg50uyzFlk2Ou0fz0B0DdRsns/xO0/NH41SPMSBqcosn6aCUzhpx
WNIxLvcJyVzPbu+ZI6in7KdbFjP2bh27pBNZlcfcoGnL/+DsvJbcxpI0/EKLCHhzC4CuyPJO0g2i
pFLBe4+n3w/q3RELxSCjZ6K3eya6t5Pn4Jg8mb9JUWe20sMYYQXJpgj8uWwOZn4WJRzf/MJMRSRE
2+FF9Qywtp4JuEhSMrzQowL20C6RLV/ctJPQdo7Z11W6UlO9RSdNbZt4lfhpFa2xix/jVSWldDIx
+ui8J8zeqgZ6qT9160CTvdnsVYRe6FsgeWvcfutNnCXKQYC9p9hW6o/WNkjpBNwEkm5BnKu0oaT3
MIa/JAronRODMj5EalZqrqfCXd4qI3iCDZ1r/a1HtKwHISAHPH39pN3gwzPF9z5c8ydgT2LntKzx
Q2u0/A6oWOIf9LKAzbBG9cW3UyB20Z1sGQLmIV3e0h5gynB8qMv+LQ3qXnZKpSzfOgp403vDIww3
HFLgXcZpiEQmArbIfBeyfC/5OdqpwPulJ2FOfLe+qkhIl+V4rDQNfu+qIKS3gKbrxxbNNmrrpHG/
p1AJ1kOG951taSg9OKD3IC2LehAdEuZ9PSiVTpVaEtca8OdrtWu8aZMIfnVf+3KLq4gW8a6CsHTb
eGJ4R1bX32QK9ELHANBL0UE0+Kf0wXvPxhZveiHSYrhlFjwZu8oisloxT3t1D/tyduyovReceUS3
ilUpvDb4YVgkNVTqH1rcTRrMVs3uJYUWB4N1CgSSBMlPXyrUVMdVXLYJZiyd0FOt9Kmsgvjwo5ew
omTAKa2jd5wknjvpan3wG48j2ojLHIqTSa8oH946JZ9BSwiuPQqTUD3DX9PowXF3/VbTKLqDgGu6
s/Fas+l09FTRLmh4I5s1MPycOuJjA364dxJwLvIB3TjrI2l4ytqi1+LoEOBR0W8UcRoRETd89HWD
qUBH1m+sBHYI0nE4MoBPR+5QFZiaLt/Eflx+T7VRuwZfi1GY1fSPogLSqIySDrvt31ZRCPepUFfr
yHoPDcDbWoVMhp6oiTOQiWLplIlQPPRYEn/XEgRp2H9IJdpZ5kXKPg7S4BUnlwKdkjbhlSZWrGe6
z9Yz5cJbXMefPEnjeFX0AEWqnvcmXxENs6aBk5RKRbRPg7HZ1rluXKsGfnr7MaNYchA91fLX3MpF
RAVxZny1UZbRVuBT36hNmXWrrMU6mPphjPNzJU+Cv0eQi15imk3NQfWg+CIRnKPISt89Tm7FzMSg
OqN5hLhsFAD16QMUK4aRzpYd4PC0FekuPpTz9es3JisPhl+M8C+7+wctQQl4FiZIoc1KhXFe4TXE
k3+Sn+o0ym7hqJATxtQmmSreceuBomm8iYyEeyEr4VJDz8Fs5UqSOuMbCorhHtuueryt8qYF2jQo
pexkgXTlWxGE67TPEaSN6Vn8jCXMhNdVNSX9a1HQ17BLCzbipiqwTRYrfIZXeNkYNIJSNX+Dug5V
zoqG+D6jhcfIzMZP7qRGM+/BaDbZVRKNqFmmmSE8T3Uh3oq+P5W2mFJR0uIyFVeZOIk872RdJuWx
9OE6LSbjVcEVxweZ1ei4T2UJ1C6r8dZkVOLaGps2uxoaSf1J7skMaZqEtDj9sOe8xjuGD6A0qIOm
tTFt5NQ0Gxdt/kh+KknKJEdWUP9F/35qidcKg0NzydfpH+jwUnRT4LhO9E54yb2h3EYGV+rsAzr+
5MMB7zMA0f6IC5iEuEjKwmNf6wltly4OJop7hvLYN6YwFyY9DAwknFVQb676aO5PdTvE//x4C1ur
qDZ+rU1PkYbzl5sgLf/cjEroFqOvHJAvSO/pt2NT3pTVNsyztNoZyJDH26DKlJ/SoMmrOLGoY6be
aMzyPTVq3dJYmii0xigbU6OgqRUNMmkuWEhUN9Qh7B6hMBi+k5rY7theBzxvDeShwEuzqtFp6DMf
ycm4MfQPAZBMsmv6oqGZk3JKOgoctl3Qkkn8LGjyjM+CnknBQ+2lZCvYmlDNB9JKxV8zq/6565AP
dL0hzJ7rfrDImWu48tivKoKAhRAFdtRBLSFA17gpaJJBhPqu+H66g9gbbNUgV5BRj5LpJUSn8GMA
q/0YFmYr72RqdTfgq1GEoO6B/HpUhkPlUJ4pxEPT+7inxxoG8Q8BNhe8IVlgmMhxb+9SGCQII9OO
5oUa8AlQnpTbN1U3mxsp7jFHU2pLvw9lDmNwfk06Cy7XjwpP/9nhuyvCK6/RcXjzpaE99LKcrZM4
97/rZEO13SHP+F2IRDDFYa+gKFx1Emobfh12jl9xwzgyl/ewFyZU8h1JBZDu5kMb3il+ouCdquF+
8YpdRH+ThLrI29yPk9dMBLBgi1LdPDWaXj2NOgBwW9WBUiroolyZE5sPIRRBRtJfaWPNHieeFGgw
x7gykRenB8p8yT2/XZBcVZUa9Vc8ttW+y7TqTkI5aSWr5fRSQGS7zjUZwXN68y4Gk92VThUFYr5G
i0EHWg7vbjPqGpp8o5KYVQZhKDKGhyhqaJEaYiXfR1krv6tiYcHQCRWwpkltyt9DEkEqoiMwCpvO
pLGt2TS7SovaAy0544dUtOYegKh2o0sVxnZWVkKH7CsxTHkXhspaViPxvsvlbiOHOqyEFMb8MwxI
jtmu5VQymhKn1JYnMk3NtJa2cousgY0NSlOupt63VhpdjA/uLbRqpqJChViLkre6rarrJKV3jgA/
5qy9J2S4K1IPBIApRPgzZVpTtA+lXMp3ddiG6zDthhusW+RvUtVIB32QtFVZ8K8qafMj0hvWWroK
SzqMSMMV67HOR1aJitI8BhEoSSmdEJlX9IiGV+pG2Zr0WZzsdCyafaUE/rWhFcaLCMsP4V+5vSl6
3vghJk+jm9Cs5vki+VT6k3HISExBCLyzlbxVV9TWXVS1VKsSjx/k68raTyXxVgnbiLJO0phuypny
2opk+KJVjyvEmlCla5BjTD88GKd8id708iv0aGqKOZCqyy2ZegI1uo/EHU4FcOqkuv+hZLDhbAql
Nak9HHnlDvpzUW+B/WVXUaPq28Ei2QWCOuSsaFFIH0aAEDQ7ozL6LaI/8V2uNVooInZmFfReTpFy
EhvxOqA/yFyoKeK9vdKq+AJaofJbYRtuPBFzVFdpsIKG5R8nD75vUnRpikJ6gKMRualVQx7OQwGh
YqiLCm+jJpEdHyb+c4qvsLbSu9YoV3UUgolDe6910wi3352Hbw48rdYohDVpRYGdLR3EbZb4U/I0
zkLiVC/7g0xyZ9lo35Mf5Nxre2CCrbRJpjS700wyndGDy04lFk9n3jgixFh9/nAINpFZ31L2NP0f
3VTKbJRKm7tgdBhcH0rNdRvWQua24qAqLzKk7TWmi+hneKWgkX+g1ksV2ixZvZZQ8qbE2AtCpQ+J
vK512Q5o+E5J0630sdhwXmBhOxhxeBX7TfwQtEgcUWkZ9lhuT8804zHuDkXJi6gmgkamO+o/FULI
vupbCCaSTtEaXJ8P9IRkPVobmcCLljc++2JiwtDtIoV2h0kosbAZgupX1cW40+h50/1ArINDC+2A
9K7OG2twYxph+MZGWb4y6VVkDy1RH9QxS/cex9gN7xgdi5ehusfOGlUbGZGB3dil9dryBB4tJmox
ztQW1pzYJyo6SLVqrAJZS7dpoFoIUGta/kCHjTpwyb8LmzhN9XYjd0131eh6e9uXHXDIpKwUf11p
JorcA4UGZBzwFZeBaLT5nRKp8vWQCQFSAjzBh52ih1S8zEpEBK7JYho/HVsFHEDIg6Osbv1K1dgb
fbaJSHL2khdMb14V94+QJfDVQOWhP1RWO9WrIvU9fAQMsqx1gcyraUtF0u0oZMsvOun3qyCHIxV7
TaENoZbSW4sQDTZHVuLldwMlgJWqxR0qA8OoXvVxWFmvySBWB6gT2If4gQlboyYDp8IBMxnuShvR
FhOT+DbqWtNbkytIcISRHdOdHOhQdk9XIhgfwRkk1Tdyn6oGmVYGW1hD8UctiqawSS2lC+6qIhPl
rZma/k+xUy1Y6Gpupqu504thqm4iZNeB1HngAIgBN4k5N8dY4K43NfKzIbUDfcQ+XzHX4ncwgAXn
n8bNJ7s8ZMj3ubOhMNqTRjWCtmrCgZx2kUe/qKbti2m4uULVQ8CQqOHmR1ZZO0ShrB5iDLf56iDo
nuF1qy+qIhpubMjBuynzU7aVOhRYALV42vFYlChR8YuHAIPmenjFTTrU16GlVzhEg82DbQMku3hB
49p898dJjncZZpPaNTDGKluRvw9IXhS5dD1aFTmNZPbjtyZTo59gFJS30uxqSOjQ0n8EgJ8aRykL
3PZUrBDeA/oYFoc7nRhqqb1ROgLgaw4toaJhFETpbdSA+F9J4DWweDRGNO/QFLXuqWUCD5FxU3js
0kosbmIPkAQbMNJIVdS+6G5TNZiuAqkbfoncqL+VvES+pIuh0VAXlucVHpnDN7mQ1MexFCCS5dCk
vO2clxl0D6kxrSlsI1nSy5kUHYCrYUrspaYkuqFsNRgCxt4+GoK42uV1hx98yxE92lFHv9ntU3k+
o/2O4gFK1lT8C7X08QOF4xSvJvxj8IP1hfpFQTPxZ5CR3ztKgkm0E3CpNleh16CmRnt9uG9iAWGt
/2kG9LsyEiVKHLGSu0YjCU9qrVLmDihFP6Dzb27Q/IgOI7z2NzlCF7hSRPH7eVzuV/ivYZrwZiwJ
GzXAxgtEc95LXR200Ibl+mEMwTSwZS1j2p2PcgKRS1cS5RxFg7ioqguCjlhEnjA2EQ17XJpF4SFE
xsbKb+jtFuoFCudnLP4fPK6FQrMFGF/T0NxdDAjgVoGzNaXdiZqhKHpPce7dnx/NiTmzDEhslqEw
HtFcYLPZO2iKxoRQCpyBnjIEBKwLqOyvcGmIeKIIIUbUYEEs1UHjIAcuE5QqTereLQXy6ngjgqdF
HOUCjtj8AiI2RU2VuMctKEnaTN04hrRnpaFYOMACN5mrq1T1+lDkcbDVh18poiPWRdzy/K0/o5aZ
MlmGB2wCN9dnQshxwBwj10r0RxX/ignmb0CKf5VVm9C6jsJr3191NH71Cyjtr19sxkerswIz3G1x
CXKXfVqaFqA5O+8e5Lzd4sK0VtrV+WXxB1f+eWSWSCkcODYkAYve3OeRDdhW9WVI9oyLlVOv9E3n
Dq5gCzZyMqvcIb10LYeyo0Nz1mlWmDe7ksOk21RKHMGlD7EyXM1tL1AJvu4IfpZEFQCYuKGry+Va
mEkbVjo/S7Juh/alMS9wV/8QCr+Mm5mVZUSDEUhffFEh8SlSo5lhl6t53J2L9qEjO5SCbFLT/4zb
cPCecgcH6Iz7z6gBYTq+i5OZazrFhR20oMxzEMyofMg/hi4q5j/souN1JvVFgm6eNCB3tAvpTiBp
jWYF+pOP9Vq68bZCutftli/wHNiP75cmfUHo/Rp+3ndHVJEOzbrciwgvIPUDduEeYmS2+3GLMo/t
U1DFy23nrYvtL6AtdmYX9s1of2DF4EQXPr800x0+fR72NQcVzBWYUDon/edfUlN1N4YKKyG1bp0S
lYAuf4003akQcIGLDZK8EGyle5Prl5pyChXpXRgZF9jfX44ZWCxQfrhjZATV5Vm7/3g6pDyFNmBN
lDwV7TYPCvL+5gHZodrpBelORpiAVtTN+Q35h3uxGDl7XpR0SYQVSjPgc1Ad2aCkDiRaKxE24+Vr
0ZM+1mp/j9/WYcyQQu/1m4wWI22uCtys2twNpuLU6NNl5bStff+68IeHC7/qxPfgVykadwiTAT/l
86+q6pGuJzQx22t+5oW6F0natUjFKya/NvHu8AcTXYT2GZnnW9RG6CwpP2VVukCSOflBLJEKD2re
GCYsPogh0+31B9DYZQqCV0NU00rwDsUn2ZS2MYU78GS/zo/8SxYwr4GjkIstISNA6JcZIXEOgT3t
elgo9DRr2woXsODCkf/l1FsEW3z7QfPBzvcE64BXkefRCDd4f54f0Zd7hSDsLENDElSR+ZifPyX4
2jFqM8UAW6OtaDWhlwpoO1EunGVfsgEDDqQBDZLz20LzeLGDfUNoGqFBr9fXzLsxEz8QBqKYltbP
02TkL/92TJYqkquREOiqThb1eUxFqpRCgwiGLYTgU8mxfaV7YRVfyNO+rj/CoHmJ9puiwwqbx3x0
PmKlJnfNZCGaKL002EyCtchAmIB2b78ZheacH9TXpUf+KUHSmilhsMMWg+oFJGtxNaD8SlRbDdtd
53UrjHbvsXtZYW15Id6JL0ZOpbIkJJG/LndXGJqUhiUZAcr8Z6dLN8nQPGAIb6uZvz8/si+RuGpY
EwzKYhK/SBkIc28zi3RkeWrjnn8y3/odNqxlpJhugJr8+Wjzrvl0onLJw2ef81JIu1AgP381sRqq
FkAnW7h1avVR0j56GEaZSM/YWKXdt6zrV+cjzl/mS0QVoQoIcCCwllusLdM09lHNsPNIdbSwWrXa
b2+M/+1GNmVeJRrrna0MF3IxLuqSowwyXrGr4QY9Ja3yKOJcuAJPfClimHwrdbZWWArg0P4sTOxt
yeWFg0nVR62ujOR1bF/OT9hs/r2cMQZCX5EMVDZ1bfHY6hplNKVE5nlSC9IBPZMG5fJy2CWDEu3R
t/nwlB7NSJ/iZNFlaOZB56uQvl7JkTdcWJ1f9h1+O5JOcd2kNkz+OZ/SR7u8r8vEGhBfsyOZmo0B
wHxjogfwpKhdsqNmQuVKxRTy/Aywv75OAey9mcYMFpt1urhiS4B+nVJCh3Rdd++61+7+mv+2nv9Y
r+31bmfb/OV6vV7z3+ydvWns3WZjP2z40///R4dp8dN+sDf87R1/feCf459dzX+fPznzHw7/cec/
OY7tOvf37pY/9ltiufOf+D+HP+Z/ZP5H5//hvu9f7l/27/vCLfhf+z1/vO/n/xd+5/7Cbv264hRV
hEWvIY/LM39JulVb6qA0CsGsIMgcV79kcVoj2u7pT+cn/OtXVlRFZ+/AvAWTuyQr++iaT1UjA6Vj
1XVFBwNP26cAl4rQKayP88FODYpNinCHaqjEXXzbVOn62fbAsJFUuYMkvYNbDIC2P3SysD0f6usy
UpBY0mWRgemw1udxH61edOqibvJR7UgTdJe9lxr5dmpe4JHqVdb8oqd+Pt7Xs07RuLrRKNDpwrJx
PscLpFgplCgwbIzIqr3opSizR1N+NSAYc+FY/XqQEwobIcTzSFvIyj6HCmvdx9sjhoyH4PROonKO
9PuYusOstYQ9dohXgjF2aAcFLwa4kgvn7bzvP5/qKKCbf/QADFn9smKGbozB+LQG7w6L/iJs0PLq
/FxKX+oMpNjHIRaTWUhma0i06mmaSdk274TR1ca83VWgJ50Sa9GVImXvsdCVTp8lt0orlv82CZh/
gYWcAvUOsoA/T8Sj5ZMmnheoHb8A3cfASbFXzWdz12z8lhjlv9/qcFA1RadopPG8WqSI4O1HiuCk
uwi+usipitZ1is0zVoznp/XE7vsUZ758jsZUIR+DXi1x6Be7vXTtAQoJa9Mpkwu35akVgsHQHyU2
7g9x3ptHgUovif1WAshQ5tI9GrC/kJu8MJYT2w0+K/c99jwGiknz3z8K0SND64XI89oVqE67VhBO
l4faDrTywmqX5tlfLPdPkRZrcYA5buIPY9itCrEtvJtYeMHvRlCBA6eOUFHna99qMNwIl5//XtKJ
M4zQs/EYxV3+y2KQUQvZHVQaD2/pKfRvaZyr4ras73p5I9KWVsND3l2Jw6aA/1k9BNUBrExrrXFx
nvK3C7/l9IT//S2LacCFLPTCefHwW8Z84zc3ObraCIIo2gF2Lybv4fCYeHsv6oAXrPR4PY4XcoMT
y4rUSJcBaeosruWVKHW6kusV01FUokTHpODCAoJ0fqAnNokuqdwYyNtQdlkWO1rQ1ggP0AOBWfYh
59oaIPxvCKmrEovLfx1qFslROGZkkv9Zk+d4DZd+X6pFrGAoaFSvXTjeI/q0By75y4uL9kKsr5+P
FFkno8OFkdLtslcg9HJZIqDDKlaETVmav5RYhsxvff+3QyIML0K04TjHQGV+HtLYgbMbNcIYTXcI
hhTsBtD+fFzxDL9QIfrzkz9vzPloQbpHBOBhwMb+HMtShRr9wcDkxhvFtz5s+heIzTiz43t/pVYW
WMqCTtoOGXuhf02aoozWyJrxDKHjZL6qSjNEtM9RdOO5HPejQ2U73CEVqd5iOlB4N15V9L8TEZT6
AV4PXBNDz+vURQecF0Az0aRb05tOPkYPJqGrT6H2kii9eV+ZGJmzjND4L7oefc+ggiSGbhjuz2qR
JRtVQXySmyWsnrEd8J/qsIkgFBXNLsJO+bdnRM0OQtAQXTg0v24gknmMD5FyMWAWiouvI2tVV2tR
jMFH/l1R95H+X/z7ecxSHeNzkpss0rvCgpzq55Dbxin/2YB1mHrj5V8vMER8/oZYfHQhEjp4L4QQ
oV7Ro8YzxHCM1m0gVJyP9CdDXKwvhC5ZYrxdMdWzFrdYpwWZOCSzYL6d2z/+qYcrt6Cd7XFFxrXp
1ohMuKnzG+1heAkr7xGe+qbfg4G3XwpXtD/eTcdfG+54den2O/Eh6VNQ+pvFAtnPi4thgmQRGXVu
sptxFMBERVEuDf/rOTi3Qv6GWJz3zdT1PTRDBLV9IXHTePCdKBf77YTqxKrOxeHp/HT/aVYtppuC
kkRmy+I06Jx93s55Bpa7NTMLZoFu60pxVcQYPCc9Yingm9CYAmX1hDbHgxoN2ApBXMLrGx8014AS
I8nR/fnf8/VdpNOERHQANgNlJ22RlFnVFCVoU3tQxdQHVfUhN1doF9TbCIthc5IuPB++XvV/+niy
hZqaRFK9mG6tSEalDIFBphghgRKJzPcyrJ2pvIminSFfSNC+Dm6ucCGvzkxz9fzJv4+yJ96bCuDA
hlq1OW0VxbsHpGJLbXetkngq6Jaen8sTawlJJ74tHTxqeeZi04o6shhSbWH7XUt20K40XNuNCSWb
7EKgL/UT3paUtwDc0t6FA72sTIa033O56hNH2HrX+ZtQ28ODiqLEoXe1OxAx6aUOzXJo/wREYIJq
qKZRXlusWlHLEEYcwcoab5HyMYw5zLTbWr/wIlp+sD9hUOfjfUBSYi07423d9oAxBwzuhUPr70T5
Jun3cn7f6j/Of6ov6e4y0uKOEFMshYKGSBY2O1Nl7aPGajBxx5tCLmi5dQABctxhUGEZ6vq90L6d
/wEnJ5QRsjTB7rA+P09oW5lQbK15QitQJmgv+eUK6y/N/zgfZ5kQ/TPOv3EWx40pCIkCQpMZNfeR
hg0GOB73fIiF3jPl1nk1Ho1lfsgfbbNUGqe+BpTqiPf6vbQLQF7f17/xMGq2+mODVt+zh6CLE7qC
a67Ox17WCBahlUWNIB70QglCpnHoXoEC2eUApRO+jUK2Eq7l8UZUtucjnvxwc69SQlOIbvLiwDTM
UcYshwlN83cVNVFd+ghG15fDC3v85FZQ6KUYlMfYc4s46Ri2MlSWBKL6toreivBJ6Fd1catJ6/9i
QOSqCuOh2rFMmRMw0Djs4KxmJcJOrz5Mq/tlJSFMgkv1jpNTdxRpsecq8GW42xKpl+8tc62mr0pN
x9mPLyyKL331P6viKNAiQRPLBNyNJzGk0ryeuFcVvXK6LHouavWhigHUioUzBE9y8ZKFwR3YE1Lj
adVDd09yUCbVatJDxyijndoFF27AS5OwuCTaRCt18ISJI5Vuba0K9VqcPVwfzn/U5T37Zwa48KDn
muBXlMXq8WGEyBL6AI45IBP00YHVjHYUsEYkct/Ph/qS0SxjLT5rkM4XFOIS4Cqyb/Imuw26de2Y
rt+4/pPlwi3yIif/eQm+ME/UcSL1T1iwAjyOVM00Fh9ZHVGQMeN5gwy3uYRjkWafH9jJLzWDEf4v
wOJLxYpQjHFJgJLqbQTro0GNXllDpj4f5+QRfRRn/vtHx6cho4mnt8TRwh+4FNuadC/FP8/HOHma
HMWYx3oUQ1BR6UrmGCMyJFH8DZkDJ8b3L2ofzOpCQ+XkvBkSdWmqiir60p9j9X4Hp2MkFiIzAaFq
WxTxC7wQ5eQKP4qyuNiCqu7pL3HyB2xZPVo1tGnzVSveAa5Vzafz03fymjkKtrjhRD+BM9ISDBUw
z1zhb1b1a0t6CnynrrZl+P18uAszuGyPwcSiSjb+SQ6+AcQcCnxTnvxLjdLT97Y1ax7rJOO0ET5/
KLUYFcB6872d7o11901cIayN4k9kj3eZXd+hNfHYum+jbV64206u+L+BjcWtLRU50NGcwGhyoaoQ
U1RsrpFv2J2fxpMnxFGYxSEIARonhogwAbDEMMhs+fV8gC8F/D9n0FGExdFXKgrMypYIk/yhtrhV
VtveelHVB7l8DWRuFenKzC/dbif38lHQxcEHnZy+ExKAAKC5zYBDko3PXjk2vQZXMd7bUFsHAPrh
tMTW9wHPMKF9zcXsqYPCOAvNRmr/fH4iTi7Yo5+0OCqFFhm2AlaG00XYwpuPRbGukodK2JwPc+qD
0j/QaQiDlKAq/nnBpkWTglTWsfCS3XDsnHS6BIo4+bI6CvFl62FCbeaBQb58E68GGzqXt0YjcNOu
4/cO1aBLD6uLAReLVM99ER0YAkaH9gPOy1W3byChVvb0Idpw9IX1+Tk89amOB7hYstAboZWFJnPY
vQ6iO4DIML5p/7a8PG+M4yiLNeqBifeVklGNyW+wYrKPAtDwo7nUaD11kFC1AkQNtpOCyWJB6D2C
J0PJYGDqz6apmrqeokvw4/lfskw0joIsTytTRhQcq3HygBSdC//RggUX3eP5W0d72AUUP+sL5+Op
u+044mJNiBAmkGMloo70I46HMnsca+7s0L/H2aUW4IU5NBYLwrTaTh57ggn5U9y6Q/esfD+/5L6A
HP+sBuD7QBxp8rB1P+9bkGFqNbbN/NjFGUwv6y1YlrVRoqiSY70b416zGWpURUK0Kq9MHc26vET7
JlpZ4S/KvActxf1wmJoLOcSpkxSMPFgyXaTFtuxIWnKrBmLekSV3wK5QHfN1MGXJG6gMtITOT8Kp
aT6OtZjmys/h29XEKkpgzobsTNUvtb/QOjq1uY+DLCaalMg3x5Yg2Qhu0ZfcPOluUoFGmSJfOEdO
ncX6bGjCU5je3RJQQdqH5zkazg6cNw3MapC9nZ+wkx/nKMA81qOUVYxmdY2UAL4El1hWHLx4IUW/
5PjMQto8H+zUaADf/yGaSJSe5q93FKw11VEMByQO8uFH0f8q+wuzderrH//7F4Mpg1Y1fJRMHGsK
QCvWbmA8NUN64dw4NWXHUea/fzSKTKHGmUbzKKJdhy6duFIlsNsmL9zH8/N1cjxw38ChcRuDkvwc
KenT3DRzbuJRRTqihqngrWXjwrlx8qP8DbIs32Yagpc17ELHg9ZsGpugu3T7ztO+PNqBrNJaYCmb
hrEYBqrTfT4gyQBBbDvVDkySDM70f7NVjqIsvX8yQ0PQRWYcsr9OpY/Bu9RhlU7PFBcg7VwRrNpi
HAiacb6MRNBrkPrqjtoCDEtMhWPRNb1dUb2yQ+NmUyAW0bNfeWWeXw+nJ/I/P0BfZPQRsroVJPG5
nIrQtGl7OkoP34Zudz7M6WX3N8ziYvTFUMol9BwcSQpsk7sheYTTcT7GyU0EHg/8O6YWdMU+L21v
VGq5iyjQZPKLVj1q4U7MoNutoku1y1O3PP3c/wRanglyPiI7QjmMKqLcX/f98yhsVVh+6VbNtucH
Jc/Xy5eVfhRscTSoqFMieU+wprWntfGItqg9RjbN/ruD/fo6OfbqsFrp9lYpLsznybV5FHnxUO9z
GtUjpnfYKiQQlXOnCC9c4wuvtH8K0MczuVj+UdpHlj8QQrlF469+EBzhRnDKDaT9VemWu8JZ2cPK
f+zd7Fk9+FB5zs/uyZf00Q9YLv/MrPRggtDpmD+kR/8mf0HQo7Gjx9/Cj/pOur9qXbTqrvXV+bAX
FtASc48oslrPOFr8q9CGjjdlfDDbQ4kmTvwj0e/+fTBwFYgQ0a6gc7dILSbfUpN2PoyHOEedH+0M
Q9u1U7WtJcsJIRE1VXF7PuTJYw3SAj082GEy3brPW1FpPOixCakpRtCeAgUtxgwcaQHh1it3mglV
HNUC5NTKm1g+GLHbDJsLv2A+t5bb5vgXzIv76EYVkK2Two5f4Oc38uBOvqv16yK5Rg+iYn0hfMiD
97+JSd1sboDBEl0WNjUraJoQLWbsKSgzqVhg34XFnVDtkbJyPB1d6TxG1e/SGp4nczlUS8Qghm7w
bDi4OCES08zSTCeslSnCe4H5Jq0Uq9+3QDt3GWYTjmlMyaY0isExokjhQSL3PFLNSeSXNeama/v4
ws4+dd7PzUD68wYAomUTBLhgHleynzpe9VArrwlGMqGXX5jwU3fXcZD56Dz6xnI2jU3qBaiuCisz
uNLNW9KlqL8wv6eOweMoi7WcjJPRCSJD4Z1hG6WCsveFM/7SOBZr1UO2QsyQLnO0+L5PqRoSAx3A
4BK85tQFCX8ZiiqdP5rai9M2Ri26xHoWUKBfvSAte4d3xY2iD3uYYZtabi4M6+TE/Q23PFvjNMSV
1UNuptNAF6FsOnHwnN9yJ5cZMAiQXHib0sH/vAIwhNE6PyVEXfxSQDzGwar3v5+PIZ84SrC6xHmO
ruHsYrXYX6meVJ1YlqnTO9PaOuCLc+X/rrbBq39f/KTkozyYiLJjiYlMtD1lTp7t4tfzv+HECvn0
ExZXcavXPqLsReqI9eghmlTExX2QC8pPmTc5fo6Dhmr6+ZAnpxakB3cGrw9j+VAoKZpn1oSiqeAp
9ujdlOYHALULO/jkEvkbZPlQGGgAq70FIRARVqdSRYdHyflhfMGoziUMqFlQwaArsPYXSyT3e8/P
PMYBIbVM7fRDuA33w75YZ3uepuEBWW8u+mml3wRXl5bnSbCCBZAF8DSHM+CSz+sTp4TaLGt2dh44
gNFJLw7xddk/xrvYjTatf2E6T27wv6fussyKmKIqYXCRUrwL7Nz/1QqlHVvvWXFXXuoVnVwef0Mt
y62SOmImHzIyhAXdMJoQnQpceegv4EpOVVlRDjB5qNLtoOKz+HyiknhKp7L5UF2c3bodXJu8DE1H
YxUXDnx/20SlSkrulKpZzy4k55fPiUztU/jFFSN2coSZQsUBo64F+lMguzrXwi1CEW9F4cKleaor
8Sna4qqp6zSPwX8ixqo8NNQcpmZVIQllBC+twu1OFe7goQF9fogn9uCnoPPfP7pFtRHkaiMzw0Fx
W/g9mf6lN+apN8ynEPNiOgrhK/hgCwnjEoR7T1vXKNFg1aOK15r3LRZWYYbG5buSCusoWAXhaxC1
TjcibzQ6uLFq4R75ddH/PpZPZuetzo/+9JzDUmFzzmts6U2phHE6C93hZVO8pAj2dG/atO4Lc5NW
TypWDZ3qImB04XA91XoH6Qx/DF4lZ+ySaKSEWArjDsZOvRJ/q99LCNrb0tWc+Elz2j1GQ6seMP+l
sZ44H3jLw8uG8EuDd1n6CyK0lwSZa2RYjyv5zfshr6Zflp3ma/93dqOv01tEQZVddH/pFD5xWhBY
sUTFgKvyxU1QRCcH0z1UhlEriJQXPb+OmvX5D3lybLxvZiqnRva92DuJICqDYiDBX8vKxhh+ycl6
9GtnyDZDtDkf6sRtbMIP+0+oxY4pA0r8ek4oBEETwRXbrZVtxkvuj6f25XGUxaYphhJW8ewpYMYb
bLxqVB3OD+PkRzkaxjzMo12Jp08uFyEBcKPX/ecQheTwAgb+1AVoQRilJwKLYEZFf44RBJVQocOZ
OEYorv6XtPPakVtJtvYTEaA3t2T59i2pZW4IqaVN7z2f/v/Y/zmzq1hEEZozswf7YoCOimRkZGTk
irUYzLJN9IWiX5G7CRgfhUoxQmdBtkEErDi3tK8vLM9KJkGJcyY0sOwXL2g2ZAl4ll90CEceK/JN
yUvdWo9r0SRkKKA7ge7QYZ05K6EEEystryW0amLo070HCfHCqJ643uwQALgwcIlYSSULXxGA7L9G
536KZjhEOUbT8TnTn0XpH9h1bgfKwiF4YWJWxZSuNyoFcjBAER1xsEvD1o/ePSh6c+WjfYAnZ1fZ
c0vzF7sKyYxOErGk5B3y4sUphCk7hNiwQk8jqpVNrfxTxt906RMqUoV+n/T+VjIB34C3R/LI1Pxj
0Oq7ATkoT/8iu0z8y+8BEzkgKWFLS5/7Tnua5L9vL9BCQrj42fMiJWh9NLD42Qi22XK266Q3C9Bk
ur1tZvE7MGUFsHAiA5o3OD3VhxRyqOjd66OKjq6V/GB6XUeVQlV8qlmNzF6n+sQyDZv839fqjFIy
h8s9CK4Xkt/lVu7iIklrLwC2FX/KxLs0XvHuOpD5+waHEya0SdD38u8ncKnCCMffh8jUhk/BCcVo
Z4nfbq/hAsQQM6B3aZfwWIetSzMT6kPLtAhhoeC1rJ0u2onKvvc2OgzSlfukjQjP24Z1XzvFZw3B
GMdBkBb9nLXUuOQubE4ol+MyjFWzmKn9XEK/DXcLuPUj/b4ehP3QyGtw6etjEaw+/2FSm7lfhGwu
3a3jVCriuqATB/X9ZxHaKPEtObn3xoNWOqiUPSS/Uye5i0/GSl5aKPqwbDCfgnY508BzoPQootya
iyRgXhcs2fGTunweoJuNbDGu68eyLsbWCTKlesn6OOXmnEglkrToKD5LtKZgs46rAK5dq9I3SufK
W0j/WxDyepPAlSrHXmbXReR/do2m+tyNGZ9NESPzIKOas1JbXB/FEyaVymKaRGffzUPTzZiQ86cc
a+g7S3U3RfmXAw/TnPK5hdlZPBS84yPtQJM2e2nduxFu9/DOiirYhz/d3gDXSQRLFsyq0CbQN5mz
bCCaWkLT2dHVHx8BXYvFwfW3aWdrpuOv4nmnousyn18Ym0+CFxwdJbIlIAqLDaKG3bBPiq0ZbSXv
oKvICWyy6gk668w9mMoa7ca0kee2eRrkLIZPjzJ7dhoXTRLraljSwFA9Gmq50WxjBsAcQ4AztJCR
oihjrlRx6B6oi9cwqB+tpyvz3Fc1WDLghJn3TyQ3ZjigJFmHR/mH+1Ox83uBhwXLUY/uJvvW8q5w
6CBDtk/Jk/ro//l7uBDb71/7H8XKWXUnQEpXwkrMxo//8fQ7l3kw96uW7G9H02IWO7MySy9alLfo
xmHFrF6jSR2SqV/py20bSynMQDGQWQWGQ7k1XaawpjLCKlda2uo0MuRGe/AtZa8jkIOWqm0K7kri
WtzsMvNd8F5BVDTHvFSFInhSg0tlajpWKduy//O2Q/LKHpyzprlCAtGfyrYoHqsXERq3L5YzbLv9
7/hB2zzUPmN7xv6rdLC9IwJcDLTkzmCnjul02wRk7kr1svQNzzKCJV+ur6hqIL6mjCAW9yUvmhay
WCsJdGkvnpuYXc5y33JdacQEQm0N8pBAHsdNV/OyiJqhU2WH2wu88P405R2Od7qmpLl51wgFjUiF
DJ+KNd9V9bM4fkMDxayeBpRI6j+mcozVH7nQgcxCaEP8WWkrbaulGGLfU8eAcOcuMDswXPS9wwal
aQQQKsfgab+VVzbeogX0u+hc6NMk0swCsr7QgekTRFaBCzF5EBFIXlnE6bvPMxhzyxzh7AQGEmaV
UokKKJTxDMx08KLrd8nwKlkHIXrw6m2GDIMV2QWMhwX/rDwfLm2PM8PzUyMyWq9uWwwzrGahraP8
ClESGL5U+Un6eww/O/1fJ+dbMUQlRconJ3Mv21XDz3yUTwIagLfXcs2j+RYrkNkYpmEuX1FsfXyK
0zsuIa7+S6wPAJ1XrC1t6HOfZrutAbZXReLkE9gr40dVn8Lu+22HlnIyo6AwTkEeBwh9Fhuol5Rl
UTfkfVcFslIGfwIocmyongd0Lj3k0fRKdm7bXFrEqUM38R5DNzmn1OhhEw+sCYiXRJ/qGrENRxC/
ZBJCN/B4f75ta2EJIbQwoPiUgBjCuHqZE1HekzJBx1Zt0fOVVf1zXutoQhrBGs3f9JdmuwwGSZUX
Ru50hjTv2Xuiy53XJFUFKZLTQ/DoZc8MMz0KEhPGyqMvKjtTozy+7d/CswhzcP+averf9w2HH1Ld
6LdbhyyNURAxNl7wpgyw6Qv6qco/l55/1yJ4S8HruGC6nUlAMxwRnjO+qCFiIo3qqNL77R82z2vw
WsBuSxsWTB910zyveVGuC3IjCtzuA/c+rIx/urEeV9pS868rmRN/K0UZRGkTheesooCh1808VFJs
tf0ZZCLaa8ZOULKVGJrvkQ8rHAImOBcMzguJKEdeGxC/5+SV9F7n6d5FlroXDMtuyy51pMpcOROW
3KLBagCohhcARNll0I5NOrSChNCykX1Oc7SmA8OR9NUZ5nm3YyLiNRhinuhPVej6pp9xVlnGMt3y
TIh95+5bYkOZb8Nj9v7V2Tova+8h18FgcbqpgClAryjYurTkg/d0YX33HXlfbmBU2+/vq01sQ3Z2
O+g+VuZ8E+LShaHph5y51ClyjzCo6ztIeH0wLJewLIeOvqVs3yg4Of2Px0P77tu3zYO1fXja2cd+
cnz//K7a96pN836bb7Xtu/1M08CmZrO/7refnMPL7993axXbwhe4+LmzL4BAaOSVHusiGCArgyYN
9imzOVvQ+q8GHbQVcPJVXFmUABNYVKaSgsl79hn6Dom9UAfKU4ZysdW1LDpANBBsvQ6qjttf4uqx
nXbIRC+ANe5tMH/OXPNDU5PaSgqcwduNEgQWKTJW45sbt4cqemviHsGpe5Q27/y4RfrKSRAU6fd6
gppjJB6F5rF0/xjGUeuOKz/sKhanH2aqOtcQkVQ9381jOXRRoTJdOqbIA8OdFsIOYKUVekqepCcP
0ZAFuqPrJUJjgaA39SHLZO2ZtwJhKwZl4x4Y3vD8U8mXHUBDucoGPRj5pUN8pt2U7ZAjxS30wp0p
BqnqSFGM7jRq7NC6FEmhfGuMAJkUqHzDZnPbtYXPq9Gf0XlfpRCCf+Uy+GXXt8quRpehq+41Rv/k
MULRdGWLLSwftEXcxiXOVRU+0UsjRVTkopJ2EVwozUFDq4qsuVL1L/iBC6Cap8QOoHYWps3oNUpc
4scI2Nz3xV0FOaoYGytZaX5g//9cYU7A42mMfM6oELuCUZsFucI3XVtxvyGLto0qiEea/qCwIXQt
loBnan//lT5YEE16N8Y09zdbwL5Om1AxEH2orY3UnEaQJ8y0r1i5yiwUIRPX4v9amRWqgzVKYxti
pR1oUMDf3fQOnUnmHtZe1pe+FjcjrvUT+Jm3wUt/chH2ATOn/2no0VFA2EZFa9etg5UzcV40kk9g
XJ2o60A+AQueBYVSyq5a1z5QdBUMWoU2KuCo02A16KyykDmgy6b55/aGuj74p9Pk3wiZftPZadLz
WiNBNTAN6fYnJL12YmGczK546Pt6B2nNSkBerSQ3XAuw5VSN06D/6DacmcsbOUX73Q8chBhPVSEi
Cz50d7ksrABJF+xMg+mWzLUWVY/5aLrqalUhTTERmpGtIZTciPdR/O322l19r4mC+szILADR2GZ8
Fiozpw9IFpKXH6dWjNpBNQMxWOz+4/flp9smrx4piXZQTtSblBqqdMXb1gZ5h3hbHxAawYvfyTsV
/em+FN8lyXvpo+mcEb+ibAivbbEJ1GglNV6FC7tAFsGXqbD4AF6f7YQGxGjc+gwxdWIL9UZnvFtM
HvwslEZyJEjaGV5Phy+3fb5a5o9tAf4AbBQhM0dF1W7pDp7BtrACyKLa+6Q75tJLmZHRkudoba8v
ZBWF8GSn0+TmDJhW4CxCY1due0EsQ/A6iXIPu9u4yTs3d8SxFQ9S4OmH294t2oMOmTiCgvTqsInK
sWXYAFUjy49Pcv3dC+SdxzZUV7r2VzuCfMJXo1AhuUAoOfMriCMe/IIKv4bikUB5r12wxcLaEPuS
OxPVMYU94An0dC6Xj4pi9KnqQicOf0ja77bd6crv3F/ZectWeBIArqZPwoCXVoJAlPwmAMXoicd6
/D3CN+D1z0H7+/a3WVozFYI3+Nm5fpFLLs2Ecc0B6lqBE5K09kKgJaekUAOe/IIwW7nnXTXhyf7c
q+ENpmrUrqvJEPLgzAiY/ZX9TnzrE8Nq7dQPpZd+EFFfGxB/k21RkMVfVdoZu5SH+i8xYtHsh1A0
nkvm0IGvjlzi9vCwi6iBiZX7u3LL/vPoe/G7YVTawTBT9OmG1jS+q2EmrTSLl9YLBLVIhhAl6Hsn
dOrZ3ikaKr5OdAOnUYeN66NSaWUHy7X+/uBXzs3MyotUdiMIZzGDmtVu6A9eLQJHjpBbf7v9/ZfC
jHdP2qJoIqjSx0TGmT+WWsj5qFJfNomBRkPaq+pXyYyKV2i9lPdR9ymxb1u8zu80YCciVoki4ON0
uVzCUnPFiE5v5IRI2SrShkmnUWc4iC+7M+R0UzS5bZVbP11Z04VPh10eLaa0x7vFbE3Hwgd4miP3
6HGeKJHGa5ew8Qxpe9u/pSiHFgeuGFCuUFrOZyD1qre0pKSV3cKo4eU+nDjQ9HyZeMVoxMG2Wgfb
wj0p3r7N3kDC9uanUnT89mee36mTjOC2b57gwrz9s1RW9eJOzarz0E4DnEsjMgyzykuP2kILEM1F
1X2PBLQtcYbftnAFuGF7X5iYfsJZLDV9QVKuMJG/Q+Cvpjwn2+1p+Nb96r+vcQYvnNLaVEUyzwLD
K7eTS1vWWPRFnGHLJDEO6NRWT7Ws2lm1qdbI/JfihgKctuPUpLoaCvQMXfcCq+Ai4+UHJNY3XqQd
zUxcWb5lMxOL4HS9BzN36dHoqZVi9pjxstHRoeHWIt02lZVm/sK6scu5KgEe4WSZF+CVFSqk0T4E
nxSh9C22wgOp81efVsxZoV8JYL8rVhoWCzlG/WAQBfDAvz8SwllcCK4pFKCyUTXslPuw6JyEhuJg
Jge3S1aK4jVTs7AwR6hSiwhCxCh7yxFTR8IS4c5v/t/CvIiFC5dmuykQxVpTUuygCbnxqmpr1MGh
GdW/jwlqYP4L0SPTDvNKTQzEUi2RMmXlzE0jlY9ulqPAW+5u79yF3KBa5GL9A9mNY5ehp7RlFobN
pHIffu0AMGlrKIel2IZ+HnKpiQQKqvZLA7mbRz4QzcjR/e6foE52mQJ83P1rnsrpZCEr0GyAy+JK
/krUKtMXdI+uRpzdw68LXbl4atLfsN8jvT2sfJyFrQSWZrodTTc+KKYvnYJRVdMzBeiSYup3Iu2u
pDU2eoN/wIeNduUbLSwh1ji2QDAwXHPVsXFNhCk1VGC90TyJGkSjpraVq5USbWH/wCwN5xRCYtOl
cuZTo3WRYAkpj8+Zvp/uy2GS213iV3ba/X21fmFq+ilnWSFQURG3dEwppfU5LnMltnMNOGipD+UK
7GohvjGFTwoxwRebeRW0WYDTmGJq52gOxtMgrQFc10zMvBk0v/VyFxNl3luvo1eGXPs97/X2Rl3+
PP86Mtuo/oDg2mhhxewEeyR1qxCjvirC2lG+GNpkHdrLtLauGK260hDHFHVNJyjUT5OsQWu5h1H2
t8UQPSiCuXbnXrr/Tlnuf+zNgaaDqfix52bcf3NkoavSz5ys9Qzbk4vvrmvuvMDb+4CTb6/molUQ
f1PrkNvwvCTqYk+rvAAw3pjFJ+hm8/iPzAAuOqWJIjmNuWJuqT6aiAX+Y29WH8ldalRCgT3YWZyh
HGyh0sCTiI43fAIIm9DA1IatFW5vu3k1tMNhdWF3Fv6qlHui6GNXcse94u/U4mVQPnfqvsZbyPmz
anDGIN011VFfq4YXI+nM59m+0AHXIFePbV7JiBxds8VeeB5iwNiQJY1aslLfTL7MytwLX2c7RGXS
NvGzyVf53pOY8a38nQ5i+faSLu7DM6+myDrLXWMeek05Rc5gWdteq390jP0RsSEyOGvwgSvWn4/P
RzeMQVHKa8bmLo3Fdey1lUrbrdYEmACb0s4L4z2dnloC93N4yBpbHe7TMgBweRS1vR/+dHXdab1v
bbaSfxZX17SYteCfaxmNVkalo5nQ7X0AMa0ZnKgaPDs2vZWzYXF9z+zMokYxC94lJrScIEubbpQd
oZapWH8E/9VDCKFHy4hOGLjYWSHnFVSmeT8hJ4TBspXMKuzEylYqhaVlm3pTzB1OdF5XShSK2Cei
P+GteuS0uaBIUAg3tfn291FJ/9CiJwxWzpwrCRt5K/iwcgMJD/X0sw6p4xHEZ3PvQxT9piVrU7BL
F3mdMRLekGjZEpuzRpjfBvSHmRl1YiHatPWRZlXWftdp7g+nRojtwniIu03l7m67Of3Z+RbnOjbV
XnwzpJkv90PWpXrbeOBpiIZ7s87VfVQNoi1mWvVs1ic/fuubrITF8i9bP4AQGZ4n7tmJ0KDPQSha
kDemJTDfHpX1l95FR8aVw03KbMTmtoNXB8VkaeKGQIADZWjUES49DDXJj9kClEaydVLM0ENwvNi6
lf8DyfnfoyW/+YniyFn6LKEletv4vJCRueHq1LNcEi0UL+fPCsbod75X0o0p9Dt5yGHuWwO7zHfD
ZMGEJp/HOtby6sVuurcbfgMQIkdLyR7ELtxGdWIRLvnaiMaSMx9KSRzupOt5iQ6iJRZi2Uid2Mtt
TXtenQq7eiCfnKGPDjCJeDS5QV1+qqYUo6h0GQbttQppX1e7MxKt3glD+OSLwlNSqdrJlbt7SRBO
plkeBTn7UhTjQy57HiMp4g5N9udUidR9rLWnjKl/V1Bl2xOVtQvEVRnw8VMBogFDJrj0OQS6K1sE
25Ebd0pB3+VSchB5cBh09O1bmEd6H5441xH7d2/UNqHkOVZb/mUe5Bfo8E0CVEHgdIKBXy5Wlbsg
GweBmXzp5FFVeuUrt9797QBeCC+MIE4NOQCT8vNtmsRJkeSDhxg1m8etxL3OFNAqEdAHI/p5Fvrw
BZ1j8izI1ivQUhXzQCpbQcbwprYTHn/1m+Qn4sJw4hSVvR/ey6+vrWM+pXf30VNpx2+fhM/+Kf+B
vMeKvwvZglXl2gsCCBwVx8vlqjZhkUpKhMNZH20REzaGckRQpz+MRbkpy2YDWfirlMMmpVVrqWpx
sWmqTtandtLMti6rBcOz2FZD6+fQ106fS3exP650kBb2MS7+a2ZWD2hpSfeiwUyQ1YjJ64+1v8YV
PD9Vpu85UVXx/EY3nKHYy1U0C4bXE4HvqZevqvvYpt8Ygaj7V7P6pqqHxl15Jb46POf2ZiVkPdSm
O/DGgmbHJisfo8Hm8b2fqp2TKvywFF4evwjt4fbeuEZiT15SinCMEbTUPZdeRm1uwTkSA+Q9CPXe
fBERq5e/M26hb9RNcmz30fvv2yaXIuTc4sxPZQyyJPci6KoS8WlQspPs9Q+SUa4cW0tmuNkDD+ZZ
RuZt5tIxvbACS4hhxdLiYVvWw7Eoq42UBiuBuJREiRC0vugI00SfB3xtdVFv9hmf7cm/73ftsXJ4
F/+R3avvoS2udGNWrc3inicUVxpSrNW7eiMc9H2wR9jmbnykV9KjG3T7Uy3tMgX4B3gvnXfH+Rp2
oekXplSwy4YU0b8/0ZqB6zl7wu/cgnz5lQwj1xoxwYIi2fGx/gZ7J+99APR0aRPdt6fR+UlZ99fj
7lhFxJhaccJkSPPpfjmURrPVEfNUxc+SdlKYXYvX4mIK4/lxANOU/PGoNZVvl565GsiWsu8yJz2G
T+bDZ/23fLQex5P4Kdo4pl1tAKoB49rc/mJLUY8w6gSCQ8GG3DWziqBv5ioNSYsR27TUEezQ7dUi
5+oGOuWqczNT4Jxdd4cUbEKZt2SNJ+YW2w0lYeaYn+XGjvbGQ3ZfvumH4s46jiu5Q15KyueGZ8eL
xlBImif4J+9/9Bgen+DuJW3tlE+ZHf3J7wtmc1oPgRT5KbSLr8Jp2zRO/HPYMF55LNay59rPmW1H
XQh1T9T5OXW15aH5U+W0d/oGNeVPebapdv3W2qiH4j54ir46zJnf/taLxhlg+3hWpHieZThPNzMr
yoiwQL9r4n1SxRupAyu9Sd0/ZbdJspWhmYWI5pmUfhU3HgX19tnax21ZqlZU544SiMAEe1vuXurs
OTADOw4h71mjW1mI5QlbjJQiWAS0Byf/z4JMGFqtKMU+c6K0He3afG89alVFXuOFW8hyFJ+UbfBq
8wA9b6SnipS7fiDyEc1SOI2dzOxCq/Urpe71YDMn7KTzRL+Z3QNv46U7SPt6etIxMqN/MX8Y95MO
HKxzz1Zg7/RN7zSb8SRDbP9Ac3ONSWIpzV7Ynu3XIiyHoimwLTvVP8lbeQ8fzx203iZBauXOCE2r
nX8Rv94O0KWFPfd4FjCABgiYGKtVctfDL7w2cLKwAQx9erqEmlVBMXK2AeTGiDLT5+8L5TYX7RTY
W2h+lqp7BmVlbz+sNcGXiqULg7PTCkE5q87zyeCdvq/vpXvjbryztsKfagNrhWSLd9VKhll0kYPq
AwdGHTo7ReLO1bpaJDaNrD81Vr93GTXRrX8U4xcXTduVjD2sWist08XvBgEdSDAGFdjvl5HatWnB
q4881fD1wfA6iK7XnksXIxK3JHio+X7opV7aUBvFz5jzzxwvgYpffYuDIxIgdYikglO2X2S0McZn
iCG84Gfc7FuKq7XSd8nL818w+5iR1rd9karsCXcUTlDTyE9qob3f3gLXORNKM5g9ZZUW3DRteOlm
Imiuh8xZ7jTRJ4Cfeniq+7tafRLEk6r+uW1rioXLiuPS1uyzRV0oZMmUn4fmp6HuU9cO+3speLDW
eArXnJqdeqDdkkbNMFR7m8R8DN0vlut04WuW3vfyyqGzcJmVAQrCVAmujiaBOv2Ys1PAEl01iYo0
hx/OPGb+VwBlTpggD2bAZ5Zq+6GHeyr+5FprITot1+VySnT1/o3QWb4ulUhiDxChoCC2Av+G/eRo
BGun+LRYczMQZNPKR9PHBMBy6d9giQMjXtPpw2W5zk1H6pnTDp6KLNvdjo8lh84sfaz02Upq5RgE
fiJlTqyMh0R1d8AitmOnv942s+QQOEiVaQWQVXy0S4fiSGIEYnDZ2WXyZFhAScrgQaTDBAHV2p15
wRYzTrSapylHSvrZ4vH4mcQK74SOHOZ3TeM9j4O+N8oEtgRzF0X1QVSe0be340JmgO5Rlj4xAHLv
8cpWKL/KKFpxfekOf/575ktcF26QVQ2/Z9Tcr1krbdVSOml5egoj/7lKzG0sDRuDrgxQZ9/u07/O
NtRKwHhoVkwst/PTokNvIupqD0RIBWuYdOwlIO5OjITeJFVQf7/9oRfiyaSeodvFXCSQh1kKH3Wv
HJI8wNoISTE7Mf45titH0ZqNWZLW3CyKLdfPnTJI7dHdp4O3KaDXvu3JYhideTILWa/Ie1Gq8ESN
9mb9XQge/Xjjrz27rlmZnQV+bjW12uCLDs2Udx8rR9qs8hoYeXnF6EQoE3Ed587l9gMOEBqEYe7E
MLlL6gHFQSZwd//Ngv3HyHw61e+bThzL6dMLD6n6lBiHcHD6ZuXR7/qcIZzp0wMitKCMn19witRw
w95gwYRKoS6vj7lS3Ddqzrh+LDtMcOzlzli5ty8t3/TQAbaKywCg8cvli5mtKS2ILBwTeFo0WPdi
ku6teo0zY6H4AE+jA0KB9Zte6cwM41ahNOQFsaDLDzAY7zP31+1PdF0NTN28idmH3hRgulnl6PMA
LZcKtyfDDJJN16LSFfldss3i8ZMkBfmrZHjJSv67jvDprIYbg3cxHlDniEVNr7Rm5ILuAFY/9oJ1
V1jKS1jqD63vrz1LXfsH4pqygLkFuLYQrrr8UCOlVW2p1OJ1sGmt7yr62c2pU380azDMRUP09Onu
GSTX+RkTuJLSVBnVcN586/Xvbnn0mrdSPo3pyqa6jgk8+tfQ/PCossjQ4o7zWSq/GRHHwxrp+rT1
L0sN+L6nSV2aeWA9549fldqOWV3rVDT93Vg/6+le8L+W3qGYppHuvDXo2NLCnZubouWs3si8NGzK
BnNxPjiDeByHcu8GP4T+UIfxSgZftAWOhmESKISv1LbbkckrdjUHr/hWm+FB1caXTCm3QtnYudKv
1B3XSUJmak2chvCYJIOf4tIzTahDL5tOJSTObcPYdeYXN9/e3r9Le4mShuOVR0R4dWZ5PAtbc8g6
OHSb7I82vBbhPWq44Vq6W4o5Jrh16iceAq/oxyQJ0jiGFrEiveguCgDdy203rnM4lxISOLfIjyw0
W6pGLPIUXuoc1u2NnkP59+6pT0p4TOCaXNV8W4qCc2OzuwJ9ZL9pYo4lc1TtIDpqxoum5QyFHKu1
XsBSCIAP4YoAe/4ELb0MgRplrVTzWbgC0u243E9cYJq/VpgsWkEZHPoJ6jlOjEsrfplpPAlDL2QJ
L4PF6K/1Khh/O/01ZVHKhf8Yma2aWXSTKiZGRjZndqyC91E6iciH3Y6ExY8DfoDalPY0MJFLX9I8
r4wowIwZaXcAvoUDHYzKVr3+h9HoD7LnJitbaNEiZLYi6U6cZs0uLfqan6JWzHHkJr+n4xxNZOCe
Qpdv6mx/27ml3UoT8X9MgdG4NNWqaV2FGVjsYmAO/lh0TKxolJArZhbj4czMrGzQXa1omg4zbrzV
2++N/5oHb7c9WVw03mQmZLYBG/Bs0azQV8sgTnJHll/acFdrJ9FykS519GAlNSw6Q/IREQMiO8wH
2nzVzTslwZmuCnZIpjphnHzrIZW+7dDipzkzM/3/Z8dQDFJeh4ksdyIGQ2IGR4PtIKFDl61Ujkup
lLLnP+5MC3tmJ9CNWJYi7JSwnCqN+ZaO3n/z+c9MzHYqjWov5XEnB8r3qgVPgfU09iv9luXP/68X
s89fqVZTaFMgV1K08727BvUbWOR9lcmd1ev7FK7zguRsyebXiNKKu6pQMdaksKZpXUX/dtwL2g+9
MTe1kWzbUUXCtgmdMGsP0Wj939ZzPrOvG6HbFh72Sa+N/LlV92619rqwEuWafBkWctwGkZljIy6t
jeE/ibWFeshKbl2J8TmesNCzDloHjEjexqq3rbnT5JOx1kBajA2ISgGi0XGB/+PSFUUcfF/qsdLl
725qF8O2jV9iFz6baK2eW+gPcyid2ZqFui91QW+02JL30q45BY/ZY/aFF7WDMdqq3VM8PDcH4/Pt
VLH4rZg0N1ksDqj5EeWrRkUPMie9ip+VYhsnf4y1DD797quQPzMxZZGzLBF6ca2Y09COnr6Z6a9e
+hlZTmt+MjsGXdWV+F7oR02r+K9Dk8Nn1lw4UaW4wKE8s6XAlr+nd+AgH4R9sLH2yu/bq7ccHv8a
myVaVHjirFO505aCYitBs/H73qH+7rRfmfZ229bVTOVH0XLm2SwWo7qvtMrHmDgckq3oBG/ovmyN
x/ZUHqKj9UWwrW27rU/CXtmXr8EmXyvN1j7kLEArz2vFImNp/VI7AGBo+6/a0EGG913OH1r5v7hx
nH/IWVoGaxiVnoo1OVV/xcYQ2CCtdkMpHW+v61rEfKDcziLGULwc9CLrWnvb0v0Mu4EB7GkMD32z
yfRDFnCG+gdXNFYy2OTAjX0xR5mOUu9ruY5dt4zeWis8Wv1nzZ1sQsvOWJ3E01BRrlQgK99QmeXm
zB0r34P5xmm6cpfIL/k0imjt5eo7Mpx20r3fXtyV9DKHnYhjVETilF7SxgeUkThlnb/GgrHi1dpS
zlKMDFnu2CaYEbN3De6D+mQ0Lj3Ag98xnmBXa/eHNbdmScaLc1/oFey5w4NRP2bZZ7n4dHvlpp98
KzpmqaUt4pxWEiYgXu6HX8qwUvUsvjKd7a85aVBvup4ethgw+/ptHIRXxALsXPJfPNBjg67dBelT
HnubMNHXdtx0Nbjl2yyRlKZciGGAaV3N3pSkuQ9j784whlOsBqfSEp0xT+1M0rdaL66cD8vxT5Vv
cD3ioXeqz842e+o2SaPUHEahoDqx+C6G/t5Pxp00upukDB/GTF8BsC3GCgWEyXwAl875k70yRmof
h9OO07qtXnTbFPpciLtWssniUXRmZrax1cYsrXBgTWtUMxLTdMoueGoDeZMof3yrWlnGBTgUx+zZ
K+9sHXVufoGa8CDq/hB8O/iRvOjH4qE8eK0tHzmBTmFvS9/D4xo6YPH7ndmduamXtdKKPnalWrLr
JHKsZl9nm1IcUTn4GrX/1ar++5g9u8GrWjhWssBjtgtNAeBh82uVbUY0itfO1qUMdt5Hnm0JSUjT
DP6P3OnlaI8SUZe9NOOBTssWTkjPp/6r1qQtliLm3OT0k862gpp4eREH9Aqq+J/EvBOaf/r6S+S7
ji8om9vJbOmrTRde+GhApvJ2dmmqbNq6j5spmUU7w7X94Ids3rtDtpPljemt8ZItprZzc7MgSTJD
yZsKcwVViqEeY1+2BfPFBGU0Wvdmts2TP42urzi5dCM5tzqPFT+ujVyZPiGIpn7foqwZAVjR/5ZU
bqoDz+3MDjslM8KoprcEFd+PSHRE/zkaVmqvpcNn6pnLSBYj1DqfVef5pPH0gpyVmdljm7uvnOEr
h8Caidn5lmZCbmZ1yZGdu/eAIbZFtXZ5W8q8jO+IUFHDjwih4GXU0egpgtRk8yoQjkj+9wpe81Bz
bof24sb9jxGabpdGaE4FZtWTkIxh+DHWnwMLwReasP2vSvgUBtKLGa3RnS4uHYBXnjthR4R++NJk
CtjAdCu+TjT8KK1nNd/cdmkxkM/+/uzT9OJE2joVbYGuH0wrePIj3tK9TNi6w1o/YtkWZGdghWD7
mTON6QzQdYGEL7yJxrYhV89D1xxKNdgX/tqz1nI8/MeWOvtUjdHHcqRhS8yp9POvFsPW4do5vOLQ
/LgXKWeMgAsoIPyWMQ3bDG3mUQJ/ZYcuYCvJAvBH0ZsAdQIj+mUQ8Bwsmy2IZGd40Xzbfdn079lJ
D213h8LuV2/fnxAA20RH145PayDgxXR+ZnuWX1OhqhlXx8dhmqjx4N31k4DhMvjqRovh8Sg+dFxi
bkflwnGFpOrEXD8NW/I8cOlwnGqhL1oGoOsYeriN2r4APyyzjWC93Ta0dCEExA5ZGwhcxkTmqF+I
mVI90S3AgFqzVYdkL8Tjzo0Y8i3HQ63+4cX8UaOvFQ76faitQQCW/ARLBNwYlm/S1yxr6aPYpV0I
oEZtimajxHK6lSZW2ybKamSTIYdijr1fWdyFrTGNBioM/kzsO3PcQeq7Zg3UmKg1/GPKvKyb0sxo
1uSR18zMAkeX0mHMDEoOUJalnNhq49nd2oTdxxPR7Hpx4cwsUsbIGj1vOojhE3iMn+odAvXb53TX
1/YIQ+nUSKt+tYhuQ/Kyso4LqZnhPgYtgDkw2TnHkcophNeuxNtf7DYQmI+/usHyV2wsYHJh1lSm
NwREtwxq/sud0I5apScND3H6AE1DC/YLa/WdKZnpSRgQdoOz95m2m3EnUco58hj+DOUYlJiO0lHg
aYkdeiu3yaWgZfhi4mbhpQtKwMuflA+ymPQKfrfau1Z8irxoE+Ue0TsgKWCtHLlLUXRubHY+Nbxy
i7mOsd7rwUcJGgoheqnZgj/8up0KFg53VpqHYi5urPM856QFvRirIl7LoY3goeN2EweBsJEG4VgM
gbYrY0uyq776U/drXO0LSfYiiqdQOyvP01aHb356KdCGZ0l25Palrl7l6P+R9p3NcevKtr+IVczh
KxgmaEY5f2HZlsScM3/9W5h97vUMyDeofa4ky3Kpyg00Gg2gw1qHsN7lvEQOTxazfGlfSfPYQFYw
Doe800kdN7baN24fh/dxb21Kuecs4mKXon4O11h0H6B0j+KrUpM6m19lgSo9UjqNBA3SvNbcGgch
HN9R+CS7CTCqSdaZb0Lcz2/tUE5OG0+q3STRY6Aon4MUvCpmndwK+jRvkl6MSRAAgfv66rObGSNE
KxPdyac6Vba2B/ydjYC2PiCpK89t+Tbk79f/f1br7P9Pf3+mgTxrQjULEQ0opE0ivBry84jkQrbR
TKcMOo6+2U3DCmOOFTXO1bkE/CXxU0cMQoIiUg87meMHFt16VAztlgF6sgkIUjZhIjdtTxMNKkGv
LFGNVy35VJQXIR9JpR0S+QWFN03vif5R5l6LF34RslG7TDky0PlM4U8ZfSJ5klYKGjll6UNKnNQH
/ELvGuqPodlh59bNYGuIwVjDi580nm8duchyp1LD86PnnyEoyIoj3AO8ZcaoBb3QzbGHURtT6Uql
k/gVqaJ9q7ohSlJL4a5D1q+PAQih22Ml2XnhjWC87VwB5EPqvYzHeLitAJ40+QSUaHYbb3rjOR+f
htpRxNAWhcSutBDlN6o9+TRJ/aTW2wk8HaNZk7z5peaBkwjHtvzM1O+mfrLMO9XaxJO4CZC0AqBo
mj11xj7PefBmi0c3O3XGmqPI8Oc8xdQrOP9QT8kI8LFgIqF6h0C60pXOFD9qnc+x65VNhEX/q3Fm
0eNxFIR0gNh+8roBGMnQ4xPQvWFsAaipebya7InAzJJNFszDkJhNAHEF+kPbaQJz4D4ZUQzc2zKq
T/XpSzR577GVrXs+RTZREJVtrwt5r+GCrYM+CpEuISMRrjLX3dGCHvGfuYHwBehBePyzpAr+NPl6
0kHONI92amWk9p/y9NvS9lL3YBjgjbWcOXHK6W2oE0eXPFn5QggB2S6dyNmAnhYLlWfHYdw0iHsI
Aq8+7JSMXO6uvwNkjkQ/C1StkKB8DZGc1tzHM2xezSAOe94A3P13OuFNkMqugbr46LMob5I8I62Y
O/kIshgUVIvWQ6c0RKzuTPRM1sat3Oi/rutxkcg96VHFOwW99ECZYNvogXsnTlMDPQaz7AiGbSV4
/+0qcIaAGiO2QDNuPJoAdwVyrlW9dSXpxi+1MN3rw1i1mrNRMPtRrvzRSHyMQmxBNut/VY2El2jG
2X5rDh9l938ny+w/0Sy6OPXBxzXUlvKYz5JIsd61m1Gba7u0rJZ0BTh9El8GJGGehWhO9UE93MWD
2yiRySmeX8SlT7pHWB8lhJQKhu0H6EULuQNp1ND/8JDJHi5Lipoi4IiiRcvprHej+BCx/sBYw59f
2li4ovUx1ECNf76u/pOrXxjr2UgY/RfARVSUBiNp0MoZV9uuUUmeVDemvLd8oDnVjqRQcKc7sXkU
RS+Yb8fpRQV3YBBvO0CgxvFE5G5fA6gX7PQAVLHjSCGj2pIsfTd0lLgX5eb6mBcv33+0h9pIQDTR
94t8eYIKSToY1jBpJGzefXljGB+CEpK6UTcjCED8frZbEIMYpJN4PUGr1oolAyIKahEWyK8BmtOL
Ppo10qVDQboWYfZM6L/UFuDA1yfJBmj+meNfScy6BKbvq0oNSbjxA/Eqs4UQJV/jTse19/8midka
coZF8xNIChTR8XFyz2hQU9J7tfOuC1qwNzJzYk8lNa9MYwrhBaPKd0yVzDJ+TPdlNztZ9NAJsSvD
VQaSPQu3kriRlX0Q3YA+K+xeU+tdKV8Nc8Y/PofpCPxbUnd3uQUS9sot5FfcfCfr4fqA110kxT0y
AUeto6P10tB0JfUBVI4B64J/O4boDK6Nh0AC3FM7Kl6CRP8ozsAENJzMsj4T/09dC2CtAmXobPVO
0fYcZ7lu+WcDYi5uc6hWIzB7NJKDU62YkF8SWxJahyaUUSpFC0VvGvF+aHVi/FsAAyweymkR/qTH
hYS+oktdZHImDFEGR5G3IZAPhaPfp26blpxivbUpnsp2UQ4PxpsF+RcI+MBxZuBAGDUBTadBOJB4
Cksnm1qwSfmN4CHW7G98nwKs1jhhs2QCNn1vpg5n9VceVsgFAdNXpEiuJlsVkCr+FIcZ3ExcN7/G
AJy7lvSqtLojo3nDKrQnPxh2ppgcLLG3MzV80AfpLlJVT+sTTnZ2TSswQor0ikeDgt77S+0XMTBR
yxSbNE7k5k4Gcz3or9s/ilV2IDlNE1BsZNFrEMT5TTjNkS0M4p0ZIrjD0YkCOcxxAWZQ2AG9fKHY
jDFAoyskXw0lDXg7ZeaGplU5MuIcB8kvQvDEBxZJ82GwVSt+CtMss/VhBjdYpMlYOlR5Sob/yBkR
jSAzI7pYJea21SVWirwK7LKjwIPapq93on4sZoNYwZ0y2LWY7Q3t0GUc57ByFFzIpb8/exb7ldJY
eQzriNp4lxqDF825W7T/Hgwe2w6oHoB3AA4bitwuxaRAY5YiOr0k3usU6qv9/G8UeCaBOWmkXp0i
5FI0oCneBsbbqOyabJsMb8r4AKQKEHSp8mEoeJuLLa44uZMzqYw7AWkC0sUm5qUZL9L85gv+JhX3
Qn5fRz9pC3oLkI7w+AxWlwx4BOgRkWHFLKSS1iK8oE+YqarDY/jqNhNaUuQWJ7pAFbawyDMxjEJr
sQ4npNngwVCfWw4bgB74uauMjwWFfOk44Z8Tf9o1cYwm8RySW6GEa0jA/555QnwEcVIUfKchgPoU
N8txZ0CTx5ekSqic4tzFrqsU1SqMecZZKrUpDiSlCd3BEu96pTj2qfnfbLb/VekijTSnCcpWqPsr
tcemvYv195nnSFa9/ZkI5lJZRGIodiNWLZkFIg6V3QscV8XTFfWtZx4DiRFRA3sQPFUYbpQRUYAx
2FtF417f0NQjsPYAkCGkxZGPptxMl2KCagRLNpLNAGdW3AhNML55lKoW3BY3gs5LVq69Hy4OJjrp
s0kFqllqTYyVqaR9P/1oobzNW5RdjrYex7ia3IlzZ1cjbmtGSgQKitFszPHJ6rad9mWpt6LyVRhf
KOVQ5XurzZ2mKBx1uBGMX6ZeA5pH5pxgK9q5GC+jHYTe8O4tMN6wQmhE1lsRr56u3yUoqyIgWShJ
0MYNx9vRLcgsyYVQxiMEmWxGrQCh2ezSgvohnwj6pl3wxNhdrBJReTENLrbMyskILwfEQRrlkyW2
E0otRiXXRxiCNtSk2cepCZsGs5Nj3qbGXT7VP6qePda6sLtugGuP7XPBJuMUgl5JU2iZvm6fu+FD
kn8CC9iV5nNR79oYHInzQ2ncVAAq6nj84St77OJ+wmg6lLsGgU2I1rUMYEEfAygZ+5yzkRc1zji8
LqQwLhdcl1XvT5ASw6P3SbOJptdimuHcHcX8hWSzhKZexE4NYCDmqBME9NOcxwjGPZVx6ySRVwBQ
zUIENSXz/M7R/vqyU4x21MagE5L+/mxHNjlwuMoJV7SiexmnG3SzK6nXg3VunLfBBA6mm0wFchNn
0dfCctDJX7GM/0xm0MxZOV50g4UgY+ImuBBGaeS2oKwEwB/Sfnbh/+rjjRTWpEiBN2zYYJEiU7BJ
hcdMdmQDzVN2jPBka940vPHRhV9sQdprKuPtTrugL7VSgAGyCgVoRVcHJ0aZdtL2xOrufWPXJB/T
zDGRBU30yUTO5DGGKBRBWkQN1BFH4xbBFCkaSCh5ZblLhX1UvqCzQNOO7bBFyz5CkscJCd84+I5H
wBU96CWv3mN9T56NhzFZfdYzqY/p8mjveTfvahQLSHB5XfQiC+jAep1UGVGNZ7TJhSPnRFoLulMm
sf9RPksaAEQSbURCGrlPXLhK7ZD6paf7Rx8JsQzPpfLLCv/EBifc8P+RaokIslEWjtOb6mwjCDiE
aqNVNDKnH1YqEi1/D9APY1QvurmrxsY2jCdBFTiTZQ0NSW8wraNOCC81oFuyHT+9iAbUSjABkCTu
NIAvDEC31w6K9Fr3jwUP+W2RTJKRfKXkXBZa+2U8mZnjl5KF9bNQhPa799vbfd//cW+fAoeXlVtY
MxVj0rPkn+5Dth8rEEqlC+cssl81AjppQg4gcCa2u+VcZi36jj3fplQQiD/wxNdwYgGM7XKbyr6c
FnJQRrZzBG/1+/GfD887ekcCsfjCh/ufP/hhQ3YEXyCV/s/viOsSNyeHg+1sHx62Pw9b5+bh9eH1
63XL8bN0xzBDBdMUoDboFzjsmB2VVa2m+kUH9km7sT3Pi+zTx5ZXSLEErsazDwU+wIsHZhslZLvU
iTgAPCqboHznxnE8x8OkXcIJN66tMC00V0HsbqGRkX0b1YqVZVVURXZCbm5eb5zjp7d5+6OSN5ez
xItQBpb4QhLjGcU8kHwrhKSb4xHLBvrz/2JhkGAFNRdYjFSTvQBHhVXETYQgyM3Rcd6P3jfZwBzs
LedSdypgYQ3gXA4zEanPijApIOf4+fn7+fk5IDN5Brf5DMjNGT/jXxDtHlx7+/RT2k8/TwOhnz8T
Qb6R/sV5JZ1Sx8sRKUBlMcEItKhvqUFrkIeUA9yh22V3t4N6Kem7vd3aNmf6p2KZa8KYkNRg5OKo
VVSYA+sn3uMGOxOSnK3DEbVgmacmI6m0sdE48dkzVxpxbIKptRoq6kh3gLej2546AkwP83Po13Ur
WtflmUzmPhNYydg1VQuZGVEIviVgtM/IK2ab2JH9vXnb3B/uDweXs4iLoDM7WeaZ2FW9HIoJBMMD
FsTznjcf9i3Pqazu93OVqpdOxQgkGYwQdHrOEaEyeM/7DSz1hWcmi4sHOx3mhNKjtJbEk6B3x9tt
yC1PwikOuzBEIHGc4FMQqWeudkpc5EKCKh26UjcGee+9znW8zf2f0v1zcpX2lu4BTpRnffufiWW2
f6L4WTZLEEvtIyHvnf3+2rgDjoPJbh0UJTkAEvUeCU5KFbjJLUnx4xsKDuzWReKa6CTHJ/TPOZgs
NrR20vjZwJjzwsxD8LCo/ywtPUad4+kbNg7dPPRExTFKNyv9hu/4OODv02bCdsKHQ7fx9f2k0/1y
ZZXYlnKh8qtOvBjVaWye88/pTUdBx4IvnAj0gzeCE6QjOwJZRPyc9ncARYHRS1EgUqzWKHChgnGj
OH3ART6SN8z+1t5TN+k8eLxLzeJOQ/GQgLkEVj3c1RaFukrdhEpvQm7fgRu+05EwtTpiJZqrpDza
sVOPysUkGWGMV27jXIhDU8HhV5C7gAQEz2C7J9/4aSYjvgf05uZivgTT3hzu7cfd42bnupj+z8/D
F9Sy8+hGen242T44D6+vNw/bjvyg14d8/WvkEdyPqVJwIQDh6QIKS0uGLEeqKUHzrOjXdjElReXO
kpI3CBn5nbGZjTnaBXWecpzsypKAeUKT8VwF+OeCPM/0hWqaVfCkj6htJni4dA7y/+/apMX7JK8l
ct34qStgFgWcJgaeOKi0AE85syhWoihJ3WOeSov4C5rf1M1g2gZCFEbtGhYnWUTt+Jo0xh8WVp5o
GiBc7HG+HwaiWre6fhjzTYRCr3aP9Or1yS1KJPHKuZgd4wgrUIXFnQB5uUXmd/+nIcp2/p3+DnbF
Ln4sSb1Jnidn+M1roKInBztPtM2ApRQQ/9YSY1Kp0toH0rZdlg/R8CtAE1rMCxdyZJzemGdvyE5O
pGzoIaNKfJSoJKh12A5I9FxX4Zo5ns2EfanKSOwP4EVIbIBmPsuD4natI/YD2oF4yB507S90hr42
+pYDnQ9QtwBmid+fzae3KmPsdA0VHajXLcHRDbI5D0B0Tw0gunRuDHKhPojDgxi9H7RLCxvtUhxQ
DlIkeZAvN7rQLermj9IiMCyInKTxqhiFvl1oV8ACjxB1jhIKu83U7uPyPe8FMkj1vcVtZqHKYZUH
pGcAcoGUAy98Oowz5RmRnmlqiFIP38w116yS+HFMk/ehHTo3UrpD5pe3IPR6K9B0QvpZP/pBpsBq
5oqMfmXtkkbj9XWtreeJPAfK1XSgeV0OKdNKKQJdNlw8KmAGwFwl8y1qcKRkn1nP/9JIsZa0ghG9
F1AojrRLUTlaocMmiWlKq5OOcRf4tp+3gy1NiT/YSMy3vGqbRUwRPYR4i1KIKGSacVAw1gqYRnDO
B31mRzWpXIMk4JEn/cd7sclwjulfBWp/bHD7wZwPs73XvqYtD3dhbc0RizApDDDysGwXW4cWF1yj
MYQaUVzSySDD7eK365pdM99zGcwiBpkw9qoGGb451xtAEUo7uQl/G1nDa4heMxcZxLu4jlBcWLZT
oO/lqumpuVhajEBtMaOaQ5eIgSPPBqB5SGL9vxJJGzTx6Mf2ZH1bOBoBWI9QCjCOntXtQb+BP5+T
JtslD8JlEfGj9nJqBv2PLObNpkZ6H+sqZE3AvsnCbd7HBK9Gcb5tZ0dRHiY0u9a8gJ+88N6MVMbJ
6X4QF82YZvaQJbSbbjTioywVzSf4UKejifaBO8nXtW9/GM3SC9oO9GOpLvq7QJT6h2FKc2eeZQkE
GcIo7iypr3u7qRsTyP9KJ4ERTbCkP2ET6O4QBQpuD0OM9rVUVsqtn0TBS5irU+pUQht6ESopOfUB
iw1A+x8kAEZTLD0ZsaHLbS8BSSXKggKzE5U3Y2oeGrjz6/a/JgKlAOhREBWcFCxqozgO3WglEw6j
stNtpQLPgxA0nDvYwvQxDwSDsI0pnYTB2mEdGUWJwElmSwgFm8Ozkrd2oD0KqmLPCucGduq9Y08K
WuIPBicFXlNnnhrzFPeaAjZVW/EA4ODvJAeNcmR0/0hO4AI26SFwlb0BWtmUoDI53sc7cKK42RaN
O7vxZnLzTUc690k+VE+5zWtRXNxGqSP/Ozg2Gq9IxSAIFDts1kAOojx11g6DDHEnNY55z4EKXvNt
58KY0M0QwBcJVBOWIcoyGYRa/JaGynzshCj9uG5Hi42IJQZfCEifEARAhyBjqpGf9daUqjBV80n3
fwTJyeb7bnz991JoVhW0XLR1xGLOwUkbAItX4O4uBuNDrPxGnvVY5qZT6TPHZBelHSjlM9GmBlcN
GAscM4xnqVQQk+T0mVA3lTN2+17Bjt9axVZQbyQN93tX10EmMHzExk3GO33XtImuXRwTqPnDZZER
bnUg4i77LLcB+GCHxsYwd4i5kghN1tcVukxiMAbJuO0ymw09owapP9ShK93Irun0dheRwpu8/NZ3
RefnukieVTJzmzCJokro/gweW3VXShufR5S9DNszs2IuL+gB0MtmgAzj6T1y513vJJ+yHd4dJPt+
3t77JAuJeog8xQ2867PjKpQxUW22YDAyRHc/xvP83t/9BszJBsAg+/tsM9pJyVnBdXXiYQFaEmw7
1rfKJXhutQ7XilT7GfN7ubvhsjGsipBwCIFp1cANn9nbHWL60VDj7i1q0yYZRIJXoZuUFecoWoYr
6aoBoBuGj77mRXeJnHaJ3J0sIyrINKm/g/xP1qUHuYFHntKvWjJsSY1tkPRuZwCeB0l0z1k9anyL
w4MSYv7nTs+sXpKKrVQr1DgBZusC9vxNtITB06yhx2U3Fja+pj6JtZkSUYzQwRAJH0acPmZSp7to
+RQ4Kln4AaoRZIXg6yRE4FlCGNHMh0Sh9/5Y+W4ld1ACUs1b1JRdnzZPDOMEfJBjDlIJMUlx68dO
6R+7GCug8Vov6P+z0C4oPUAAq2NebKKrG9Ikaqoks4PEiL0e+HuxFR/iaXq2urcwT491ioIlMXrr
dMHL03mnye/XZ7qMvVONng2BCZhIUhwGmYohGIETPpslidHo+DO5lXsnC+RtcIInaSLNztr1KH7m
HMiLexAVTk8vBMxRsMHCs/dBk+GxgTtyqwJ79xXGRsZiU0df2cB5lfMkMQ4QfGBgbqC38brVHCt5
F7F1GqPYR92wK/2Bs7CLSySdFw5JSsSMMll2XkIw9UDVxy0c1QYjisLHyak7ldfHt+aG0LKJshpk
3EEnzFxnQAmjgvUph/YqJ05eRkBniFwa+UUAH1NRkc+HA0LOXWTfnBWajNVKQHBGDOyh2I/Ta2d6
9XwwxZHi/UqGwy+jXrsUnsuk2/MsthFEPhCtLciU8cwtQHQDN1P+6pVbxfcq2Zn1u7CyJ3gh4b2S
bbQykkJ02mynFzur4JWurZ6daNKn/ezwg4CPuRyNlTe0hAejGYob1JRr6rc/PpQxEXwyyLjbASHB
lYBbXt9pyY1SOL6Jer5917nl8IGaoyLmnKhrzgmhYtQMAw0ZyVXGJVtjgZBP2mW2Jn7PzXupGwAV
MW1V4qEtqquSLOxOih2iLyAuDMsPwlqHpMZNnWKrbnB18CQnPfQy6bea9z4QyTPuImLdCqTZdChk
Rrr5I3QVxPlNMt5IbrLLb01Ac5Ft+z7hgtG/zhufPJSOfwzd1+u+bG0/4EUFiHLKd7h4unVJg94x
dcDVDS9XWM4c3Zu8GtN1GbSEEZxkuJEye66J0LwXVTAGFKlvDa06GoW0FaSG4xgXYXPsOnwhVgiA
WRTT0GP5bAcMSYqaLauFzTU5uP/mQUI1MzBO9rVYZY5St+JD36HVDY0oom5PWZi/XdflMpBORwBi
gVPjC5hrGYcpzo1fFxNGUIYbWdz3aL60jrlgZ9UmSB2zSje1uNdLFHOqf3zTDdUPNA763X3EA45c
g+25GAlj70kcREE8wgqTVzBlz079u3IqsBF+d5sEIGW78KDdh67pdlv9lofqtbYDEKKi2IcGGk1Y
FDatmsHTaEK2AOwMSduCsDMKXq2ZE9dYsypcaABFQ8N6yM5cLrc1pNUkATUVhKzSph4lz0QF++Qr
LmdR15w5CnckEYaLCp5Tuv/MrAJN75uhpq5sstLezYZQ+xH6uksICvdj37OizneBk9U+pgisGvB4
QoQWTCQweQ3aq+ExlFBgD1EymEX8Gpc4oUbEGJrdAg+xI+PvUXe02hM8ASzCnGvsmn7PY7fMfU6K
287wEwQ158GzlE80OIsCD6hn7dA6l8Fs2UTsyiqcqVsOHDT8JPJWTgEbU3hVbuvK7vpKrk2I4kUg
hikbCj4vDQZ0HNGsd9idQrUL+g/R32Q87782n3MRzMWwKpUJaQeIqPA2FPzDrLvR7ADPGMQwJlCk
OLa5OqMzf8M4VqVKlMasqbhettXMOoaj5k4RrxZ2dVZnYhhL6KpKr9oKqwSEHzTMGjXa4YU3vXm2
hF1pcOa0+oA7d6KMTchBJCOzC2m0SzN9nwODhNkLrvdh+daablEg+vctVjvAY5HrBkINgH1ZnIfx
GQMBI5ohBDnOwvS5KW719m6cj2J8Fz1dF7OmznMxjJFkKC9tShET9JOnoFEJKOIb1QFrx6xucLHn
TGrtVASwEEDvZGATogv20urVfszloB9xiX8HZbsZEvkj3vuPU0B8zsqtWSOQouD4UfmJpA8dyZmj
rLVWByg6JInajRlvUvkBDSDXVbd2tJyJYLO58qTU1VDRFRre5uFLBu98bWf15rqUtZfIuRRmW8mR
nCjdgIm0II9EQwKZeue6hDVVITCINlAQldGY+aWqtKREIkeTcCNSDhp6a7LZ0RXOLNYW/pQoxrMM
DyoWct8agT3XyDouohOyNZsZxCNZ2BG5DMhYbto8cYCNcH1aqwfUuUzmAqTniaTjwISLDUAmkB/a
oAZkyY2YecNkN8EtQNjqgWPgVFfMrgWNNQCSNFrNizDrpS6FNojrkPaRyzKYNIDuaGXf8TSSuf6t
+NvrE1zWTCKTKIINS8URoi25o6I0Cbqo9pGgslW7fxpUkmVkqsjwGt20O8XL9rOdP6ItZAQo0L21
szZdTixHJ7GrNjYvFLAWJzwfjk7vLmdbTi98FLsImHt+MDe6nT8HbnL0t+C6Dm+UffQkPl6fP1cg
o+xgmKqyiDH/SCfmLgLNdfAAJmOIGl99O92Vmy+OROrul8v7vxo/laWdTXEeMl/pE0gESlFEAA5j
j/vYu5+Rf8lBYZFwdubay/VCpczxE3bDYGYV5LVOe1AOc29bKA4sSH6n2uKv4jYgb3rt3GKJQ9CM
w516nAnTPXJtwsweykFNpTfFaQDNsZE92Jju/Qn2b0g0+QaqEQj6TTg13St2jYwLwmnozAROArJs
l4akBWmXGz2gNjuN4rH6jm72ZErc3tCBWvFlohUQfSclolpWEOLZ7CHbB5yeHyWejxkCrV2zVceD
ZTy14k43H4MuB0Fc6hiNl/H4wZb7nQ4VqG6gCDs1SF4OVYysqZwzDDVt3Gh4lLIPRFl6YO/o4/f1
pVisBNA7KFEc3hcgpVsEThtLmPUGEFMgigNlcDUDEyVJZx7c0OIsoFIsQJGgswktn6z/0mSr1PMI
tS9g1533TdG8jJYMrp5cf/n300FWDSWMKMeggZlLxfUKUEKsGQ8mMQx+ZQg6z3LAOZ8XVxvMhVbx
okoAxUkSW7mft4KSIjSJZGH5MSlP7QwkUWQugoDk0aumu9cntKY55CUQ1dEkJBVYIDYlLyfAntRI
O0f1qyYFBzOsX62Ah2ixuHTQ8jgd4UKA6yOqw4Yv6q4w6n4e0YcofKoV7vWFq4qVLfGQlKRVQQZQ
ACkuA1IkdL5nri4YIlHxqSCp1oik25082lGOmAwQxhQvFN4D/6UBvmj+JhsbYHQVaAgeXVPnXByW
Tp5O+GwcdJxn42gTsGZ3Psahxz4xZd9LLc/I7tF3p5bHCl4oPxiompbcKu+JGR0sgZN+X5gRMwDq
As4G0MxCmU4yBqBKISKoZkA0EahSGhxNLiZuFvhuLWsca1r4FUYocy33geWuxQOEtmPoxuW+Hikh
iyf0W2H8uG64q6LQawlwQoqFy3rbxrc6ubJQTmoJBa5KgL100zpy5N7xfU6V+2KP0FlZiIYhfGFI
qOW7VKWZFIYa1ADFGkFp1u6y/m3mAVCsi0CNBFrYUFfGQkTHotrnlYw+3XBChHl0JuknDd6va2z5
KjzN468Q+XIeYR36c60DNUVsDBHchr7YuIISdO8oGQBjnxmr2yCZxaccJBheWpbDQbKmrHANBAP3
SRppnBNzfZMgwvs/s2a8aRXKcxmpKJoNZccQ7RrcCb7paP6N0T/54YMV7SrLizrc/YxjpNm1xBsA
FXBxTzhp5G9NMrOycpuos5FhAAZAVFsJROSuou508ag1doHCkEJwrBpYjACA/KNqO856LKJijHRm
PYRJnbSpggkX4iZsb2fQLcjRbxNlwsObaHpp7TU1Z8brdvZ3wozGLZCZ9Dkti1b8zzR5nMpjpv5c
n9bqxjyr82buXkUlzlJJRQDVT6z/mNE+M+/6GeCYvAgtbzL092cuTs0K0UwLWlEeT7dF9ylYoieH
uXN9PmuOFLFwHI4I31g6+wYEfqJaWyEgwQBRGICICfBG03sXIROu3Qz+5rqwtSmdC2OUJ6WaPvYS
hA0+GGiCh1hFBq//fV3I2hl5LoTRmw+7w1kMIQacjdwfM91LAQGLYrzrcpZdXDBwBdh0iqbgobeA
yzLbPJinBo6z1HRS/BmRyZ20zNEkt65Q3xI+pUBbkwp0ZaDAq3Ym5S4cf9UdZxir0/07itNr5cxM
gMHaR0KJUeTxIRt+jdpeSZ98gWMma1LQA4sWDpTrIkvD7iwLnlNPQFPQzrdq4ljmrTA6/z4NBI3i
UkOb95GbWPBk6GUfNkPWpAgEjATE4g2K54aYk0VevmSoFLRvA0RMonCmjIFMgxSLFpUiiYAf69Iq
VQGGV5jbRK6QUsOuS4AZNKe1GyRmdzRNXOjFeJiK46gbTW0rZmpW3yDuRalUHxeBJSPsGXbgj0nl
b7FJUXdb+wHQdAstFyuvmYCP6Kpm1raHvldAJJVmoJOy61otVUdV8kD8LxYLjAwotURiFc8TZoJp
LktCF7WpXUmyk/tuJgGt0URtCyf7T7cre76g5R/dLgpu8ggiXXqospSUSjCgyKoOOq+MjZ+01Hj0
mqtCkMtAdz8kLZDP/Q7l+Kpk4qpZNDcR8KKDnFf1v2bcaCnAwwrg3xRu8nIeeh921TxHqR21cuKM
42ct1UQftckZq4mzNmvTAV4+Kn8Qa0VAitGZj1bvaprgnejz2Cwe+pSTlFkVIKGuCcllVPaxdy3T
6jUhTTEZjeJPd7u4/XPd760LoC9eGsnFlfFSWxayhoGlhimyPsYXQBdsE2BY5LqMUzkZa1oWapHw
ibeOzkIsFOBkqOo4Tu2x8TdS5Foy3hGZI+iOor0G8YBa6ENuigScVNclr8/ur2D6+zN32pdBP9Vp
grd2lf/qe8NWA5mzbdbM7XxuzPaUmtTMxBBzC+QPTVYcZXQFU/MQgb0+FQtDXegQFV2ItCNsgPzk
5VQA4meY8Zyldm1I4NKq/ow1nkrDW93H99YY6Laapwcx4fVsrU4PWQRUtYCs1mKBJMBXorZ+D7FT
r4e2VClOEhu/00J5zYWv6zOkmmJniGCCLNNSK3VRMViFqlxMDRydUFm3QyTb0qAgopy418Wszehc
DPPuSxu1K1odfg65454ow2hnRkEigA/GXbr9v8mii3pmf2oCZEihh6w+/zDTmzw5puVtxwP8X4bh
6RmIAifke0xZWQBHBVk0NQrOKhuNfd9dA35PsSNGivYXHQHrsL5PctSmVL+jmscZtb61cbZLFC0G
YBeMBxTRU53rBVp6+lKxdf9gFHeTfhtGO1n5Lqqtpj0I8rPRc/RK/1fWVBCVx01NQxMZXrqMXqNi
wkUOVqnX4b0McM/8qwI8uJls1MG7voSrLgTRQLh3xIJQY3opqlD70KhkiKpaNIM2Ur1F+wgPppMn
hHldxaKRw/YhJBqS1wGcyUbGE7GqMpxVKgpVcctlqXiEybDGGSX89iR031UQ7UqkaACtvjWHz6ru
OVpbe4hYZ9KYCSkinlZDAa/YSTMu0mLnItBFguGXGQpvfm/dStrb9XVafaBbFig4YQ6AohUZm0AE
VECQEyKLsHwYZvSNlNGLYRavuTiRAfQUWi45lOCO+Mq7Yk2O3KlOZ5auUfPKHNZ1/XcojIvx+3hK
0wrHjqUNdiXAudy2ldtprZuOnBNuRdGI4UsIVdIStEX5WVPLc5WdoHVH0Hs0m9hwQm2rG5kTmJ/C
YF9XMk8as6xRZ7b9nOXYd+iu1eeXKngfAxmt8XgyWXs9314Xt+KqUVOEjkKg9iD2z3blNGWtzfLQ
4fjWjA2iLZ3wpbWP5lw51+WsnK0gSEccG6cPcFjYUlR1rIWoznrAyQNrq37Wh60m7HN1K6UoppLx
ei45Ubo1PdICI5lSmaBoijkXzKwDoLxPGyHn+/H/kXZey24jPde+IlYxh1OSkrZ2jk4nLNvjYc6Z
V/8/dNX/WaJYYo3fY89sqJtoNBrAWqt0gmwAQ3Fso13XbE3Jrfgi8/3UHekAWEzLLd56oqBXvlhw
q9ateTeQV9hDi5CGljIQEBvPuvpfSVtBl2OQEVCFGQS4vBZrm/x88GKByyjq5UOLumlDIbnnnF3/
Zmu+cWLmN6nGydVa1XKhNbMZj2dRVD8UteMVMrInG5Fs7YZDXRRAD7NtFpyriwugtLS2KaaeDLmo
IO32hSS2m0wu70AuvQhDHb6Y4aj89Eq92Y9ZHu+DSEeVWg30bBPssFKFY8zOgoFhnq6Ex+r8MhIC
U04bU+K3RPeFWUMU2TiTN+futgJyTSSgUcW2yu/X93rVXU/MztfXyV5DS50OXSCTvw/CS5lzEAP9
Ux6YB8GankuDXmG2xTe8diRPV7rYdVFIJWPsMRkO30LxWy/vk2lmkL/VRMe3ajvcYkXYWuMitDHK
WYa5jsF8FODV+1xOH6nno/4bARP9JgUboe0SKjYfk5M9XbwbNG/wlDpTEqeQfw3FbugOsnr0rXvD
Ohrqk9V8tOm+1BJbi469t1FZXY0JACoY3WA+Tlni7tq+mXI/x40a0beF+qYxlH1nOiLSJX290dtZ
Xyg1BXBGgLLBpp47T4yYWieEbKyiFyIghhDOnX6EZzJVUxQfvJ+qHxVIc/XyLQP2b4InKW5vNDOu
NLG4xIP0eN2b11ZPUxSd05kWwFzSylh9UUZaprLzzOQaWnGnRoeo3ptCfCjT6XDd2CUknu98Ym1Z
0YPH0m+KEAIHKXsCHGwLJQKBbfNC8HKCXHX7NHKzSn4og30hubJjHPXwvYjuCdJC+ioadvQ8uEjD
bWGvV1JOftfc9aN8xgDAMpQotUBJjV0Y6EbFZfHE1bCx0WshGkJjZLmoL5jGEhZhxV5QCc0creLQ
iF207mASHY3+KFdTGe7DwWreru/2mkWFug9AGRRsNWvha11Jn8LMYCWdwip6an3ErVtxih/KTgpd
z2+2MMpr9sBZIW2kczWwj+e+PdKMaoeSy7XI4FKRfOHblEy3oSQ/JYG3kemtvfKM0+2cf8xJFFbb
JpZJq8mprcjJy+9d+6FPu16iU/x5kB/SgHz+6/X9XHUS4gOOwFlRl9DZVBT8OKr4gklv2V5a3/fe
FgHw2hbK4Lypb1IduoSre1I8QSmUMMV/LyZ3xvAqyAerf7m+kNUzzzfS6IhKoDUW0dZE27HU8/nM
+9lzrAi3ZVC+jWa489v2MfCrjYRydd8MkjuVijSvxoU5sfH7JoUA3VHasr6r9dy61yfz0/U1zX9k
8QimYPfHyMIfiohaQNBhRNMG4FqlLUSxW8rfr1tZdzuTeTuavSsg7YScMotipmI6NX2pegmpqeIY
9sGN4M3C6+pNW1h3vfbLsP4q3aHqyQT8zKJ5McGiQ45oeaE1s9EobhN+lQTdDip536EmD9jhkGrf
+nw4wE+5EbXXtpY6CnhxpsdnMOX5UaNsogmQwlJsqwXXa48TN1Hwa2Nj52C0/H6nRmYnOj3Pw1SL
/cxO0wmWxYxmhPCosEs0lhr1dt4Nh4kKaRZZL4Mx41vCf/7HH7Dw0py+m5Ck/ABfSPdqdjCmr773
qI6HpvZ3bfUii++m8i+Nyut21w7H6boXfltXjWKmCkFaY/BfUA6mPrjXLazlcgqxkpAFezSvrPOd
rXzJV+p65Pj1maNIO6n7AIWrCjdtHDkJclfXzc0/ePkhKUQxozbTFlMnOjenTR4BLiCESRJTCD0q
xEiKRt/AheyuG1rbuVNDixy1LrTMZxwicdQie2unDE6MLQqDNc+n+zkjTckLrOVTOFS9RDE7srWg
+WLSbyifs78pIpyamFd54vea2CRl+ju17z+4vQzk83i/Oq0PRvO5lDbi1+rHOVnQwsmt2BLL0OPj
jPGtBFELCvR2j3r6sJVQbRlauPUgRHLbxexc5N1K5kcHMLl+Rfb6ugusfR/aCPTIGEielY7ON2+I
JnPSPaYH/cRk/Fn4WhTlTe9nL9fNrHkaE/0cUy5MJiEXLu0FojapBqHBjCP1TvSkFpkFKfq4bmWt
ZofQNJMKiKIxG79s3opNZGRtTz0pbIVvbakcZEFB90J0Rg3RhSG47+sfSg9Vx1jBReTvfI6UWfhO
0pobZ3j1mW+qOrB5c2YtWI5OKIXeU19PCflTA5wr7AY7Huj9qjkyALnTCxbzdyXqfqGNfIaTT1uy
bmsjTzTkJa4bMkk2feGpwYwzjEwKDSkrrZAf6BEw1svEbpGaTYSjqgDlyxgJ8JG/8GTJ0cxqYxcu
PjutWVp0wEIZVePwLz47NJRJwRhV5oyIgIxR+zj46n/1rN8mYOeCzQqJ5mUJQ85R21G1LHPK0T8W
dR/ZYVf8vO5XF0dx7jDz0uS5CREZ+cP5IfGDNjRVr8ggzPlhgkM2vlbIqoj9hpmLs/i7kT1ra/GI
pnW6NNNGcW/p9FRG9S4vLcaTDFeq//Pk0MLK4o0BiUSvSHPnpiqyA++a+0hT/0mzdKPTvLpn0Kax
b8R+CDXO96wJtcjKO8z4+pcw+zEknl3Wbj3+uP5pLs/ZvJz/s8PL+NxOoTc5Y5fYSbLaFcrDNHxT
8tspkO1Aj23NesxBm5VO0m0EzoucYGF34drMXyZ+58121WZnCo2TdZaNxMquG1CUVl5FcLvXl7qy
owxi/n5ykIsAUj5faTZ4YTM06FHTtkMBnR5j09N7+OQN/7UFDYDh1NDiQtVDIZCUEUO1ggyzESry
EZ6r/G6sim+xEWyBslZ2kiwHAlhLM9AXXHLStUIat5JCkKiL+JPITEXDI8oW08yOxOxBAWTpqfJf
7KUEFxiT35RsLjDGsSEJZhi1ZHPMQfddZ3eBayHK45UblfmVMz0LNIAonyk3L0DlYddXpWkQOiBX
uDVTprF1CRIHxdgi9F7zDl7zPG10UWbIfOEd1igWEIayohEUfii/d9aLkuzCStnYudUFndhZOEcg
CoinhR2x0DMOIYJ0Mr2huJ721539ssyHE56uZ3F7DV4AeDtlPch1u3E8kXvva2Onj06h30ox75uA
Vphbo3zYTnehsnEGVpdJYxMPIWVhnH5x2Kx8hqGzTChldwwl7uRR3Uly/np9mXNIP0v151X+MbNU
SvLUVkqEBDN+ACzG+9Yr5Zsq5m4jSzd5seWMq9bmi3hG1cP8slhUOCAN1psMHFq4hVjkd6L6Iwx/
+V3tBqBhri9t5e6nUgd9xwx8UClcnO+gJNQiXJMsTQmzZyFV7o2tNsLqNzqxsHDFUhwrP7WwYESd
k/mdDRv7qxonG664uhA0GOnokcAyOXW+kCbMqMuJvPxq038RjeFNCTfq5+vOTqZoMPEgW9ZygBLt
OU1OGQh0qOK/ejMrZ07LfgIvYZtvWbaTuxdDfTB+iXBHZ2lzuP6l1kKHoog8NucUR1YXV1mm1qWn
jWPmRCbKepWT9T9DGuwo2163sxboFVhc52WSkS6rWJWW9pIcQmiJFtPDhP78kOu2N8a2ZSWHzpRs
5GU3jvElJoYDRiFQs/iAtBCXndFk6rOsV9XMoaP5WfXRTw7T9puRKHdFoz1kba07kxq865XxGvZD
b2txIB0rtRdvvbQ8Qhev7IumhG1WUj6u78bsNsujz5ALKSXTeBqDheduVRWa1IcjOD1qYLZSO3pt
++W+SH95DN+P1nsbbPjx2mdGtJUhRiKazFc4NwhETwtp3mYOgG7ba38Yxj4rJifcIr5bXdiJnUWC
aZZGIJi5AD69+2iG5y47Is/qphB5WA9SsS/6v7hiTc4m+jgcE1h6z9eFlrQmeH3AC8CMHBVwtyD0
dl1tNfTWos2pmXl7T8oMaoMsoGSyfbr13DPh1Uy+a1rv151i7YjMTw2ervgrbPHnRsywTlOrDTNH
Gh694CGtVNs0biiZNdkuGP9m406MLT5UIFZ5nSYRUUcV7bK8k8NDnRQbh37tzjld0SJ6xrVfwwzN
inhyC0brZPSsgvy+QXZsa0ho1cH/rEddPAW6SRX7xMeUL30tzJshfqnk97I4Xv9EW1YW0VIHRzLU
GlYs82gVn8fiCb7xbktXdfUQ8dLED0iNKWicO4LqJ10UpuTgvuK7VvtLRD4Ca0ad2wXauMgSOea4
lR+subjF4xPJNBCYFxRqYZTLaWXgECRXOyspEb72d6ax8WK/pDmaYzIdNVGZqVQAfZ2vDZ4lKCwU
bruyZOQgUOyesUK9qypKNNFRzr291qsVnc2WbjVoRggYtewBVOG+Q/G8K3u71P7VynLjGlzbct4x
4EA1spULVB0Xv9dHAZWErDHcBl5AX/o3ZgQqlz6yyRHyh2JL23ltvw1G8Wlo0vXjJjjfiMIQGrje
Ek57mUY3tOLQZVSC4SFXEt297rWrpth3no1MfZMDnptSiSxeZrG4vJoerBEatUF8143+7bqZywoc
NozfwnekSvDRz7/jJErSAtBTcX6OT0hxG3Hw0TXhQ939Gr1/lB619KAJbK0VHTjD3qRw2GlyVbiC
LKId3m6qbqxF01N/XiSIjVSiS2HhzwLw6Y821joYs2v0unedZoxvqjdI3t4EZAFcVjba1C0kq/uO
Z/buaEl+4RhmlwgOKYGUvzJ523waWimcWehqy2DIvCKmjQEUdVaVGz/ScbJeO71KCgoOkvkWeXOr
BVCV06Ve/bXkr0AeD/3Yl6Q0h0MT5H689wW1a2y5ENPWlupxCF4yK2k4faNXD04UMR3jyIoY71X0
NYtdS/0uvqkro3guvHJK7TBKKip6RWM4xqAV+xI2n9RvhACOsDyDRyKgnQbDRF8+WlUjTbauD9k/
QmuEX8ZZZMoODbgu7cJXeUsNKnQFWV36raNGhazfxp2huLLhi2992Q3RQ6uO+rMUpNawa7qi93fG
ICdPsRy2LhywPt00VU8OagJYwy4F0fukdmbc3spNnfq7qFeMJ6lKqyMNUmM/RB05gWf6nPeyZujd
tcbI+Oij0oeioO2Sg1Q1+T5FYDjbR1ZTw6USogwMgeXw3WNEvnX6QSh2gSYXycZpWYvxp46z8OJq
6ifm4Im+KZwgtffYelTeZduMN677y2YoxwVsCWh3SqRQuSwM1YBfA2muXo7DU5bfBMYuEvdj+WGa
qI1Fd4iTKsLN9SO6FglOTS7ymMHsaiMTKLdU8PUWMoD0jgFXv5i+XrezuodMOQMDYaKBK+U8Elh1
OXVZgp1mqG562MXzMvpAL/e1aPuNz7W+jX9s/f73k6gzjFkfSnOdedJvJPOHOL4wF+SM5ne12E3T
ro5fomqLRX3laUHVihcuaLT5trgYRBJbv4JJlgqg9eCXz3n/UA0//eA71f0IwEZNJ+qd021LFA8K
MGOyG8ZfmmSjAHp5a53/Cvl8mxE6Mb0m4Fd0cQeM8a0aYxdhPscL3L74HIROWG+8Vi8dCItMOkEg
y5QFkLxzi5kWR0MYNBnTrZpTlMJeDU1myrbMrFR2scNtzDzyLBy77Lp6facXyZSTaPX6m2p1L2EX
VDdNwGCwApI/lePeCRSedk1YHcO8LHeonpsbrnWZvjL+IzNLguoGRIFLZMBkxnRo5jJvWNcP5CvB
wUvN1m1GhGytaaTUi+L5RlRY22DGkyVIZmch2SVCr+iswgpFaL18HRqgKk1qxy97b9cW0q/rZ3Tl
4Mx7DPB+Vv6UWOr5t/QkCHOlmOWl5afQ+hWD1VIqfEb4KqTfu/FxlO/HaYtYfm19p0bVc6Ni6iV+
peKygzbdRJL+pQnafV6pG/nc+uLmTgqlekR7llUVESEJL1dr6g2w7aTpY2W9p6TN6ZNZO2q1S+uH
1Ntirr2MemwoLNlsJ6QflPbO15aWcWu1FYejTn9VdexEkFl7I3x3G19udQ9P7CyOvWdZ+ZgYrK2q
b/PkR5PupK0Zp/kznBcozpey8I0qslooxlhKU71MYm4P4xZt/NZmLRzBlGtDCzIWEUPty510jEPz
xUjuTBjY7euevhomT/Zr3s+TGyItzIhOEYvJzCfB+EeodXsajgqJsCfd95Jn182WdNja6jhRM1X0
zMmyRBtYStkOvUkFW25UN0ifxvAx66D7H/7zM56c8Y+dpZxHH9TKKAbYCaTsjuGqXaMn7pT47vUd
XPO4UzNLzx6STm1FzLQCnFYQ0wdp5RZpvbGalVooy2E0DDg5vfwLgFRf9kUomlR1i7Cf6AX1nrov
Ox8Ze601pcGtqyjcwdFPYc4shcdQDLudUo3ZN7NPuzuZGejQ7isI3K4vf82BZn4ldMxQ276Y+BMy
2vyWAAWiFSndF3Gc+sr2esmobbFWze+5PtZPWsicniPQTyCTI+jurv+E1S9wsjOLM28olcojhZ0x
ve4t96R/akN1jXzjCbe20NP9Xxx7KaunYvT4zkb/2WoKW8qRhipf0MgJxIkU+AuqI3+xLoaDaFrN
NHzLSwi177gIZArsYWh6+6gUtdsczjYauIm28RXXYhrA4Zm/igudpPs8DDR10vj5bKptlXvEA5/D
THeur2b12qHlN3sxyIqLYb/Ai6NmEumylANTLjACjDeyeNN0e6XZSdazrAd2027QFqzFGraP6UJK
K6Sii48mQP8xFgOldW3wbUNqAAKNx1RVd3rWbHyty0e1xAgc2DDoErG2zIiM2CqrKZQz2qapPQnu
xJS/pH9l5Dzrb7Pq4/puri7sxNqiRmmkYAvSFGsBRWszOyhiQ/mwtvNwYwcvx2XA+HFfk9FDdEL0
mc/FyQ0hTFVSZ/O6Rk10Ta3Zo4juhrB3NrXgRIbk9uNnSKOdsRwevMTYe9G44Tlra+UHUMQGOjZ7
z/kvSNO88Af4hpBiqvde+rM1AzeFqVa0tgb/1s44VBokKTM1w0WzGB5jMwPcOA/NPHVmv59ZL5tn
zbxXQIcMoW0YW5NAa15D58c06QTOk9lzbDvZXVP3B6DtYe4M5vdJIsF8TqGuraXANgbXr4ONrVxJ
29nIGcU8OysTIufm5DIvoGkvZ/pVs7wrmeK/hfs66KG64PZQKIUcmsast2bqV8ILA9oKNUTgKZQ4
F8cQ/pp8yOcniRZpB2Ey90W4NS2xaoJ1QciKhBeqbOcr6/Q0Ho3R4PhN/rGUqQ7Rvf3PZ05CSQMh
tvkcXObN7VhaU6txA6fpjVwC6RnuqxBYZrBF+bvi8SDg6HsyQy+iqrHcLxC9sezrRP6IMdfed0F9
avmLL2/ErNW3pIHsichki4GuxCJ50cIOB4zZtTzzgLb1TC68lQxJZ9+08SmMnwr1SdcPU9nsr2/l
/DWWOTSA099YBGryy6/FXGyr+j0LbITvgirfZZSuMn/jQb5SdJVmQncKSBoYJCbbz31Ch1BW1qDR
dAw5sKvxkOfPQ/Sip5Q5DwCwav1OlvdTqDo96af0lVLb9VVefkaeyBSwgM8rkCkuH1pp0piAc9IG
Rup/9XFnhe96fZtsqVpdej5WYBUhRaBrAPbrfJWaUZtWMEbcbX6g7NRC9111DLdIIVfXcmJl/veT
QAWIKOgKOH6ccDTdtDUP3AipJ8x6Txu+cRkS5/XABKxTQ6KCtMhF8iQNmTDBkm4UiNY4Qut46fcG
VULrSQjCjW+0ZW1xkU5qG5BuJ40zVM1d3ZW/EgOWyKKTmj3KnaPNuGpopzwrNzKu9f38s8pFJG5j
kECWzyqr8a2AawhKOzubYPfeGky6vNPQ/eN8A7EgAl8MaapG1zZZiKhjZoIlbwyY3umjy8IuhnUW
aQ03NS2nV7YoOdb2Feg1ysMMT4P5Xpy9MlT9mKJ2Q5nzESLloHrzpaOf/giK0a4iw7l+0laSy3mV
f8zNh+TEPfOskTuxw5wRiLtYezSY683FG0951vqPMNyndFi3OI23lrg4eF0x4/oSbPoNIUY9ZnQc
Bu1R93ei8WJusaevxOp5iYA758kIOIQW5oaBqWpTy1FKDz9A5yrNoRaOcebbkXIvyXDDIqRpugak
sBt7u+5Bfwwvj35ferpQYLiDoVSsvkU864qPUqgdIZmQX+F8KMJxRAS81YsDk7purrWHLlUOdZAz
xNLuvSJyxUzZ6+hpXv9xlxfJ+aYsgkVT1n6mCHj3BAG67L1m+pdo2LBxmTRhAy4PiOtmmVRrYaOq
Kt3jIc0LNmgAVloZAkNBz2yknrS7sc0eyUm2NMIutdAo0J0aXcSlLjUmcfCLxhmN/CMa+oMBWVqR
9XYY5nvK7sDEPCcqvxZI3UXav0o8PajSRyIKtmJ0bgYNl6pMPOWyw/UNX3fDk91YBC5R99sBWuiG
EVEEd4TPCL933SEZIcMM7azf+cWDkd52W4x9qx9aUg14VdCOhTnw/IBnUTkEkTTvx5DdaEZzI5v+
TZ0VW8u7gP7/3ncGvojuCrNYi7hFgpeCQOVQd9XIpA4QV63bNchpaw3IU1V+V4Pc7Yz4ZZyCDdtr
F/nMQfb/TS9imNrPUNs5hrV6dxuW5REOxQ1XXt/FPyYWMSTr5bgtYj6e1Qz7gdJyjWppoW51mC91
kha7uAgZZHaiHI0spUSowKUze2j/DW9QbLqvbrKbzHSe5TfTtnoblO3N+HrdRbcWuXCVIqM4liDB
zggXZTEr2iU6WPgx3UgvV8PiyedanFDDq1ujni9WMzxq097MXy2unvg+at1KBAL38r+tannuGkup
4C4izZPcun/Q9Xt9+Oe6iQ0HXMoeRJEHFEYiFxLy90F52swhV//+PImG1DSKxBdDELVKrjrNS8ie
moqHxs313796IQMkhSALFKuxxKPoaZcbSU2MaMT4vocsR5GiN61419XiptKTu26of1y3OLvS+TuG
KH1iceEDZaqLpUUX09FHFP/gfHouhRst/8drNpxt1adPDC2+fm+JfpyPGArMp7bWHLW1w2ELZr+6
GkYFFVOkjnUhARr3kxCpSkkA6rne0mQ4imOS24FIXbeExFTc+F5rOTBKsrN+KtP5F11+COI8L0+r
eVE3tfrZlFzd2jf/HZHCN4J9gdR3xo0uax4Cmg++qbN1PvX/CmxIxARXp9eO5N+gCgHv/P4vnOKP
wSVlTtDkKMP3GCzzgyk/VtWuyX+J5rukH/83Q4vXuy+YpT+U88qEktTeHSs7jn/IkmNNG1XA30/V
paODhkTKkI4vVeKF/6XG6Ptj0JDyMabooLZ3qzvDXh/t8Ca0Ozs+ag/9/jG6/frsuZbTfnmr71o3
udMO5T6z2XIHlZyNI3FJ+cElc/KblnONBfNUlaLXtTM9fRF2/q1y09zlL8ln5aG4mx6jz+Fx2r3E
oq09l3e+izLToG1cpysVBn4C41w6CgYW76vFF4jBiikMptbOCEzhVjkM7jxeYHdOs4vs+Fmx5UOw
Icd4qaQyL/vEpnyeCY2J11W6ic0f/uRI98Nn8Xl8Fr+U7ld6E+7oSHblBrfqHbt+s8lPvnZkT40v
0qPeUiLLyjoWfDuLcOY7b3Tig+D0+/5ZO/CMvU8ezb25tc+ze12438maF6mRz/PWK2LMoublljvN
zm9j5uOd+ud9+a4+mbbg6g+GK7ryodwIUr/VJa/ZXuRMDUNi4qiw38qTtJ/sT8bTsP/xqtvtXnel
W/FZfLIc5aC6ox1/fmv3ZOjR1vLXLrbTXV+kU13WVL3u8RPkB0XCxZrd62QPe8H5ffSyffqlOBi3
ys5yrweY1TwOhD9veFh8gNwvPvfQqWPtd+y7YUe4Vr2D69Luvij7xjX2oVPcRfTw7ah00r0H//TG
y3MtXzi1vvzqdWKVjBrCOCYzUNLtZGuLMnfNAoV3zhMwD1AQi/UVQhLizkPtJEkE8Rig8k1eszXX
ZW6WBzvbB4PNwn2kLOmjUMREXdmSW94QpJsfeM7dz+xTYf/yj/77aAfH1kk+mVsbuHZaT20v/Eat
JWWSPGxbcef4veNnMNKJDjiAv/ATRH3ncqs8o3QX+zgPKcflhCGltaefll072lP63UdVSnuBW6ty
Qqdz8q8USGCpPGxGpbXs6NT8wlH6MgxTfZj3eLS1n8OX+CGqbKVwfEa/bNOJvys8NNKnfzZWvfZW
BDXCiiG5osy8eGhETRd5ZQ9GxZI+GQk94F+6cd/F77H8KdLcIL7ttni9V++8U5OLhBPQaR90ESar
0I5fuhvJNp4yN7srjvFNr9m6YkuPYPo7B7w32mHRzue+/lC3RpVWnFrjbQz2mxIt79XFvedVdRoM
JdJ3g/6R0/tP6RRAKrAzEUJsSwaJNhxs5QNT2IYdyQLRDnh6YU+WRzPTpbJykBzuDoOFmqnqRR0P
IWRJrn/VlZAAEAvO23nQX9OWUJMkLMJOFWGspye/N4vxO/CJjWxqdTUnJhYfEdIDUm0NE1Jd2k3O
NEf/1I2H6+tYOfvAcmb2O7Jr2H0WW6aXbaSEBUYmhVIo9M4ty4n3qff1up210iuGKIxB30g9e/mq
86UUjrO2qZxeuh1IDy0mZ9WD4tm+gFzv0UweiuDtus21b2QyQQTrPMxM+tL9fCUqorhrK6CH6T7z
iiNF+w03WKtzsaw/NhZp1qRBLJnE2IgLtDDFHc9vumSF3Sj7qnGn0fYnN2j2gb8x6LPmHDN7ME6O
OACgx/P0rrCyIrRMFB2VkRG5X+Hwlrf/Xt++VdeYqWz5ZtAuLWvz4pCP2dh1ldMU7+gl2b7y00gi
bthP1+2sL+WPnUVYDrIQ0bIGO3kBgONRbR+ZwLhuYmU8QTFN9MEpi8uANZfUaYIRJoMnzt6X5i9T
5IFkiPNP1aS0aNKr/s3oTxPy4EV2n0vBsbKUr1Y/Jm42+enr9Z9yKVGPu9BplCBCQuuGavz5l5PU
TIFlbaicLhn8xAYLUX/q88B/NpKh+Dmq2SDTzC0MmEN1LXa7OjMfgziAgbEV4hKYc5Td8MfzQxYb
s84lecn9YNaQjlaW7sNrME3PvuVDyikUwyHMm/K+CPzmA2kQvbKTvuhFW/S18Lns/folEPT4zbSm
ZteMcnMUh9FglLWXCjdQw/Yl9GIJL67sQR4iWIjk6Clv57qVV4ymLZdM5OXxmP8LcxYvJxOq1J1P
h/VZykqez6XUQiPZtma4Eeh/C2ctsm3o4xhwM7lVDQCq55vYC800mgBInEwXHDP/YJ93+ZDuJ2u6
qcHCKqNyS0L1w9f+FcvmzRwhtJCjz9waQCkRj0QgOqu+0T231bpHI12ipdZtoGdX/JqhLIbcqRHj
dMuOa4LWo1hqfGi5Ce96hCTzfLgdjM/X/Wnljj2zMp/ik5ZWOJlZq4lYseqif1QDtQrswESa2hb1
cDqKWR2/xqJ18A3AssXQP183vxIkYBYHhsXbCuXh35nIiXkIeqGZEIh9TSRCzdMBIX1TzN1Yb9hZ
KTqd2VmcGsEzlXFAtwJFDHAz0z63Ynfikde/dd0W+9DKh+OEgnmmGARl8jJNlUU195mhJI2gfJpI
1UEUsnvP9//ifsd9Z2ovoP5g+s6/HLNmqV5EU+UErfFUiB2oKUQCNHVLgmXt6kXhhVagwXA1WlSL
vZtKqe+MlPUAGvL3hlR6QAH10i2NrnyrfLJhaKJlR06k3tbNGsB8m/nv/5ufLIJ8xlRA18QVe5qG
dmsNNlj8JN3Bx/gXdiREgpGGI3Kri3ym9a1GkWv8RGkCN8/cSnso0OcxpI33/po/MkchkTKRcPKm
Of94gTcUSTQfuyqnBqq8RUVsR0As+4/BH/f/fU2nthY5huoFPLBHbEGCYlUHLWgeRP8+MYTjX9ih
acYrhRooFErna4o6rq3Jx0/CQDZfRpn3gCbU0r/WzKA9wf/4cd3eSn42U3jzPgAcAqHtfA5PYkc2
xOGUzjehlSKeovSvab9V/Vs5ymcmFtGxa9TSGi3uiZ5ptkiR9pYEQ05X/0WoBxYKpodUTFWWWbQf
mlI+zkdZrX5UAKkG7y3awiysjHbzh0+MLNwg9QOtRlq7ckrjdzNJhMYl/pKJR0n6UJKDZg4MpDh9
89haB2vLN1ZqSxjnISeCqmZybuEbE8yYGfK7vBNgWjDUm75GE9p/jKnwBm7dbfHxrN1qMAwxzElB
hBt+cb+ncAc3YzW7fNEfvUg9SEhHMShyl/vd/UxIIU7qUVP6T//dI5nnhCmW2T0gWotIWXi+EOs1
q4yG+tDI+SPiOP896s+j2v9nYhEIAaanij67iiaGL52YvkbBrK09uddXsub4fC2J6ESSiYDY+dmi
IBdPRpvxeKwsd8qnvVxMRysdN8wYa37Bs47sZkazXYxrlwZlZlnNK6cNpDK3E4sPhkSb1rtiGlca
5LCavje7cngz26J7LJIkdhO59PiPBH6kDQChGW1DDGrZjoamNGwAj7krapUwgrGM4mckt5QHgaru
rs8T70luomCwPVEc7r3OmG5V9NA/D5Mc+XZpeeXnxrNSBAKB3tiN3oRwFlbTi6X2xXsdWdNt1ymB
2yEhYMKXosMjlU8N/6tSFFEEJ7qSarZPxeanokFQtsvlPL8RMsly/SHwns1eLrknZaNH9nBgTrVQ
u4NSDlZky7VJzzoInqtOCfcid+xRyLxjnAvy0RC03WRI+V6JTM+d+sJi9M4an6C+mg5w26r3GsCn
yg6SNk93rVSak133mfkzHVTlZpzq6dNY6VJq90ZUPCsTTX87GYLGs8coS3YmMoXvQzJIh7ZM46+C
Dxv/2IY6g1SkTVtDuqvZhIn2wtzJgJF3+aqWLaHOEoOMbx4VvQ+9Eg2lvmqOKgXiT4zredA0Zu3g
FsJgPkpmG2Wwe47dxjFazTvnGQhKFsSIpbJu2Y1R2RTzg47CUtf+W+UxYMLd4P17/Rxt2VkE3SrP
0kIxyFskOdlbenkvat4niOpue2vaGrvesrWIPn5ajjWoNEKD5f3QeUfB8snwTJWYdp8br9cXtnb5
nn7GxcISunhFr/EZWcg9w72vcdYerptYC+KmLlP7o+UFhdvifu95M9YqNV9mCiVnagMKTIXP46TY
C0n+Ixdzx4vMY6FvNYzXcrOZHwMWDqbX5eUQkGX1QqfMOWAm3UP8kQsIR1DgjJIbmoH29TWufbNT
W4siXdpGQ2p0bGNhQLjRos2xF3TxHVLd6hUJe+V/dPvF7TEqklXWNDRJBWMX0ZhKj3eF/O4xm399
XWvfDpzW/52vxbfL5TFOWhVD8ZDZRjvsOkANovVpUujvhPFzWhX2WG9RqFxYpRB5Svu6WJ5ulUlq
ZLOiEeTp/4+zK9uNHEe2XyRA+/JKbbnY6bXsqnoRyq6yJGrfKX39PSrcO53J1E2ipzGYh27AkaSC
wWDEiXPKIcisYzkGkLYlMWprQ1VBEcO9vdCrD8iZ5BZqgLUkrmOorzotC9L+o0vDatK8pf+4bee6
BMUZWn/IWbZrlM6cWujzYEIGMyIltrWeLM+02kPcxxQ5leNZ/Ye2ZOE0lT5VU5Jrovna63Il9yO4
N6eejaoNTi/oDxURyVUItKFEbv9ZjM/G/JiT+54Nbga81yAoV16lCX/t4rYAF+AqncrtMh7vSQam
EBBZK3QXWw5xquhOpS+97VHzAyX625t9FQE4c9xeNxW46SVIMIIYcHkv58YfdfNQYxoJLGqYt3K+
bpvb9CHQGKxTH3gL8v3PtE+pY3foC2aD7c2NV9WnRQ7pXP83y1rbDuvY0Uqzc+lCSbpUg57CTlO8
rIdibEKmgEerubdFQjGbO/iXVQfJI2hTufyxbovEbGkDAmZZceV4p0leUQVz9CvVBJWdLddYBQtB
2YVRD4svg2BQgPUDdEFdBTVIwzOVpzF7kM3JtZS7TlQIXv3som4Ixzg3xoVrBbOScWLBGMAJZTiC
T4ZItt7vMRDbCz6WyBT3hAHpZqMXCkxp08maP3PpEdonAhtbjgfeZrxWgC+z8Dy7dAhlJX6pKByi
HhqSDZUL6jpSqxLm0QSWNldzZolLFygmOxangqW474mkFUSJTuP44/Y52gr/58vh/Js2aKmheQIt
Aj0ljfbcATSuAC+ivBZzQzr2AJaK2xY3NxBTJP8nGcPFQ1w28VDOkIxhyUmvglrep/mrKkJmbLg4
mmtoo4CgF3UO3sVZDVnieuUSt/Qv1fJHTH4b+xHUyrL1OQr1xDeO7iq4iEEijAyiEsY5ntqxqltW
XYLCGN05lQLQ57zqJts5UnUsYlME49Wvz9TKkK4jmwR93NWjeVFaNmga9hAy5v5k2j6Eum5/pQ3n
W0XFoVoFwOY14rDsunxuNaCsE+lnHZ8KjKfTXFA4FNngIoOep7JVNCuSG6PppQ2qZulOsVlweyUb
/naxEu7bTGlmaHENT2hpRdCfz5t9qr0ovSXYsdt2QIJ3GRhQxcPYwILVyKDQqeQHSMAOFEgHIa3j
1sdH+xg1UPyfg3zx0hD6H3oD/gBsWwv5bzK0MwqhCWBwHthRUtBC21VS+cXQOKBElfV9AprQPYNw
6yFOtXKHHpMDuW7TQspnq4mXpVIXLklCA1gb/pRyBnqtFgQ9j3bvRIWftRSyRClbYosUcxZNfo9T
Z+0GaLeBnKTqND/LaxV1y4W9R9Mi/6BxF985aT3/RLfNip7KCWRYRKd0eZ5kKw5t0G39jtJsQf9N
LVRPAnlCWNfrDIXJ4gl4H9YOUdhGvTXeOW0mNYHWZUoStoNlvzlpp75LbaNpbllVyQ90xZSUSHGE
IqCNYaMdVBDLYKKgAxEE5K2YgmFBwCvQPwC7Hhf6lxo3AmYQoLhY9l5vhC0yuVrfMXT7dL+wn2/7
7dbpOLfGhf+YDulMVVizwB841AmRwERnQ13ltpkttz03w3kTalbwnBlmFO23Ujxl0fM4fDYiNcOt
LBiDlhZq90jXHKQel06L8lTiaOBHcLvmswZFWxFq+kOWoABUHyUaQjXZaR5N8+n24oRm19WfvQCm
PgEPhwWJqFH7PY5AJxbPeZeBu9E3DECQ9IdO8vsUk4x7geGNrwd617XJhOgMd+HWa4MmUXJ0cNuB
uO5Tr34uIwugBR2PYPXrDmY8+wCKkjgz9qw/LZnxhMHm/ZJUh1mzwtu/ZeNyuvgp3B70rZ1DhA4/
RZ8UIO8rw5OMGkNIfewOVQb6ShFL5EZOgYXjcgKh4lq85iJuZEZlqqOx4OaV+VLlFcBHNfBmBWjp
pOoLXPm7bu5e0CP6fXuh16NZqPLipQM6I3BEWaiNXn5tK8bILXOGAqD/b0YtByhJvjlTSUaavzhd
QmJbdnOQwSgdEH8Je0zBBNEb6UuvvugDvY+UV4bJVkkTweCuvwBSRSDwNJSGbbQ4uYvOMECQO1ky
aB2VOgQZIAQE3Mk2gzQpiJT/66m4NTFFCQjlYXwAYFUudwEoLZpkLag1elZ5c2kRw4QC81x5agzN
etHJ/qvicJnfIxW2Ue42wJBqKjwAfSlAWWWnReEG9KW4r8nJ3R2fjt6X4+1EFZK/k5SXtsDf8Y9n
8ezzBqi/JkkZC3esln0EEggltgsLs+o6+nPmyCboEGb0SJfOAg45kaKjbOUpII51l3xFsyZLbp+Z
iruy0jzK6kx3tEAfiehSlqtkHqL+R5IZ7G2MIb1KqJ40B8wTGodZlvNHmSLZKuNK8BjbilHIwNHP
XGn1LfBbXH4vGi9dn4wMet3SOLqRPdzLNgZJrEb/gb5X5gPB+QrNn0cjx7x/Bhwh+9ewI3S5VhQx
/lmxg/wAa7TES2EllkQSSFFFceBMAygUvEYXRMWrzOWvnbXbiVQC5C/rOTmLxuCg6RI1hZ22fs01
EInXP29HgKuoyxngDpqZ9fNSVKsB9gK/UJSnhPm3TYjWwAW33pg1mvUwYSdxYAwRAQpRkEkKTPBj
KpVCETzXbeoSk+jxm+wIvsP2NmFuGDyBoCv8i5c6+w4RU83RcRAVbIrO4hS07bNq/vv0BWrbIFgA
dwXAAXyWqifWImmpjAFzqXjXtCR0OuvNVHLBXm2kLw5QXevctQ4lSJMLdstEmWk0iAjzBKpYKCMa
HfpiYYH2+e3vvnG5AIWOaKpCsRyjxnyrvlMmcILYc+E26g+GAo3+fay8VvEKdLjkbzpmqQeSJDv0
pkgeMyJrD3kK4tidrLkq/t3tX3P1BZHlg1QCwE4D5wi3yuVJknO6SIhJSOGNwq2S3TCD1VN0kWyE
W3w5JB5gO0FjE7QPl1akHN1Lliy56wX3D6/rP88hIe7BfZnJLiG7neBBeP0xgUwwQL264itBXrmu
+swvhwTsvQyaz24MqWsI1jLjp6q+sV4QJa7OF9KEczNcQrSOAzRdBTMF+K4m/TQ7IvK+jQsfFlAO
MFfWqSvWLiOfU6UwYKHSMIgug47by8o8zBc/KgVneWsxgFfizsek3nqcL/fMNJcIroCcJ3No/whC
CWjU9kUh8LeNS0pByxmQcmS06O/wlxQ0hTW9BcYbkwoO2r5ar7qptTwAhUeiKvHrRSZ0/mBjEeQd
pOCNl9v+ft0CxTc7t899MxpLxmj2bQGJREB+mpE0swTqTyU5LdFX26XBLOkxWVXqmajUvPUxIW6J
VBb5FO5nbocrENdpSwnwhQnqinS8VyEfhIdLxI5LJlKf3DoBZ7Z4sewUjNN6Ak0FV1sw7KnYbsWO
UG9BM+/2fm6uyQA2HBKhjo7B0kuvAbYVLRgTb4ICtUUFXJlWHgzzKe9/llJ429S265zZ4qIIRpW6
IbNgCzUlvJf/yAreyzszqlzd+ljQh0n1oIL+Onu9bXhjjaiQrIx2Gmqw+AGXawR7U9pZ4BQHAPkr
BjWEWiKp0olMDxZGz/8LW6j+wT1Q7MY/l7akCRAkOkA1y1E7omDiQg3l2nCTbgAsXXAWN3xkRaEj
W1QguQHl6EtbNebe1HgGG63ThaZyv2SY6mEKWQbB/l3PUCKonBvizlytAQKRMxgaimOW3C91yLTf
qu0z1PItTJuVR7QGZfWtqvZ25wvn6tdzdZnswzzghCslmgxm2vX7nt0GpQHBOjwUofYBaItUdIDs
QPpsFUu1XsqudlXtd2YInHVzb89scveqhmiqFisD76IDe0ADpYh2lnYwehHgVbQ4LqjUTW/QmrUQ
m8IQCCCrWNRMhuxTMSKv10c3lYPU/nHbSdcff2ND+bFc5BIzYIFYXGmhFH7oO2/Rfy6djgIccKrt
/t9bO3/0cp9vZvIISno8Q+0KBHYYU8/aOwkF+KxhQTOA2K4WEZwDaHC1wvUtipcUyqKAImjc51uy
PlmUQUmAYSuVKRzzOvq+xN2AgeiqtewAAwbdSMpacqQQ3Xbn2EpxV3lZmyhvStGkgS3V+j6XIys9
LVNsf5WVon4MrRQdpNSM93M+QwegAE+6HU+1z7oqb1+WZWGhVTb1oyzZ5tEEivN7OTVtWDm1DkXH
vo4itzJm+WfK+vSnqVArdadaMt9RwS8jz9ZLyEmojDWjB7GEdiZNao9aaE6S/jJldHAeMqesqNcv
tC/JYjEWebE21uPeAZ5ZCYqM2t/BGyiVXoUCaOsPOeRLAzMqnD91FZnTro+NGBPBkaRjFHWWFRa2
mQyup7lD6dxtFUCf/HJs6iaIm4IZe8nSR/tZdZIuJVEKIOBejwpQraRjV2QHGbq42L4hbryp0FhI
E93pH6I0j/u9mTfxrnfMGSYcVvxIqiV/mJas1t206iwjKG2wgy+qPUdebUtouRf1PN4Xhh3RlSEw
z4BRzpkVFpoe+ZHaQmaunGLrjlaNVbmod6BuzaIRqb6BiyVznVyff4MBwUBzvTZnI6zBNdE+JlOk
9PuZyv3k6aXltJjNmPOXCnqlD6pas9RnZZXdq7MUMUi6AMoVqI0jjcRM9fLHqBlpfWgdwHWgBLso
QdfN2gdqaKb9lGNMpQ36BGoZrtF1va8vYHQMaA7FNdJnSf1gLXo5vC5gVhzcwqnLxneswun2AE/J
H7IyzKEcYQSHGDONUcQG6dZ0bGlr/0j02AIDdxRPIfi/ZrSAQYXzDd2etHFpUfVP41RrrTdUZvrq
9FaLGUNVKj+n2ph+j4nZfK/mSb7XUfLYNUZsHTG9UkhkiEfL8iZntAswRpjAJOa19Jo5XfHssLEZ
wBOaWp5WJM1RH2Ig89LcUl/qvGiDqFHnBWMqUCwFPC7O3iqlbR7bVe6FRM7U7WwgmGXSxXQCH/Yy
Rr/A6sc+K1BQ2ZAb6pYQABIZBIZWW4weZUBz+QO1GighFkrk2tJc/ioWmu1MKmlvmF1xDC+3o+oP
6sWd7tbUMkewpxaL7LaT9QtwXBW6ikpUPaWtUYct5o8aX0ks66FxShWsaZm8UDKmDmo6gxxbsV8W
+YQ6pxbRX7akqAN6CHBNeDciemYOJcbjjWSVOVbS8h6UYUBJ4gEy9WSRY3QMTTwT7iWWzXJQ4sh+
mLOSYXi2GBWR7NRVcEbpAkS4Gl5ZeMXiVXd520WTOo3DoEiY6HBB4KUkGA81MZYk39v0CeXS28H5
6tWwWoOWKLjnECWv8r8kNcouj2BNcn5B6sSddMEb65oMgbPAZX1RooPNlKIvDpbKz3SX74Nl90cL
pUP9lrofIKZwTSJ7KFIGIh6Gq6v1bxHon2rWekmc5Q0jwkzaAKpPShnlXZT++1NXvdEZvA+MkaLb
reNYt7dTZJL7eHkxoUyooqASzz9zoG3kklQ4EHlQK78A8XedSHC5rjnexVXOrZHbXXVY+hHDaBJh
7GSrgQbVFyUV5ELX6PfVCLRmUWUEDcxVojmZiSmZI4yY39Tw++hlb/l+mkIlzPZl2O2a3e1NvNYn
4exx+WZTQmdJhcYUGQPlRfk+flfd58yNOk99vJvu1DvQSISWJzB6lTJwRrk0Re+XLMG8EGphcebF
jeG2rbc4x3FwqW4R03pIpJY0A4a6O08WKXhtHUPTBuuXAwkvkGpyxpU4MzOrxYqt6L5ZZR7+bUHl
7+L++ftcPgSCiJEOBf6+NJuuro0+Jgjl5T43BLsoWsd6Ps6OXGNqsTGv7liBSKBQdpj7dAXf6Soz
v1wKLxrQ6oMEvl2YQNHLir2f6dNyN+4+OyAUvspjTsygCMB9KNjA/8cn/7ODfNUvjZx0YRPMOqo7
Pz8VX7KLlAXp+XH68T57xf6bg/FGQTi5ZvdYF4v/KQaUwkGSxD0noVogyei3S2RxSHMwPtVwDu37
5qv3Xh9pTuaHBGch9lpCv8lHEaHsda2Fs84F0MbpgKMCsySZDbIkfvUGXD/GUSNfCtV3Ebfetbje
X2vG34IcUG88TrEqUgU5ItZK75qv5k110Tc8mnslZM/Vd3bA/KzbHFeyIIHPbi4TE3ogLgAvGU4h
94626cKWiWGZDJLMpuHV6MfSE4SGtXlfGx6NThiNEHjxeqD5uI1hHgRV6NegnMbZ7LJoHGoJiy0w
deDLfjmQJiyPxjP4N+7mwA6cp2mHjNoX4aG2js+5YS62ml3TNyMSd5I5p14ms/Kqg42iMQQxfCsQ
nJvhAhq+JZJPFWZk9Yc1rY32P7d3cDOvOLfAhTTJiiI10mEBZemGqIc60B97QuK7LvZMYpNv3a4M
n7S98Sg6FxtbiDG9lcsWLW0wjXNrU6ExaSztLJGm+6agqd14s75nztvtBW7c7LCCy2CFk0Gpizv6
Gi0cI28XxDndByskSVqwt7aiuYeN74QKEhjDQB+EGWIesCZHraUNJcOhc7451pOcnG6v4u9w2oWj
oxxtoAcN6RBwz1wxfI9KY4BjtkjcI/NsN945DxqxQ+pBOo/0QXrM/P5YPOlu7DMXHLFvj1MIgl5k
hSUpHrsHxJpj5Oun0xKCAn2vktj7lguulKud5n7iukdnl1Zip700lTn4waRTNh0z09eif3scYALf
EC1/yMlhqI67F8cYIz3tVCZ4ydzJ+TNGi25v81U4Wf8+SvLg6cPQGaB6l0uQRjkGoV2VuL32pbQv
U3+YEjxUvCQVGLryfc4Qt1exE+FcxFCwV6H1PUWH1Pqp574s0gpQ19PLu83fXGjVJADGljtj+YIa
sVYNWJBnvjFi+fVd5munn7UH8Jkbh/1dehjdYp8QegKB0bOzLzxkAKH0Wvki1MbVGQE/NqgEgPxe
ZV/RkrrcXK0o5aItpwRzSF996g2jCMW5sakXBtbNOHPAooeU2JzCgGE9LFGQFPsaKHYRwGvDR9CC
he8Zazn3ircBNPdKZPSrleY+jzpSqpB2qVw7R3vNu+2OGyfq3BRPU6owp9IUBlNsedSrcOgOoy1I
yLZWg5crCIA1TBmh9Xm5Z3mV6NPQa/go+qcOsfnyGIGqZ8X0ZAKX3/r855bWr3f2dUrVRFHJhKXK
AIAIs0y6iDPqej4FHnZugvMwp4T+X1Xr2K/AUknaEdVHVczv4nBWQZxnu8vv2x/o+knHWeRcLnaA
A80ZLLZSkL5JDtHdxi2P8V2DVEv/NGxXNEBx3UXgTHIxsJcWXBE6TA6HUoIkMQz+cVzmyt/TwjVm
ohSe5Ik4ljY8EW0D+DuQ30Dh8Z3kHjSpmd4ZiVugmpJ9A1UJbQW4nb+dVS5WwQZkoCBtsuohc66o
SSb0QpmZuCjbniBiROyD9VA8M4LqbkC/TC8mlduT7K48fWn+RE6ABhP7VJBfE4k/BB923cVbP4bz
VrstOqOvrMSdXZQlQfWEeVcQPC93upt89H4Esk/WuJUXuSoxKxIJ7vuNUHaxF5wnA0gc2X2Evci1
P7ZOUDojDX2uhMSD15AEXb4wxDkwzSq16RYYmn2NFKQ7tYHq56+VWzz3O2W3hN/AhxLkBHobXn/C
VP5h2KFTJiAf2Fwu5mAhT41rV7G4e9e2J6eyagd9BsmjmkuRetoPi4hbbSMCAToACoB1qlJT/yLv
ziLQkGpqai5D6ho9sGGvafFN4DQbwfTCwPoDzgy0MRBZaQ8D/WeHIOeQfJ8eIaC+Tz6Wk/xghLFb
JL7v7JW9wPLW+Txf2tXZSRswGcFy51c5eCv1ryFcHjqSKK5xL/1s7roU97oogxdtKHdIRpCsJIUC
q3UWdMVjX3/dXta1WwDDB5wnfHRl5+HTvTQBC2vXxkDmU7XfOVF/WpsiwRjVEbGl3g5um7veRFSM
V5AxHNAB/ol7KowFbR27wexOVD6CmCdrngZRYfO6EoH6MNaCJBaP1XUq7dJFrL6R6lFGlcX8yR4w
QNGEY4AUftzFoeW46CD6PrTHQSNceKJ23rZtvIUAKgWgFWSOl7Zts2VKaqOCm+3oQNhLGThu4k5+
B1YsV3Ibz/mzmO5yHwcM0/vHQfA++Lu2y5iKtf9jny85yTStNZ3BPnRunqy92eK2tL3FrcLJ3y/u
lHiK+3L7k15XQ9b9PrPJfdOUoWCX6GtVqyJ0j6rjwfouVeQjc5tPhsV7ic/86L2+FxUINpIRtAEQ
0GwN5B8GNKAud7tWq6G25zhzq/Tdilw53TfjjsUgOcE9Jj2OQ+Y1PSlNGZXQ8Paqrx/1WDVua/AK
IOPBhc15mTyPaAAtCVhe7zSP7gt/8h0fFxgK6kQL6Vf8at2PtgvWCo99Du4gYs3cuMsvfwAXGVLH
LLTIwg8oiBaAyhhDcHf2V3/3/bcdzAcIvh3ZEYNkPsZtKlIes1cd8GCwbZ/6xW0iAqyOoFK0GUrO
doT7GnjzscWhKWocs29CSR40iiky9lgSOPn1FQDIPIhSEbaQTKN3fvnVu3wZomGIMjdlD0oCntYm
mOrHQe2Cevp1+ytfpygwBZYoE7BQTNHw6PysMQCo1mHKrgbnKYPm99OUd8dlztpdNXapq87Th9bN
7Jihh3jb9nXkRwyBEhdUqqESB56qy2VOscak1sZ2gtrEjazS7xTB6tbEgw8WICyGkZVwE2MIlxZi
2ph5aVJA/ozBB/0Icaz+mNXpe2/N7gg0l4WO73+xKLTvgN9CAoqlXZqk2pAmdY96eNo8UhsEmKLJ
kc1ziaP5Hwvcscjzpc6GERYSDXEXI6jYvd6bfkFW1YOCMzR3AkreslfUpGP3twxMh2CJWz4DEBeS
oPUGuFIW120mZRjfQRMvRTa7ptP6Q/w4EWEVetNBzgxxK210mudqCkPGS34HiMFCGoDVjum+cN/V
TzWwHRIJjt7m/XK+OO7sZUUJrlkTNjFG9iofZFf/MWA//9gPqduCj7n4KAUmt7YTpQwZU0lguoFw
56XHjJZaQBgUQ/pGY2Agzy8TjzmPGEaSKaAjE3r63m0XXf/g5alQUVpf1Wt1IEmu3khzjSEL4Daz
v5LSZvWtMFETtgUv9Y2NvLTCfTzaTXoHps3Mzd6cO/2JeU4Q7bX76Ud/jIL8MD6Dbk/w+rveyUuT
3LeLZCW1nA74k5juZJRo2+5+nu4bE0gC0yuV0NGC2zu5bRD1IjAEoGTLB2plMFNm5EPmLt+nE8BU
d9njctDc9P22ma00AER+KHJjxB0zAPygXk3nbNJ12LHSu7Q4ROwht8G1pLwDRgSi4hR874qrAQQB
LTTBYd90FowbY7ZSXpVOOO8s2ZKBPhimk+5QogYog+QpoaFggeuXuXLJMyucs4zUyoxktQLIor+8
oMUVpIf6vaz92HTb47xvXug3ELHrz6JXj2h9nM+MejmDqAaHwUEl3ArxZCdqL/DL6zgGvzxbHfc+
bsp0MRYDNhhQHWBqJWwQHGmRhdVRzx6NwL3VqSTBAj4jiSRQQYnEO65HyvR1EUC4gppipffgHKGI
HHUpe5a5sgvh0+fcM4LGXXbmWwBGc3e8N7+nQXIAbjLo7r7NpNsJwuR115f7AZyPMCO1q1V/1WXe
PWRTPtNju/+T3Zl7etJWRYuSHCr/tl9unu+zNXPOUYF516yKCQ0Qm75ShxpoEU7dHUZCTdcCfBJI
lvkZgNhf8pjtb5sWLpdzGpQZWG82sG3eJyNBd915oIEZpk/lu3GPmpIUghhL8dPg36MvsNGgcFlL
aFCqRxHt0pmabOqovX7p1IifCltzG+d16ho/pfXd2FluyeSnln0s/VttU1+X/vX40GpftTHQsNYK
wSt/aX+SikltFay8oEqGCXhrlnf6KBm/gZHL7my7Ur7d3uut0wOQLcrwGITGSA3n2qazlGbjYMEN
2IggUzxWv28bWP8AH95ssOiClgqU71cMn5mqN0zWZsTvaAkNzN3WkhzEsS04IltmYMPEHJSyihRz
62DppKxDi4hlCVGympjlwxKLREC2QvW5Ee4YwjZLax1GEu0ztYK82uVGjW7oaze83d619S/xu3Zu
iTt9wN7O8Thg12q2imwBe0cXVwXmXOt/3LYk2jjurFXaZOYteBTc3vkVxzsre7Es/7aJ64mL1atR
Glp5Xld1We5U6WZsdNIavhprrQD7plfcSX+Mw/Q6HEWZ8/q3rndupQjBvDVSPc6WqjZNlwLg65bR
LysFfVjtpnVNGplMzi9NChpRqXt7A/9jkEex2/kABucOBtVK802GR4fZB0UqenlsJkJrg+l/F8ZX
1zKWqsrcrHYO7eiCytJTf7e2O4ao3mNmhnoiYYNtH/zHoHoZi+rKUFq1XH0wC8zS13WvzF80/b+4
vs+XxUU8o8S8/9DAitZ+L2g41oJOwFaAO//7638/Sw8sVKzBsi0Dt8dc2sdkoqI0cdPj1vQUPVkU
ywz50sJIuxxD9goSOOul7dHvYG+trBOo7MbSPp3fZbwVbx+ozTgE4nuQ4aAWj3rrpUWoCFuRXsGi
o4B9c3RLGpTxRKZBIZg8u21rc//ObHFeoIKswTBa7F8C3VzJfCo0QajbaMghOpxZ4DygtOdSbxks
NKY300PdvlTxc6u7ZRMO9K5QQJRzUOIAg/ZEMd1S9AbdPljGXy4QIKGuXhjRhJmFIYIHSokC2Di4
HOdveiq1DuSn7Qrv0KgEXQdrnnPLLB7MOMsqMPdqyb1iLDqIG/T4vzl553fmejLPfFbWchszA9gR
1ZLJAD6voQgG+qIngrO3dcLP7XC3jFIpwHjbCCkR/DVlBYDkvxoobxim4HbeOiLnhrhLJrUjc6hR
WHMrTJZQ5xc65Xr+0usPg+WVVQq9BgHZ4GZQtiC8Y4N1C1C+9b+f7aClxlPTRRq+6fhCVb+bDr0j
uNVEJriPBDW/uUlzHY8Cap2yAUQFJT2VrWjSdWvrrLOVcN8I1/NopwvMdGPeHw1rQrNUUg6UpabX
GfRgr4oBOo2PelOJ+C02E/Fz49x3m9pamVUL2/icO8R4ABzgR0f6cicftafCa331GdfPTlTL2Axv
Z0vmrvAJHUBjxKiS22kVgHtBm71USQhU0dII/HIzuP1j6W+98cxNKO1GO25hKekN0oI4oRepugm8
hA/VllZZVlvBQq7jdV0HKrSw9UKg9ChaBhejHabUJuiMMndU3jBVprKX23fA5gdZcb94m+CC45Pr
ktKSGQ3FqyiPiWxgTt2jGEOJHinb3ba0AQhRVy4rVFxwI6D7wy0lyxWaa2aFpMOeSaQdx/ErjzC8
cJJAo9hX/qTtrOLHHN3XxqMicoeNbhesr/f4yjQHkk3O80o9S5a0asCG8+QEEK18XnYrqfS+9+9m
zzJITe5Acw5xSUH/fmuD8egDylIHWx9aTpfhCtjmkkrQrXSRTPxqEykw2c+kdh6Y8aplnSBwbUUU
wEVtJOKQ1L0iYsUAFBSfFlQnVV0GMupY0A+m2cSo3KQ8jpnX9X9uf9RNg0ANALyGaSLIwV2uTqqR
5NVRj3KoXR3n7keH3oDNTok9uUsUvy6gpI8zUf9w6+Ah7bKhPAftAPRYLo2CJp1apTLCKLQ/ZNBK
jcdZiJjbNIJWNLqEqwYIj4hwbAbttBZV11bvgi5a9k0ih10swglsPqAwyw2WRsD+gP/jEr4WauwY
zFjLAml+P7cPC8ZXk7Y7AbDrF70eJE3yqFvK80whMZgLOkmbiwTViAmXAY833/aup8GR2waHIs4O
8/JdNndKK5jO2jIBFTO01SEiYFxRuUsaulVUQg3UAQW/xTAlh4gsmlPfipLnRrjQYmYL+n0ljGBq
8lE2hyenfL7t6CILXCaraWUB4XX4XAMyN4U9GLkgrdnMVR2kM5aDoXB4HOfVmTyn8dTiJd3Z73J1
cobjrL5IwzeaPGGyObmX7lEFX0Rvz6088cwq/8JJkGHlxlr3mLIFhFBvfWuR2vaE1AxrOsG/3c/t
cG4et/LE0IbNXKUxyzBV56eRvbeL82gun4WsOsTKPm5/sU3H+2c/Dd4nykyrIJeOKAG1U3PluRie
s3/NMIvyx/myOLco1E6N2wjLGp0Q013Q0SGY5NBEGHfRV1q98yyZqaxu0pgFMzVeajmbSWF+9FA2
kwWQ1+tBFW4966aeGdJnBQO5EwyBSduNoXsZ4YPdR/UzWGBBIQgmBEPF/S3qT26cLrSbgMtANwic
Fjq3jQ6NaQfdDaRSo3zoS+s0Chkm1s/NOeDa0VrR8QAwXfHkREY1MSdaTVjNqVmf0/VC0mQgBdXI
PEHOTj5YWulNxncWf1frWJD+bHxCAJZNKCbgfOuYVbjcWXMclCJV8SCT0ZyfqpDq3xP5pyGapNzw
+gsz3NMFHY5YzyyY6fthF/Xsodcxy1XK3u3DtXGcL8xwWU0/LBAHxDyjm3f0HoSGxFqlaJnl3LdV
RBw8q2/b28gzoO2IOABBEMBg+ZYkVSS5oR2ezdRs3nS18pPhK4niUJpe4FKEVR9OOoW3bW6u8czm
+t/PzoKkS5PR9Ooasrx2eWmzJ0K0OiW0F8g+bH4zZIfIZoA/UxxuM6HPWsTpamiagWS3k2BcikOz
xIJMVGSGW4/G2tiaZJhhfdiYj7QL8mR3e8vWX3p1yMC4ioQXk4ToDFxuWQ+5mDKzTYTDySFl6jst
qj0EhIOkFzVXN1cDhkYDs20rspS7UKBDgCO1mmLJ5A3mToO2QS56JW8bwUwN8hcUZPgZka7QSms0
bNQaJpCeqd9mDeTDIrHXLT9TZBMD8kihVYDiLjctjpkqxeBPcHWqhND6WPH/AMDps+eMjtsDQ0+c
tBJ8qa2VQUBq5dFE6ocm0aVRionrJa2BH016MJU6bdF4ljNOQaotgsRmK/CdW+Ii0rJY5mJmWF7i
gGZh0O/K0dnHgIPgptnfdr+tRUEHEXCAtR9x9fwZcynKnQzF05qBq1ymYUtNf24dQd15y8tVE6+P
lf4VuTv3wRprcPIqxcPfyUqwnYY6dtE+mhYEm4LbC9rau3NL3L0PPsMlmhkWVErBwgCntz5Gxx+1
l9tmtq7fczOcMyiSKsdYLswYy4M1OWEFsd7bJrZXsgLicJQMnQ/gIFqx0BJFHaMov2aGkt27NfiT
aI5q0wEAk/8/K1yISzNFa5K1NjjUj9Wwn4FgZYJbQd1aCRj38J4HmyU+PrdZNYjnQGhjYCUEEed3
fZc+z4dXCZPEbGcELXBc1gH93AeVlKc4kI5PMkDLxfvt7dxa6PmPWH/k2d0EDlxnmNYf0c8nZrxJ
AJrLIu0ckY31GJzZaNnU4saFDVsP9Pj7pEDWU8ReuBX70JB3MBytrfqK3GayXM2YZeNOSunyURfJ
3aiBAEyjQb7i4xqb2ECKktt7t5VLAB2Kwdd13OFqYMeoWjr9D2nftWQ3Diz5RYwgCRAkX2mOa2/V
rReGzAgAvXdfv0nt3tE5aG4zRjdinkYzqgOwUChUZWWCpQg2+zIw9NsY10aVFR7g9D4rw85EI2nD
+9cixrlJ5XP1pZnyUkfEqDL7loKOxhyyH31phJnr7KDeuhHct1aofDla2zGJGHZ1KkoAGen4LSq1
5pj2zVvR6++6uzA0Sfc2s/QtsrH1D/pnc5UTCHrIZExLbC4k8UYQ06FoYjlQvwUzxLexiN71wrjB
bPMGFGn1TFK0eJb6louO3KWrglPYnEpticjDFR4vZEy8GcDGLbm4tWIN4IWAkTAYw0NdcVc6VsUI
nh6cfZPd6Anzp5QFII3dV1p8BXW+1smOUP4NLT4duNX9+NxxV71owVmgescW2bXLVTJQbEAEHCmP
XvxokwyOI3cm73Gxfsu0eOOUrG7pmTHl6sGEhoyaxkZpyIweS/aazMnRbcBDrP1Nbo+/7t9lKZtq
FVUbM0id+ZOgPq7dKzu3kZ1C9mEs7uJWD2rRes68xaO41gEBcuGPXeVQ5vgjTFfBrojLg5lCFtTq
PAvqi72b3ozT5IvEuOd97puxfoi69ikr2Z0tQdiktekemo6e0W8Nwax+YqZTBnpVVDdVSGQy9Wk9
dMvxQdU0FTsX4140iNDCmL5/7kyrB/XMkrL6wa7dwhBYPR2/Usy3pYcUHQBgDSKeg0thw3VX75Iz
a0pEKiYQnpJlXZKAFnN6i9D5NMDH+fmatqwowUcMiaVZ6eJJlieHkFq1h5xww8hqcD1byvLnZ9ci
aS2IoU7LJ+raN+K216JjQR+9RrUIKZOhFN/yPN94b6910hcShf9xDHXeOe5FXJWLVSBzd0TKowHG
LqPPodzXHpDDo7QfB3MFSY2e7IRWhg7/pmv8PhXH/9UeqyzYGNJi0Zjhh0S6GVBh+g409Upti4Rn
LSXF7DWeJwQT5SA6vdxlO21Ky03w8uIg8htidojndP83K/ljwrw0AelKiSEXRLim56fYFteMitdo
njfMrAbSs5UoUbsgbeG0E1ZCJ36sm/LG6B+N3AFohW145lqHDTBW4PwpJjgBJlI2DdSIjUaEi6yQ
Y4ht9GaQvTSeRV5t+jbOuy66swYvh2ZQ14WN2H2+nZvWlf0UyJcbWmOhJipcBX1g4iQcsE9emXWY
dt8ZfkntYYSwN4F5G8LPra+Gs7OlK7vc2EPV1ctLvZA1nn0Qst5z2QU8e8kxeb41yrRWJ73YaeV2
5FyUIsNb0xfzrdWHJcD4Vr+fZY286pFoj6kZjPFGK3jVkRaQ8nIgiKneDZqbDrpbwGYZiWNegz8S
/cPc0fYdlvj5bq5eQw6oKMDjAN0v9fT1k5VNkYk3O8SHgbEzQq2j+xQvjJm+4draCClrC1vGNlyQ
YIAnRm2BTQVfZJIh0ok3AkQck/QnmLd73+RMepjof/l8bWuNFvTbdFDrgwEKcziKq/ACbJG6BXNA
8kEMMymv2wYqRFbLx2MfT2zfMfKjlVXjjU5XBGTEVGIZzU8ZK7c4gNcuLAR19MQh2gIRFeWnmFlL
RmRZGEZM3RPtKp9W9k26+cpacVf035ZH8dL5BoO7cmdBA7sH+VePUqZ8dPJvZf9QjODiBJUFQ2c4
bDQwDW0RUH38qrCJAh0w1wRDVSpOR4Pglywi2IwhN9I8Saf2CnYshi3J6i07y5+f3ce22cUgQURh
f4I6S/c05TuQxdf0y+des2VlOTFnVsp4sJhwsBorBU2oA+og44nq6Mo+f27no0csuwb3BOJ4kX5Q
PKKSomj1dllN+jT0D7l+V9GNC+nj4b40ocQuYZWz6y4mRvs7t49GHfACrfRf81Yv4uMdjlEsHcw6
mO0B+E6FPrRNa2nTAtweywdeu4+6021UzlctYJaUotq3TEIqfk2MWEQyQlugq/02/kLJfw65WAHq
o5C1xcsSBeDLr96JcmrG3y0A+6UhOxIVXhLd5XJrKHjNu87tKImrOebAuw0owLEs4CkmHO0XnqIl
RTfWs7ZfaIAtVO6otaDTpqynReJWMtTHavfOLP5JB9P/3H1/V78uOwB4UqG4stBEgaRepYliml3q
Y48UvLzGXMfxqwm2kqAKo6/NfgozT/deb8wT2VkhpuZm70sGpHN/4gEeeB6esMBofotCjm73tN9K
91YQQPhp+IjQ8EXRB0+/y8XXmPHKpxyZa2eVoLF/1qGoI+zMA4Tdq4sb1/1FWfzQEghTxw963xzQ
AXruTBLoRu0zXiB8VVsvlpWzaAHMvjDkor8FliHlN3WgSbJN5KARS6+iubuqpbEnlbWbcCyneau9
u2YO/Ew4lSiSwqOVLSiKNEkGG35WN3P5PtlR4njZDPEev0hTSCbEk0EHP+5A1pdDOYx7lPa2N4/2
cOIV70O3myFXn7CpAP905wDwpsd98wIZxPTeKnq6xfK09nvRSGIQcaLAjqjotAg0zyi0Y3smPHW8
KNEDKD+eHFlcj1r7M5ebPAwLoFt1X7RgoPZMcUrQkb78HhOkqUbuLDmsVksPo57BQLprl9WBPU9B
XbmoMEEDvhr2gBZufJ2PQeCSFUEJAmU7Gq0kfIEGj8fRCCGhF47947wl9ruWqF/QLyhRs8W0QZTP
MFRek5/1bn7LThQzrMiarZDuoHrQHT6PCivD3RdLU+kt4rbB0LMOi/rk06/FASDDu+mGP/YHcLje
jD6oWPz8ASOfLwaIF07l/nP7K0f/0r7yWfPYiHSQ6iNdP2p37hMHu3D1Ggco0z9PPJwxGuPlfvVs
3oIM8XPTH+/zS8vKo8hI22FsDYFqgQPi2OSLyMtdu6V7snywS6+9NKJGkUgOGEzG8mYDXYeu8Rqz
fGzc0UMu8cqN1ssAG2kGdyPYr1XQzh3JVjKJEetKosVj9X1/rccHMMj68p/J9aC5YN4NwXgyr8Az
GpDnv9jUhWfOgFyFDtWVy1NaDg3I1yk2NULJykSbr3iNtlLz1dOIxoSLfyAhp0LjTIQ7rV9sVC7r
D4Pl/pPMxl2rTeUBHAK7v1jQH2Pq+egB8AUBHIwJ8s+cHTWoyGxlfStvADjJmQ3lDNjCAjktgQ2q
XUc06Nl1bPeA45FdbZ4aI5zLH6b29vm6NjbRVrwfk23uZESw6UozD+o0vrH6iYIYttDCgph98Lm5
1cN2tkTFLzI9yke7AJhZJw8iuq96qI5udLO3TCguL9xYzDaX+FLOd4d6UGvCEOtGuFw/V3jmL48A
QJbVNgNmTyw6WFiH5d5oBrDxNwXFfeuN5BClR0s+2xrQWbpH+K6y7mgaxAzj3Rtd7rVmB+go//yK
5eOePXncnJSTPeBXjPVRJ54pRg+VHDv5Jsa7rLPAzRkwEbqbNfBVpzmzuyQFZ3ZFjeSybGB3ip9M
5pvJYS5lAB2Kz51l9UDAjAtUKmZyPwwHNXMXW3kEOxoF5zrFOgxWH6II6qVounti0d/TjUBryEnU
Gw2rj4mNaYG6C1ht9BgwyahcwZWMrMkwYTupnBMohoMUNObDSL6ywj7yrft39VP+MUdVwXC0WKti
MhPAtcC7Y/9TjkbAI6Q3jxh19uq8DkSxy/LhCJ6pzzd57VueG1aCDpN6M5kYq8IcWxNUhB25rEFA
iTI1Fxs37VpdBzK0wKEDz4yxM5VVKu2ascslbDmQmfB6PC+cbvZyKw0m1ntWOYbLv68bcpsY6QGe
EczOxvtqfaPPfoOSw0FsqM3TAb9Bs+PoGXT7w1XGcjD3zQVm+fTSCAaNz3s+OtOplGZ9l431vkUb
agPr9f/ZDEwR/l/xDRVuaIg0A9gcP0Rn0I9rg747xPYPrd0l1o5TPGVQ/8EmgU5k3ApfSwhUsxEM
AtsWgPOLRLLyzSsSSxT1Mech+HRLtAqa7Vt40VW3wtABhgCW8UKVXMacXDcbWIVtll+dZJ+Qn64W
plvkEGuxHgwoLkab8WD8UJ2LtZFoRVkvaYZ16lhxEAA6DluNuNV0nC1zKXiXYrvU/bLTUhpOjCzK
7BFiR4Cwc1vLFjEnHeisjr1OmGwBNnv4PpbFG3qyD6DMd30jIy9RS8lGZFoNi8yF+6PxgvkpVQsN
DTNcSjVko5MmCyMSPUJ88dBiPksb2iCJ5APtstAas5CnG9nCapoOMg68T+G2i3DmZeQ3k2zoiQZd
pqS8r9m4lzX9nk6Jl7WPs9EGBhf/OCDQB5F4D9ngvnxH41iEQ20eGytBjgaAlPv+eQBbDqzqzPgm
mKgBiQKyQMWZJ7upKogSoXE5xqekx4wsKhMWlCij8bbI+12UbE0qrfn2uUUlZyrRfZ6meRmTiufK
I0jVGj19lyDmtDYVtdc8/NyWkjAZWgtU2QBbCRJpd5CeXb6Ww0Y6s3bXnRtRUqba0kRjuDAyIfzG
ceVJ4HbdUwRwVh9+/rXWHkLnphQHKtK2E4XAsFUD0dAmD90UwOSvUcID1Fi8CV2xstsI+esmAQeB
ZC8ikVqCjIdSJv0y1aZHFSzFfp2Yx8nFcC9zb6Ol6ZXdJdq8UfgkHwsVKGGhZo/i0JK3q9X1NOqY
BswCsvm9/EJBV4gX7HVxQyBhcaWFkx8d3esxoKBQg1B6MHvR8xu6C8fxJJ+jt+on3fjGazHfRj3J
MpmJ2qIKidSy2pqEgYAMFktPt51byTfztVVnBa0eOJaJiftFyQuLPJuhc4uJrOgBhEm74sTD3g1G
H/Jse75LgnLw/C3i/jXfXT4qcPMLXeTv2H2WixYlygZFg/m2nNlTeZ9N/QBJVkRNK5BpiVIZb63H
psFI90Y2s7ZYoKiBjUJDDNBwZbF1mSGVAP8OWKXvErJrc4F8e+P9vhZpMCaIOxQlQTTelCRUb8ch
l9aAgmj3TZtvuXiR7gv779SxJrTGMGKKKudCEKJEUGgITimuUhwQRz51Xf8a18Jzhnnj6K9mPJAY
W0bp4CF4OV1eHq0bRVwfJ+S47o0lQpZcDfluQjO4u9etsDBCgkcSuzb6589jzuqXOrOrxGsxGp0Y
xLzEULDGJvGRVI9Fpu0+t7J2D52vTonUMZczz5bBHGHT0q+J/c9i9OBCQtA3y9zeybIzgirPN8b3
1u2CiQIdHIY7WfERa8gr0iyDHjMo1GXmXPU2qBxm7S7Sci83MM7Kfn2+0rVQsrSe/59FukS+syMX
tZnsSY6eDim478QYhNuaFlxNcc5NKK6C1x2tGIcJB5NM0AYdolDwez58KUFCYR7MvEHKvHGg1+6J
32rjS693aZEoy7JKq5kXxG7SQ9DFeh/ywh+TISDQjJM1ENE0u9aH6fj5Zm5YVTcTkmNj0vew6ox3
c3kXd/emeK21+4Ye6sqvtqT41s7C2SJVIhuXuF2iEZgb4qcivRIAe3VbOJM1jzy3oZy3YqzBl2bC
Bk0aT6OeRUGSIGM/L05TG0JA8/Md3FqScvCmzEmmSoc5W3xLocqdj2HdbXyltScA5j9wj8PtgSpn
ihFwHLZVg0TC76Y0lTvD7Pk7JpPYDwnJ5R2AevnTWDjJrT229exPNdfuIBkCavoh4cO1qNL0qrWc
Ydq4IFbWjuvcBp4ITyygIZWf5eSuLFs831GBOkb81Nij5/Rb/fu104hxOEg3AE2Pacrf3NxnB75O
57ogPYqEw1BZ15pTmfc8s66SyhgPid6dpt4cAuRwNyCsnsCWVcx/sUwgndGudNBqwlTH5dGsbbsp
M3TG8MZ6cuh94RyMLWUUY8Vr0QH/Y0MJOZDQnXMX5XIoS8d+kswhbdFLTjE1R6dD1I/PZmt7omee
BPVBQlwfwp+enhteAiKGKQcfM0aPWv2rjXrg5w6+kgVc/DLlPDl2UkXNUjSteeiS1wFMlcaJb/Fu
r0R1OLcDxdFlPOcDeIn1aQO0EV6VZv0rqZ9F/fIXq1hyDHRTAW8wlXypsfQmmhrkw5kbAsLbQhxw
qgIn30J+rR0Ji7hIc4EyNxDHL31lMGMc0wQvDBKdTO2fqt876caLYsvEspVn50G3pioeRpjonCcX
BFNdHejTRn1oy8by52c2iqTuHerg1eIUv6okTIq7sXz8my/yZ6cWvzszURtO15QDllES4VXWF6f4
GmX+UG9lyquedfZFlC8vDVNwtrAP5t3JIi9xv5EBrf39EGYCkgmIbBsVxst1AO5vwanhuTNO4IQ5
QKSSn+/UagTE3CfwvTgYgGUoS+DA7bYWxxIKduW2h7EJnQJzyu9UYHLd2o8DaoUbzeY1QDEKpX9s
LgHr/PMIUP/2bg5HfnINb9pbnuHR92Lv3s7QWHhtrt2AbnQU1pwO5JuAA6GVv+hDXZpMGQGhRbEU
ArTrlO01lAPyreb2SsLDzm188DodgqDtsqwKsz0obgZzdhPJF932EpBtbT1uVuM6umpgnjbw5EDR
7HJNcSRsoxnx8O2gzaO/jNLrPTTXfBCT7CSmwJbhL+2q3aXg8vvca1Z3k0AEBNC6pfagOE0D0W7W
EUQ8aZyoOJXjV0duVBlW8xLMmfxrQ3GSIk9ol3M8uaGG68kDD8336LrbuXvhsUceGBu1x/UlMeQC
qIbatkqBkVVUCrHQ1zgG8o0fQ3YztRsmQOyLL6JU9IDGhubhAqJdpiwuv1gbj/WUSA3jFZqsXiCx
Yn239KR/pU5WHroyMr+mTe4eIxlrt3Yet6c4M7IwJhY9RIUujjyu23c6Rvq3Ki6ig27weRdrFkdd
ixVkX/Q82o3c7E7QP++pN9v5/J5MLUZb+Ij7vh+pXnpa5dRBNsXdTStT+EjDwGXZdOZNM9naXV1F
Y+vpzjTvK6Pi38zYSG9Y1pUPUdmM1zSW7X2q1ZhUY6ASQg6RueNOdpCl5Lr5HaxvHfjWaROZnokE
7rnrpES+0cvbop9Rvxhzjm5TCd2E2suF3TjeXEzNa8sSusfGDY9IVvjRsCojBGOCmAEXd+hBlGNR
ouFZ1deSkOWXRfGxxzRWYFZdnnsTFXGQu8Wwq5hV7wDJdDP8R9m4cyAVf82iTHJfnwUBtG12TgNr
FvjQmBMZRjSdQBuX6fTaLPXowAcXOullozeN12ETd0OWksCCVOX7aLBMO/RdKv3Otnp3F7Ne7rPZ
ZW9ZKwBk0XXtOUby9HWOnOgONxANNUOQDjq6lKSehEYCDUjKKRSK9cT4QmbTDVKrm0521ZK3Lq3N
f2gh9fvBTuOwgFg7qhWRmaWBlhfplyxhQ+Vzt0h/5pE1nmKiZa+x0ffHIjdmSMdP2Q3+9+5GOA4U
x1Ob3ETaZPyDTEIcndGMb0xpgU+gwPS1V6HZ+MWtTPYw5BwM5G5Xk9IrqZMOuyjjPN13pTCPhdm0
D0lMqh3mkd3WjwmZTphIH77avdBDWGty35JRvh9AvgUSMmml9w4InG/TqIpLr3CXBNod+ROHEMBj
kc+sCOJSlMeuqKp3TsEw5tVtJN7jQrDRM7oGjzdplO5LDKXlHUYvylPU6eQ570oSHemQyEOXmPOD
MZB8lyWT5WuRZj9YdhUdWwPJ2L6nAIaEVVdFBgh70fXDdDumm/Zp04wPadlPvTembnQ9WFp2YJEG
sgpZggbSxojd9zaPIRQaLZBhJiLriRtWkwcYxYf6VkzHJ5O3xle3dGOfp67eeiCEyp9z0lffrBQ1
bc/MWetgWFVUX3qQBT5ZnSXBR1ASsu80ml05A2b05q4fwfPbDM9mNZk1GD3r4tfYD2NoAEbzbDIJ
Tt7UAVTBy8xiLMNMuuKJJBGIK6UlQM2KysizOZnarog65Dh6oaeYbIjG4ZXUfDhGaQaiyXxg7Goo
zeiWkxYHuNCtEacIeq4iK/urYUj09wlahp6ZVBQ/3XKiLJj6wr7NapRUPSgqjscqkhpCB6uTaS/L
uT7RWkvup3iGRIxLRXVMbMF3EDUHjZ81ixr1b2u81pDV/wTCf3gpbbc7Zk7qQpEELai7HAWynE+V
CMq6qL9xJxK3iIZdoIEv+LudmdVupkRDcSIfhdfYJeSY5mniV7KXqBu4E4v20LHInkaE650O8pYe
vP2UHwu3rHaoBiY3tCziRy2axIEJYuE4JCUOEhNtyEk+XqXT3O8KEAO8Z26jeXQSXQiqYvsw6HY/
LpjMPqjryUbbyTChFGN3ADvQyXbueloNIO3OaVj0iTXsS8Zq13cyas0eqK4aF+wqsmoDUzSpQEWs
BibKKkGF6PWU5GFny5ZA1ttOQmYk6bMTExTp82bUZoQwq578uaFz6bt6k/wSLHc52EWq9rUq3Cic
SF2+2zRqD71Ik91E0+adcK09VJZtQ+iwa8ParsuALJsOvo/y0dFnM/MGCqClbSfFA/BU9jVv3eYK
HDXz0YAnvnSZBgmm/54dnL9TlJtbqxBDQSS7TByHFcSGGuvVcF7/dzaWXOwshYwTk/RpibS1bU5x
96V2n5Lo4XMTa8n32TJ+Z85nJkAkA8qUGiZM0OUAEd3V/x3Pg3zDBSwYkmMMX+lyDRPmlSc9Q/6W
GSc5hlomPT3ayrWXJFBNOc6NKB+jJ+lg6y2MgGP3GwQcb+eD5rOg2w0YxfLLb/rh811bTe7PDSpf
Jkkth5vLqgbfQAi6nw/3/RVwV/dkDxF5/XorF13LqSC0pOsMFDbUVedYdEczK7dF4jZlwJMM9472
0Fk3HEKFW3SzW5aUx3GF4CFyCFX7k76n4sBrx6PsYU72xZaezOqrDL01StGGATWFrmxinGYW6zOY
ih7iO9vAULfXn1pfmiH5GW08ltcy3zNbqp+bRhlVeQxbvRE49Hamu374m6OEGVJ0z1BqhN7XpafX
IzNTI0JzvS1vLLfw2mxjDauFpD8GVCq5NG8L5oilxNO/5MOOiasi2rMtHerVnQJiClNM0MDCp7lc
hq3LvGq65YFn7wfwa1SJF29V69Y4Pi7eCOalEULTsR4SvBHAC3oNgORbe7wbQigbsH18zwLbF6k3
vLUn5rn78lfu47p4oYZ3GFC+CzfO8vIeUYPH+XtFeWEKqU0JcaIYRNWPs9zpwDQZ9rvpgnz8MOB8
aaWXTDva7z63uxZ5Ic8HT1koMD88bGvoVxbGAknVmn0FAqe03lLgXhzuw8LOLChHmXelyd0FkOp2
09fS+JkCS+nqkccI+qryh5um97QdN+7F1VNNdcsEpBej/4Zaa2nihjRG/PvTmqCbA52Tlx+cDrp6
/E5+/3wPN40pgb9q7LgbNRhLFg1sebT6XYcbxrF2UhxG+SWiP+Pq14bRxTnVfT1foXLQQW+CFhMI
IXwhPXKof2YnNC98+kMP4nDc5y8b5pY1fDSHhwd41oEXVesQVK8qHmkLfOmhhqRievwufX7Tepis
gc7efbRrjmh1Obf8bqsnuuZAABf+a1nZXbeeBYcQMCrX6a48pr/4tf6jfo339kax9DeT82dLVHY0
dxOJ6X4YotDaeyped/NeQhEY4zEe+5ndWI8QsfXr24U44bZ+2dI/Wa1YQHgPTFOgrAGkTqlYNLZW
m7TEB70pHts7556CY3dfoQINhSLux1+L++lqODI32GIZWq1unVtW4qDlisIViyu1b47l3SFFNvYs
ILZX/HAEFPlqTwbNlfwOcYfc39KwWuvogxDtz7qVyCc1ouGyh/XqdcD77HBn2F76OgTlSdvL3dbs
z1pmsbC6YAgL+AFU1ODnZ6mmbERqsgWrXkS3EhSNbNeW+6G5ibYamGs32LkhJe71Uz25/QIh1+rn
rn4j/Njp/ueHci14n5tQLsm4grvKJbTO9hFkDXtukL/ImwHmQNdy4TXCbPHlbhUuKnjmArYF484w
QaA3dK2NcvFqPvGnZaZOYBhN1uhGj8aUNjvXg5OeWpkERiF9EpvB5/u1ZgoyYGCWBMwBtD7Kty/K
2RF8AHZECEz2AkzEJi8tQmOTc2YtNp8bUr69rsU1zdrFUNOW16jbJaccdaPQbpvm3q4hhlv3HRho
GDSQdaMJ2GztUiaJ31G5dRWuOTy6cYtEKgMkS+WvT1syF7OJR4Kd7HQTQ1jiketXLabRR2OjkLzm
j+emlDiSl2aFOA5Ty8COJA+D2MIyrVvAECVQzVBxVm8hkqYZSK+QQLfNvixuSb+RPa96CDrU//P3
q3dN7jpGPeLvr/KfcRcHHBQvuWuHRJYbvrg2LId2AjIuwESAUlFnQuGIwGzUMOX0LMDUDhIFbWdx
KHeiLNjONrDctmdyGfKkuMZA0u3kDMe56VB87L0Yyqlk1kF/4x4647aLXNQWN/Zi7d49/4GKE7d9
0c3dshed9sVh94KdIN0uCr9qT1V5IFsIy9WtP9sPJZihrIt7SKIJkQDw0WD2mpUTFJkOHDW4z8PA
WmQ+X9jyS86ugBxSeFo6YWExJiLIS6vd6nr4uYlVP/2jUqr66aDlFtpIABTG5jX4pdB030Q3re/X
v0KojuKqEyso6szYrw7TJb7I/O423/HQDquA3XVHLch/yefuydkI16tFhzMBVvVK6GcbvEPLdwL9
i7xt700oQkI58ad+bQYa9MtLf4s9cDWC/dlMVwFuyDx1C8AzAfmTOpiInxt7l6dvaXOtZVujZaup
0NnqVBhjNEDlQLjwjfQ4X5MrEqAMeuv6ZSiPzQ/9h+nZ19MBg+XO4xa53YbLuErwjDB9PFQmXEbI
8lDEEjxF6eFzr1x3/H9dRs19GmJOYxxhI13W7aEbhwJx7qV2uuH8W99LCRxVn9QgP8QeTqMGcItn
571XJQHtn4Y4DT5f0sooDrEWzCkF6Gbp3itZMxReG62bNYyvASVcD/pB092drUPgybJ2WkdeZjmA
2wYqT+ZzX/KNPuPHjwbrLsaR8Aug9qfO3+QglZghLooRPv59EI5nNltsTx+POYFaxG+eW8BqcP1c
Bqu052NF+gjXRBRScayMqxHV7fxtYxuXM3T59rk0o3gfHELTNXQbfP21NEP+Qr6jXxGA/pByoAY+
N/bRDS9tKWnYmAsDOAjY6u1jPSJTqO5cZ8MHV3rai5ElywcFAprby484C/JNPcu5bsB8nFvjLoHE
n8e5a/h2a0z71k2AowckOkgLDA2McTveQl4TCZkxWKcm6x76dp42ftHHU4EfhIIEOsgLDaqKsiMy
Gig6WKlfm7/Akutlzm2ka/edO4CHd/ybY4HzALgdeMJM+Ofl8knfgLJ9IcoqjQhDnRmAHmgJhaIq
qvdesniHmfG7ls/2LXDpN7Gj2RheSzZOx5rvUpDcgPuC4VOoV8WQovclR8j+pJ2LtsxRll9j543Z
u8/9aW1nQbVPAV1evrnKVTcUNemgQJj61BlCc0zxRk4C0VAvJe98pBuPrjXvPbemnJS5N/s4rmGt
nYHENs0wte+rcaMW8ds9P5xH8OWCmwIkFYY65RhZjhj7CB2dsWRDixwxI7rPWUafO2OK97Ibm28Q
fc3FFYRdEBpknACzZOCRcbTtuH4eSYIKYqvZ9JvTcxIArzt3YJrJkpNeTbkIk1lDK7ppWfNcCwNQ
JCdBy6/J2ynkM8teTNaCJqItjGe9pdqvqC7sQ9pZ+osVRdUhbacsiAWdr4WkGYiJo0h4HK3H+47X
45Z6yfqWY9oCckCLNoBylk2RjNx2JTYjG34MIxvvHbt/KeK22EpulmiqbvsylobhNDBlA+hzeWxi
yCnUw8JRVkQD8BbfmwkqB1ez6/ER/MihaZ96aGyXW+jjj6k2ooJLUOnGjDBkmZVntkNbO2IZfIq1
L3P3NJYnHiPn9xLtRa8PxhZj00rJBSJgAAksYzwQTFTT067oygyKJjgx7QtyqJH4ehJEMmwTz47f
SOpzWGW3zhZDx9p1eW5XyVljE3WewcE6nabdS3s8DNOWludaMFiYorCZYO/9wChZt0NrpoBw+Dw+
lM2xGg5TlS16iAWb//M7Art4ZkqJBEnBoUACsh3f4Zjq5uzgWKmnZ+lfhLdzM0oo5zE0Y2sBM5FB
vXK8H5M3Nyv8aPopgAv4PJQuH0D1f+g6YBjWBaMXZcpJWzhPm3xocdKg0uY+urHrudZDHT11OsiR
tuhOzTV/YCApwhQxAWZYrdIbldZXNVkuaWjqtIbnlk/mjC8XatVDE71C1V6jNx3/NhV+5hxI8qsp
b4Vdgr927/RXOv1Za5WXlU/pfMhZIPOtXteaM53/PsVfWdWQxOKIwgDfxbrXoxRqP5Dmeys3bsqV
2jMBEhNqXwtnlwHs9GXgIbXTGMLCTtSmgKTGPp3A6epVovba5KFiUyAM4iVtHqZF7XXp15Kg7ean
1Q+LnJLxNXcAphgxBf4w8o37bjWTOv9pipt3ZklAdo1NqLIrNNGx+SEG1uo4IO5znO1YHPTJoQC3
Ac+CfEt9cc0hERZdECdi2IupY8rJuEwJ9jnOmAk5d9O+z60fLQjdEwPb4JDduKV2vvqgWOrvC3cW
lq36ZNwzOnQ2jls3ha7zQHiQd19y+1n03zr3QYINF0lxwzcO3uoVZ0EwHhonBGBE5eANqTlZGBFP
/UEAGWwsrA3JHavpRl6xZoahnAtApIUWsfpeqSow6YHeMPVnYI5ByOlF1B+22K3XbrNzI0taeJZ6
J03p5iCDwFqM97b1rHZvZzsingfrkEV35hbr/lqWeW5uOcRn5qpqsricYI5Zse8wj5LbEbKj7tZL
bC0YYOIADD0MdKIYlLm0000aTnCBy4skPSRjj/X8KACqp8a3dOtVu+L1yD4wHL/U3jG3qXgDtKHj
TFKYkvET4zUUjdEYKe445kSID7TP50F/5XtdWFO+1xCbPNVGWMNU41wV3uAKSGah6WV6Gf0KQBZ0
FP67u1+YVL5ZDC3u3Oph0qxJqLddMBQ3+pZjrHywCyNK9J6HOI7qJVPnQ+ZV6Qks1thWD5Dcvto4
V+bqF1voI6BHgwFiVdwpy2Oa0mnZw/RJjscBlbGcQO40sHhI82cZU1/0P5v8p2TXEZjISB0MlHlE
3znArMpjy3d1lAZGF0Iq0h/TDlNCOyRoCUg8xN3g/vecAlMIf36usjW4bv4PZ9e1I7euLb9IgHJ4
VegwHSbHF2HG9ihnkQpff0u+OHY3m2jC++FsHMDAVJNaXFxcoYqUaoK/36Ki50ARQ2nXVvM1SHZg
/bxuXZyU2jLx8BeLCW5bG/KT8xL0hc1XZfid9JqAY9Pp3SzeylPQJqta2ztKoFZ3PXLMEyja1AfH
eMuLeF2LbnTebXbya1SWIwckC+Egy/g1DrYZpd4IXFWekcluR7foYHXD4Y2049ow7srCH0bRGBzH
WQEew8umhksGc4DnTgRdjlo3LpF+2NyNzpM6Y663uhljQTzB8fOnMKwssjSHktMlgCm7t6Qd/Kje
lE35Xw7x37WwlSVDl+IRWhnYSumjQwMlSQJTVOLk+aZF7GORDLRQgWQchULGIUdCFllR8ysPt3MO
Pptta6HNIttV1ev4ct1YefsGehY8AZEzgkoX83nkXoZ0VTTh3E2BZG8M+3EWRTQCCPbT1OoACt0a
EG1zyKP3xgykUnC6+RCmo4I7B7kmNtWEPuO516QB18e8mfRXOd23IqFULoQG9TUZKUkwADHfJaaq
0s4WVkHHRwh8TdkeVN7XvwWnrQZ0qScYjJOaDAxFYP4F9tW+zR862FKh22z8UpMPQu9zXIsGKQSY
/GXh2YhuEzzI2axhU/dEr6DO4RntNoq+E6RAtM/ry+LdFOAw/gOxeIiTcCVUZLsAiSp6dcNgkDZ4
0xh+Wh5nJ1A7QTpDtBrmIzlTlMc6AZQDVspI2QzJB5S/ri+Hd8meLof5SBmZhk6RgdEkk5vkrm69
THbhOspOE7EO83znKRRzOBWraUOlBtRQ/VCkm7z7rke8u9fXF8RLjiD0V9RF+QtBMvsGntMBIzOY
0PYmRHcYCcNsj+KGhO6sxvRCtcXDuD5atraejPAQW9F93AhmEXlO7/QXMCZSQ1oJsvb4BZq9pdMv
kz6pGnjPb5roq7JXiSxa8RK5Mq9+0OmgjAKSuoUGRTs3SerM8TgoBp48LeZtYjdPnq0qyMObUZ/d
0XnVkEHu8RQX3B+/vekFLvS9ccbRRwKZrnNcq5CmNqxMUPS73Qv5LALtS/PjnxXUJNxkC9Ky6Gfs
Vq/9wd5NAmzO0YCsH8ToQCSHMTT27sravgnRiPHbRdq2X/RrOgbXDYnzFaFXucySYubdsdnG4rqw
6rFJJLxLmsTr7ZUpr2PNBWezayQ+grxUlL3knI9TwN/+9MSzmCqGIOoxhNnoqZtjImhOtjPZp5qg
0Z23dycL+/2CPsGhchTZeuHgTQ5+SttCCnh0u/8QXJwtRmVsoyZGWSIk9mJojDqhpzmvg2gqgOO7
LOhROfailwBLWP79ZCGZKc2FlsH+QEK77yqCadJ01w9JUC2yyDQV7BvH85/BMa4ykZDqkmTYXK7+
zBpUz1XFzaUA1JA29lLUKiNCY7xlaxAEOiXQVNNv009IC7l6uxkz31DvM/J93dY57x8dVUp4PcS1
eAGx9QrLyJ2m79EeugMj/JquMMK1nm7aLQoLW8eTnhNPv4320Dw9Sh9QiAjqdbr34XDcLogEta9L
8zz/Kcw2y3JolsRCP6HVNUiKgXKFumW1ur7gy7MGEEyvgjMQ1ItoWzk3HWMuUHUel3ZY8KnrxG8w
uFVYD5a0vY5z6USAo6E/CHTlJnj6GBNN56iS6wQ4ivKdoQ8Jg87NqwqCEoohE2vwYkPwctCWg3Xu
lM8Rme1D/hc02iEQtdsPNOG9dcFjuk3WJHj64bjzW/Lwo+iCxOs8cBbUPaagk33t5jfVY7SaAy1A
hm4tKuZentPzn8SYci4PlQJWOWx2GLTlhjo3Xf+OiVThWDkn+XeKhEmX888Kjuh6KBczNtpe35pg
X9mgtJWsrD6MDoqWpqvEQaNlXbTVTz02o4dYseO1SZzs6fp355ADn/8SxsDkSYmGYeEyH7wWKZkg
9pyg/8pl927yMVLqJzg6O2ljCQ4Pd6vBgrZwpCDTxeYhw9ZptUJO0GDXHDo0v+XqvW29j4bftAJv
yLXsE6TlhJ0438JI5ba0gJQNte8gsm9MzAmDzBwzyMMr1e91EdUx98yeIDJnydZDCN9rQMRMSTUE
s2pBPes2rP9D8R3fDilkFG7xykdAdb40fYxLsKEBSLa8xPQMpXMpjVwkWlvyHeoPcvI0OkeI8F23
Gf63+wPLskCBFy2NTFDjepriQ2nIBQGU6QSlE8gi3lmui/27QLbpRolasysqIEl6YOSHYb5Tprfr
i+G8/s42UWcCAEWSaoss3fidQV2lCgoUXvu5w6x6AhGuZ5q60rSlssAqRStjQmE5sWQ6KVgZVWdf
gorROH6Ec/LP0ef52vRzAwmdsjDqxUASbRenjwSUnJmI1Ylr7bg2MABjI1+tM9Zet0UVzg4wGsMt
59S1oW9FFDdGFvT6l+Ka3QkQc2FkTtmHynKQR5SudOlH1BwcLZhbtxENK3FcBigw8U6xVAU8vRbz
caSQ5A5o2RG0D4FR3tLE761HWh3RzpJVvlUIkrocWzAXwnCw1GlLXY7ZwTTWImpnCZJo6d5S7nLj
rfj3CBRVzxMIZu/AoGymw4TaWlbe9epdS5+bypunW5UIrnVOqfUcifFJY4M0TrX0ULRv2afutWj8
c+lL5A2raK8d3WbwdDf+vEEMfNvdaKn7/S1/iGg2f9OVMrEFirxwi4ib0EPDplcmG4nRkaAHSlFc
jbjgobgBv0buZi/VOt+VsTffjN9jt1IF541jome4zF3TEBRXLQpcO7zL5ce08Wzb0zXw1E6b64eB
57bOoBijgZCObdUm9tnOv3vpzQSBo1fVk9uRg9K8KOkhColgdZyTfgbJGFEu6Xppp1gd6jaD8jbL
69bZl6IeleWvXPt2jAHRKevmycbCHOXnRD9BGxA6D038kCebUBWcPO6KwJq/JDCXYiVz0GUydDEo
E9Cfgow8RbE16cABsddEjPncE36Cw/jhbKCqlvXAieZb1fDD+omKYtflT7DbBoOHB1nq+wYbwJe9
HVdqiGmLUIW0lPytifLJfAAMb9rgB4I+GvNdNBvZImuGjjqmf0CHqj7OhkgNgwuBNPLSUQOJJnYy
LYsVY8CiFy/1s6ofTBAsXz81vO+95Kn/B6Ce34dxr6jjXBZIuxb3Mu4pNbu18odYxBrF+9ynMIxZ
tWlDEbVgHXG3ncsXq3HTUHD+eZ7mFIKxqDjqonjMsBK7epGSdwckoGAqycBunosYxLlfZWHbAz00
xnpYNkk70welk9GoYCR7va+9rmgEn0WEwCwmQ+BaVUs3HJgfNOQFa9HsF/eDnCxh+feTN0Db16hi
OejukEBKrD9p0+ilIl5yLgYaBxe1XFTX2HRuFM5lk43orKjGW0ny7WqvFd/XzZcXl6Ch4g/EYt4n
y8hbcGfpNSDq6QhGGgJONfQS14dGAtNUA0YbkXArzxer4D8Gg5aDahF7j6JpBYP/Gipv8bRqzM5X
QdmUT75k7uGfG8jrXV8f16hP4Jj19RjMsYalZmq3+0HZJNaLpflTu6lF2mj8b/V3XczlOVC7ockM
IDJ+mOm6Qb1CxE7HXQs6YBbN26XDjXGXduMUUOVE5Vurn4b6OYm3eoQ28Mc0FURcAiCWbhQaIaQo
Gjh+edrQ4gkvmLz2KLprzX8mkkQo9XdFLCN2pNpoake/t2fGr1JeuRC8BsOnwAS4HtpBUQx0mJD5
ZC1OhvRfmtDFxDVXR623tX2ZQAxd8JbgepwTGMbSlD5NlTgCjCrfS9JbI/nXLZkbnmEaAJ/YXphT
frcHnBzVKjXTMlwaHJsZjDlSvLPTzNcSdaPEw04ejmNZogdWLRu3dDpBqYzTe6CjQx0FPtAQITXA
Fk1TkKBZdj/DFR2VXbFGCcCXJRcdUmttdMMAj7RRAMmZMjyHZGJDeArSpB0g1XW5TR6eym3Uucqr
4zV+/Y1M0jo+KvfKh+ZJfiu50s/r282zGg1hDziPUUpDwuDcMfZa4UA6C4dttG+rLHeNdDNIaOXb
XofhuQ30jy7xAzL10PA4h4l7qAB1Nk5ApazV8BedbidLVI/gpQbxGvsDwvKegDGLNIUFEIIJtwpS
E/YhBHentXYMT0HjVPmQOutOxBLLOxCnqEwaMJo0dEctqF25S8AlXOuv1/eO+4ksHAScbdlB3+/5
3rUqneu5xoHoR8kknm6l3VqDKjhow63MhBoJkZ1CcAp5rhGN7mhwwxlYwtZzTEx6giTNHPGUQN+N
1R8xeEDtJ3S601BEG8szjd997igcK2ilW/795LybmT0lWjGg4RH67Vk9gKsO4aX6cn0TeSiY4/3f
JrKZN3R+dZm9bGJTfRbWtrHfCVldh+B7rhMMxhKagYZNPQNDMbdQWnGH1kAT7l3e380oQXShD7E9
WQ2uoy5fgn29aEgfoRMRo2wXjOWjNkO9zgQoJIjKycWATUrdrpYaD/xq9toYVNWvQWl+kPoQWfmp
UNbXfwDXVOCqUYsHFzOa686/X55LtkZy/AAdsWGuBQ28SAi9Fyl/UUtB7M49CksJHCUslLFYXSK5
0Ah1HIL0Upv4c1oGoHxrXPBFIPA1LMGFyjWZE7Dlx5wY5lyVeTg2aGaQ6ztQVfbDcyZireXunbPw
QKGDGrU55phJUWzlkCmDxTTluskk17I/kSnAMAQ4yWNDsCCuqfxFY6d0G7Pp0T2LBU2J/hjb73P7
FjnzPUooO7m0Efxg5A7kSdfNg3+/naAyp6It7UbP5+V838qxFz2U1FvySUcnmI+Jl2yjJ2dtg2XL
H/w4CI/VVvR05Trokx+gnn/HPGokNVLwAwrMMCxxOBWl9TltErjDTyCYW9SS5EIaU+zsuFJWxmP8
FMc+9fWbZl3vIFU9x55140Xv8lvrYgRW4Hf4RgTOH4ws4rnBpvqLogZzYgxwPf3WoJs7D64Gepzy
2RBNeYmQmJ1EbXyMu+VEEBkzmB1EvjwtuacUzRPv161Gu3w/IQpDFGvh8Yxee1ZWqY1SMG+W8vJK
lzpfIlF2ExuVDKYoJ0lf1FCe320nd7aJRoZNqk+Z35J+GNx6mc+O+jl0mzmLX8u2lu/KUE1DXx56
I99gtpqgYRdawDflqIEluppMzbfUuP5JUhoNvioV40/oS+i/4hCNr50+QoJySEz1y6KtsS1BTrKb
IpuMXhihv5w4rfJU93L2HnYNjLmNu1VTJF2xl0riHDKZVoJXC29nkFs3MDi19FuyOxMRWceEm5l7
1iQla8mc1cBsnG1dt+1W0ypwlkJMxZ0qnQqYZjjBMe5PSCBBiBf9AxcTMElRYwjKchCp3pMXx0Uz
kOrGvrydb6pVBZGEp07g7i9P7jkgY29GtUx2mwB0uns0friWKbg8L++TcwDm3PZ61NsS7MhDYg7T
QxUo3EIwGKS6IJy6vEqAg9GhpY0F/4dtWpUa2pBEiQoMPzQBIdmxRG6d0FbwluBk73FqcI0szxcE
bmzPVK2HqaNXaBNLiTcE9arcIJeSevUOVM4qKPLgEcq18hi9Xj+tvG08hWW+U572ih7XgFW6m5l6
kvZzqg55KHI/HP4t8MRhvuN3VIpHM3OVoK2f9k2swx5oW0KTMY7pAcd8+E6I1G1knSAxaWb1+GWX
Org2xgFPYUh31UFIQummQn72Ls8qJKt7tBU9t4me3TW5RL5qR/p3rgjMOYM4Hf8xlxzQ4kpPgoey
oNCOyAZwftiDn0hwT6PgIX7pjJcxQPScgBETQyhs3DzEoLalLWxKnbwWvfllQImKLi/qtoomwOJ8
4IX9C+xEyjJ5y74SqazXOQ3RKAd6XFp+tONtXwWpaBid933PYBZ/cLJpdBiaMZ3QUTatoQ2fu6pX
PVi7/Da8ww3zjUJDlrjqCmVlvxEUldXFRM/DaOwmmkeQOkeyzjYY09JRZAizDCtUHo1H/QZc5UH6
pd9/GUe0BVAv29qlSzZT4SJiQafnJgXnpXv9FHG83dlPYE5RZkCb256WTS7fTfuQioZhOe/j8zUy
3i6VEwr6bQAYP7TE7UP3/zUSEtWV44B8mYLeZs5YyTke8znjJI9pGsNC4y05VKZb+uF+XuvEnW9K
V7mX1tMrcVPvRXsShQ8cCpxz6MUhn1iSJOVarqtYavuWbpFWsX36qruYnFIWQ/L6h2z173fV2ddb
jtAJYjzRmebJ4uLH0pWlIBpLwSEU2QfjUlI5NftiWVOpZluTppuqFqyBf8z/HoIl9DhZQ1OD2Xme
sIamjFaOhoLF+Gr2bi8qVHJxUEkG7ScS/ojyznEMqtQxLYBTKPczWNgj+7PXjlB0F+wY59qFMPFf
HMYAQTLRTY4C4qVIupvooRteJSIIVPmH6gSDsbTMDNVupMCYo4c0zMDmG5RW6kYDpHoPanuflFvZ
+Zz+Q+RytjTG3Ew0PUqJvTgL3SNG59VIIDbhQRN9KtEWskYXV1PvECwPklxGfdtG4MzP/OuOT4TB
mN1UzWGhQjMCHFwPs72pBpDsxQLnyvcIjoravmyiUMJ2shNbTSK9w4Y1ToQd8x0UxSe3zUvPkp8n
JE6SlzZ/7MLSDZUK89tPkigI5OSH4JQcxwTfCuTNICd6bvZV1xQdrWD2pFlp1j0tVqUSrcbGCwvH
lZ0BzXX7XNQGy4sJwbq0cAXASpGhYb5gb8RmOyWIcVt/9MNt/TUXbta4joeBk1vDqw/yA0igROR5
vMfCGSzzUVNJS7ELaJs219aKbsZV5LrtbvTIW/PY7ETMsDyPcrpIJpFimdk8tYqFxFCxqfUDqh52
57ciVePlN7NBwgmKyfSetk5hoxAOFKN9K2tfnw82BelzBz8JmZC366eCG5KcojEhiSI149yoQOvc
aD360IX2QH9+RAiUusUa0bX6Fvm1Hz88ajetl6f+0Hroubv+K7iX+OmvYKKSaiQ1BElgPjOajd3s
MG86L350gl/qtluFbruuIQaw240Cv8rzCTitig4awKWpmrHauVayypYRCuat37bgWLA8S3oQrG05
cJff8y8IY6PDrIBSZ8La+hX1jQ05Fp70Weyh0eLS9bBBHloAuHyya4CMmZJWcdROAaC6VvJVuB6f
ovvqbZyRMXZlVzRfwN1DZElBwolKGhgzz/3NgByA0yzxXlIieN73KO2IXpx8CLwIwJiFRI3FLKga
2nRIRrg0HXoDaJIbswhjuoJrnBf4ONofEJs5dqMdW+kM1V0Q5j+FpQTeUhF/oWAZLLfHgDfclBa4
gaQGc03K3iQ3oehrLBZ78e11kAGbmF1bdDzPv0YxWbiXhhSrUPby6BP6Tq2Vlm2n4UVgZdzVQLZr
mYyTNTBWnCMRLbWiKcTZId74o4eLKFxrBZfvqo8YN/Lq+9HrBO8n7vUKCpA/mMxRsku1p2YEWxtX
+jcUnwPbn9fVPj82WxC6r4yt6JMtlnW5nX8BGcvLjb41LQpAeR09FM/JPtuOQe3JAh/Bdfl/18XO
Aht1EptDCxi6slYEdFwrA8uh79c/mQiFOalpGaPtvVl278fsR/fhHp1oEP3ZXkcRbNnvC+ckvIcS
SdjnA1DSfbiuvPi182mAyQlBayA3zjmxBTbOIYreR+kIHP1ewdXf79oACck3KO/dX1+QwNB/d9Se
LAjjAQWK+AAy5c0c+lG7DdXn6xC8+H4pa2HYFGqmoNZn7IxUPZX7RXNbyd9r6QZJX7+CYpn5EFor
21ln6rclrypL0DHCiWeACsIh+AvFwpj4+RE2YhKaC5WyF2JoWwXVbhJC2gj8/aJzy7mRlpgQwhKg
3MaIHWN5Sk7yDmqwhdeZJKi0xg3t10p+G6rRtUIlgMowZKcksu4gVxfN2df13eV49jN09XyZNMtk
yU6AXmFAsbSPiiivw91HE1kd+EKkilnHnlu068FYjuUhvM6k73F8kOJDLArtOYYIgL8wzDr6WOuT
1gGMFu3BC0fjjRGu/sNWnUAwj4dZhR4zVOMK9PDP/tDJbh09XUcQLWL5WCenSWoxM6Ite4W6C6Tq
vmOKvpdaMDjNexeYC08UGkEwpH1R2EEXSCahVanw0ghcadDeA4WiW2puWR6R0gUeJpkwQ1JXzyN5
Dv+d+Ajz4ifoi72crBEcizSVZBhcQdN151iPMm12SytKpJlB2+V+CoWV0haJLnPu/jNY5kZO8jRC
XhWLnrWHLtznxmFU3rX2Q/t3BW2khC20U+g6BH8veueKbkCzoWylXgKFTDcjzbEwJTeXY4F/urxK
wEnooEFvUf+5pEo1etL05WRCravsMFx5qMfHoZm8QdvKmNPGhOEgKD5dGico7xYsEI3hFLCV8rEu
TCicWWB9Riuq8pzFD1L3/q/2fwbBlscNAo25sAJEbZB1q79pxPS7yb8OwgmUFhQH0rg2YlqQ7pxb
YKg4PZJfoH2dFbf4tmuv+HbcetdpkMp2rQ/pYD5mfrW5jnrpZ89BGbOfMKg1DCNAG2sIzLTzB1GM
znmtAgKNXTAJxcZAAHORLKPFcdKABbkJyidMF3vFKkVDm7PPt53pVl650dDPva69+8F1MIDs7I3t
9UVe+vrzX8A44UKXzFJO8Ass6tbS1lADqqEVhr78Mwx4pJcqno1YHs7k/APieBXUIQkWSJ4NZ6eN
4LJ+IiIxeE5LgQ1mZJCQGCp4dZTf7/ITTyV3qtMUeYFcg1s8ZC8KdaMgVTyIGrvJTbIO/dzVoDlz
oEG0Kh5BFHt9lQrnwJ3hM3FPk89q5yAE8cjNvFL8fKW/K8cJcz/5s334aa0/fwoALx/jZwtmI20i
z22R2gAMPwz0Tsle9kJ3IJwMjANBW8V36g6iNV66ZRRKnd/NzHCaEPQ5/5SpPEmtMcJiWl96TO+a
I31MLd/cm+gRcee186F4md+A2cAQvis4xopU5NKraGDeFT2n59CGNEH0MoxgRXmYu9Adf8hlchxm
qdsqcigJzj9voadozPnPLCOdIeKzKAJApk2vP8cyf1Kjd3tWN1P/ff1LciwHww42aGsRt2IWhd1V
CNqGTYMP6VSRN8qf40Rcs368DsLxaKCTh6cB+SdGDdnq56iMfQUtVbyYTJQZXMTo1j1CQFtglTwY
UFriTkV3Iiqt7GdK7CK1Fp4mEK/7CQIWIQkE5yb9PWgHihWwrF68L6bYKZSGon3OClfZ/Ba3g5sm
2xqvDGUFfkiUWwuR2cucowZPjbqxCReGqUnGV8ezVDhxhKEOrba72ZX1cPKKUA7vRs2CfVgxagtu
bNS6Z9mU+M4AgY9GsZF6QTEAfK4SylCdpw8SaqDJ3A3bYZD0lyLsEMUnMq03aa1ls081BCJyYfbx
mgw5Rp4pgpJ91w5kj96F9tgoU0R2tZXod+ZswmPP07xS+ynemWohf6hTZe/GxO62BAacYCKxQEyj
z7rSeCZqtRhfjRzzu5CrESK59vQFgT7jvurC4jGWuuy1zmyy051sXBnAuK/tyNzVZanGfjE69EbP
TfONNnGzVrNF37cwknL2O9pIhyqxqT/LeRd5UyvTz6W1HiOPkYLmNHNGxNMOVnE3lG0/70AQPoR3
jiRrt+no2NQb0MHbu6DQr7aWEU8vNWnjlZVQtORXSq/6aAsw1xCFwshyaGPu0I/IlA7urMbSba6W
8lvWzOF91XdJ6IWW0WwLKqW+XrSKedOlJXFRoIvLXVln1Q0+I8SdNSebfqmNWhXo/cqKpwSEsCgo
YHJvVXZd8t31Ta6uJKstkRa3LAJBkiYib1GaNl+qNdffNLbTL4yMa0EbER0D/mWu7fW4Q5mxhyS0
wP54/gGsPiiCLLM+qLefu77ESWA/GVq7sJO+ar046CSLDf+6f+CCoBkGoSKwMBNxDqJbeVIPYHv2
JPuedquc+IYmgOC4cCRW/0Ko5xBOUWJzUjRideNHZph+Smq/LQe0v4h6KEWLYTyqXJGqHiQspps2
SnvTIdj+9xFx20ZaEjeShWFnjF2cLyahk0oRe+M+yiAkblSrYm0+xpjA0ENRw/Blsgs1WQhZ4v4D
Kws4LBgowMRSg5k1tZg9HVT0qtSv51ReJxiRC2nxK5VEiXfObDUwEUyBNR5tmljhOSYtmiaOelwX
0iMqNuX+rfKs2YVC/NNTdKS7xDMfjWMGYR5yV3zFgY3oVY1c0YgO7zZBBXDhV3fQXM/WII0wsvSy
gK/XspUJvSEyCsM2nlGeQjA3vTaEY2X3gHDClUFc9TB5XyisQqfqzil97b7ZJns0oW5FeVLR0phD
XZe5VYHYHTOuIPaFdpM7lILwXoSwmNVJQNxPCtGn3xcl3GuXHEf1/rrL4KQm0EEPVnobjGDocWRT
fT2ebRXUFRByV6r0YVHLei8hAtZ6jQ0de9dBF/8KUjIRLqHCpNBuiEOQTfeZWvyEehQkH/qk29XJ
QBuBp+Et/TQKYc5/HkHKPtIRhQzkWcJLwIwFjYM8qzkFWH7Ayd7abZ9VaoNxj2ZQXzIVveigezGm
+qZUBUicSPTMzzBOc6zkIpskFDXDOtmAKLTMURzo/V4+xPG/B71nUMyujYoV0SxEBboaQ783Ex9N
/Hn1Ap1Uv5REctg8p4ZBGQwCgcwDFBgMWBNVlHQO/OdQe0kH3qUYHG8bUPW4BriGU9GNwPtgp3DM
B+uUTJ9KCXBTgTYu6k/yd0hdmr8IjgRvWTbKSGgcQN7FYEnDqGO08bAQOpKABNbGefyF5qAfcJ0t
mgigaruWN8PO2dRvg+OLKjy8Ww8xPrK2kMC4bJo1yUiM3AB2jPlstHbbaABU5iq4vkQBCvvsnMpI
NpMJN0MKxUk7vjP1B1M0GcT7WicrYXMjxdzOTfabs7Q2zPWgZS06P5TDDG579AuF6eP1JYngmDOW
TOAl73JsnKb9yK0fJQL9OhzdOH29jsPLEWAU588XYgs9aVPYivR7HOfTeZKRanTnPXJmuAT2VoBO
BeraR7Bhfglgl3rveekPUzm4PnGdo+0Vgz3n3qqFC2lDoqAmh5ugMDzHeCDqozIhi5v4cbXqJ3HL
GvcgoK/aWBIFqsoScDoxpk+jSseeVmWNbiuIOxACWqC6CJT2SNE9JDmCRn+eq3QwNowlyotEFrNM
BPSDZg0qYpZBJ4Gk3RkZCV07KeVtbTdvGKUTNUlxEVHGX3qkIGTG8hWYpNe7JkOcWU25hUYvBezE
2ZAoH2oWSrHX6E2Yr4uRFIKiAOd+czBQAC0WJHYx5sjkmvCJy8wcULAuY2NbkYMVNuvrNsM55Q6m
ehdFUgSAls64ZwllT1snqOLJWVYExizHvtl2GOlNrF/XkTjVz2U6AnLqFqYTMMG+/JSTuzQp6CSZ
FBzpfb+GVL0rfTrUB62iW3qiRw7nAJ5jLZ7gBEuaMwj2tMCC0mNxLA72z3hl+mSlrtRbL3bjg/wl
C74VJ4F9jsmYJfQVJnXAYfOqIH6S15WL15sPnixPO8TH3r1BD75gRy8/3jnicjZPVykrI00JeNgt
tA7/kF+yyOvdaQvGHt8JwkfFy2/I9t9p9s5BGZscOhW8GtOyTOdxlnZ67Q2mp/WoDk0iFQRO4HmG
pTENLlVBDbMfgSWVYNuUsbBFJ/6x3KX+nXXfPUb+9R3lbigIVWGlaDq5mBizdVqivCOXXksmb4aH
SfWnZhR9twuXib8MVWMF2nJw13hWnn82qxyQdZxJ6eHF47ahH8cP3RR5tPIy40dMRcJIF7febzh0
WGIIVgVVFmOXU9TZuWpBYi2NUPGixxokGzS5N7J/fiovQIYK7RkkL1C2Y57Kc4i3slwAqMtfjeIg
5asWeS6Q+DUgibv+obhbeALF3ORlPTrWqAFqkvZypkIlkAR5fhOp2MNsb/xzhzmzMsZLalAql512
2UK5WWVxuAPB5eb6ii77CRkMJnItwM6Z6AQYo/PZaPeT4lXx6NrTTZ/etPMqGzwzdPN6g241yZg8
M3kenAezv0OxEY0IT4Jfs2zgWSjB/BrGRlOVVJWs49e0FNTaOx1EhsgquwuhVW3uHAy7q/Kq6XYx
FD1F8vOXrSULOPLKNujy0GFiMoYkQYc7sjsc+9BW3zPEgmozHCWw+NhKtp6cygUxgz+2H6WT40ER
FqJPsfz9i8Xb0LpAk4mKci7zuZHvmYZEgl8lGFjXNAwOSSjFk2fZRJWp0DYSurBpEX7qZvumy4Lo
5vIewepBVYI0EOINEP8wq68wym3mNlZPh9cB2mDgbcfoIoTgouYldNStVVlBPWYwjTGIjOxtGMog
NPs9WBNFzBE813H6U5hjZoSGNuY9NqJEKTaKA9n5peHubKL/suOnQMyO93YBquABQI1Ve3n2otlr
Va7drnoykWeX8O6mnZvWd1rcCzzJZVjye7uX+Ad8bfIFy5kDqWvaONjuJUGj1YFh/tTk+0IJ0tEI
svQ2no6FiJuAv69/MRf3dnJxzzpOFoGWJZQHqrkJ1GTSct9Mi2Hd5sn4Tp16eLh+oJe/yJo0Fvpn
lcytHc9JXdAlODH0n6m0y2pXCis3Hr1FQjWfBZt6cY+e7anJchGHSjOlar0EJmV1k1Qd5AxD+I9f
19d0EZUzKMxBoXNLcn1Z0zQSqF42G4VYhzJ5LBwscxY2KCzGfrmF6E+V5UVlhaVqycFjVhEZwYEB
teR49mT53tBzt7aebPMrHby8goqE/laFt+Sf6R1+r/QPNEvg0o2SATYQQPfNuBrUVUGIX4ADMhFy
N188IRcktK/Y+GgoO7M1CKsdpblVgVRUL3G4aqFjHx1QyXEV7Qad9NbszfQ/Hf4TTOY0WPOcl0oF
TDNDa461ymXdk8K9na4kY2c26zkMTMlPlM/r5nMZXTJrZc5EQm2J5ApwMZTqtc627Y+GCefu9cO+
IJhV6/0wX+HdjPHRUCjByfUBSBKgdqqh2M5WUJUunTKn0EvYTftMhvQ+GQZI6L3kkug+5Z7GE6Tl
l5x4m36kuTwOQKog01WDgUGjEK6SyuD6fvIWtLwl1UWiD+USZjsrhY4SdAGwIAk1DCtNI9eO4EdL
Xf/IFCIYouSigYcVKj74H2hZzxdlN22hQPcbTwMVIVOouU4fewXEN0OdeNcXxts/5Pn+QDH2qaHK
GYHioUS+rWj9TOsNN7dT069NY30d6fLdCpM8hWL20DLKmNICUFW569QP1bkz6yNp9nH9A3Vjbf6Q
lRcl3Kj0tcoelBGjgYJfwPOpJz+AzfqVI9rkMPqP0Kf6WRQ3sr1XdEgTqndFIuoy4V1Jp1Cs+25C
HdJbUeV1s/WdxS8Z3uqVSf0aVS67jldUzwWL435IdJhBHkeWDfQOnduMlJpS1tEQH7I0tk5Hnkkd
+w0N/8tBOIFZLpKT86bZcZ4oOmAQRe76Sl/NgEhGY9MWqqDdkLOHmGQAyzMaUCH5ySZQpeT/SLuy
5bhxZflFjCBBgiBeufQitTbL2vzCkGSbBPd9+/qTVJw77kbzNsNzJsaeh4noIrZCoSorM/nvchkK
RXg2lrnXq2mFhkF2HzWK6tJqCG2AfauVeOIsMwV+DdCQUOSgYR+SU6djzIrWDNM0zFESEso3nXDu
tgRu5fJ5mLe7dOVCThGNgRCdQg5MZviaSt3PUx0P47R8NltXFYdxAl/UD4uPNkDgtrbWtnNeD8W4
UKxAAx60MlGIlcZV5p1iVqWaO8IqbB0t7knb2e3EnLFFPhUyoJxMniCGHVNlr4OUnLHAo43YNqDA
q4L+VmTokjJB0W+y72qugbs82SY83kQQdi8y7sRkrUt0wRPik8GVjmajL8zP6VKMkJkrh0IDkrCu
3cJHNDJL6PxMm4fLi7G014CER7EDDBqA/M+u42hbsy5TRNwZuTM0W0qQIgz3Qf+dxHgTNTuGc/y/
mZO8bg6RNpVNs7ngKQc9tMZvo+4u9J+yvrPTf/MMoCjjqKiCQ7UERJGno0uLUgy1auZQ3HQTy66Q
QY9iza3Js7Dsmu6n/Cb/a0VFbDaGZYMcC1wSdCtObQakpUOY9LnTVW6jI8ub/MrG7z30qi9P5YJT
P7EjOaQg5b1ZajhG1JoVSEzIOEERS5ucpFjFUM0vNfnIwrNCOoIAQoWC3+mYxmCoKkPAFmjnB+Ne
GRyCBzSBOFfT2ZRvmObmxaYCXCzSoYT96/JIl15z2JwwbaKfGIL00iZNTRaZ6Th8bdJG/YzLH4xu
SLcruKNSwIDabTKsnIslV3hsUtqoYeMPWW1iFc26cqaJP6b6WkPm4gIejUoKC0JTH3vawYRShoeS
VhslKDddJW5onLx04biCKV9KwBzPooz4JmZSF1aDWWRl/7MKwWit2kkY3CEHdlXo7aMSWBuORGVj
vNbW2uNRW3honViXjgXPeTMWHKMF13VcemUEnqnim9L+9INnKzzkxaNmeZX+vVgj2F16EZxYlg6K
UAjJRguWqzJylQpluyY8UDO6q8z8qS6Szdh/G/VwqwSdG0ePo/6sdWsCyquTP5+wIz8b6+aY9wUm
Py5/Jv5DW/Zuw500uutKJ+n22YS32Eu91oW5dIugSZEDnWoAgyRfteMYqENmwGqoQZzokdX3fr+J
1rQ3l+6QIysy22Qc+W2uUFihBu70FrfrZtJ2hP4gM3ZwJYm5ED1AIA9qqHMHF5o+pFMj2AjWPvCM
QUPyScnirVk8j1x5rNTMVnLzEFFgtmm40ji2YlR+qoNLVlP6Bka7HP1wT9S/hn4yaEORLz2wQNhm
5l52ebNDlRwuKBNQfyUWEpbggTrdLihj8IBUiFjAGVI0xCbVfoRg2mUjC7vjxIh0MGhqpn6jw8g0
3Dd4pSdg4QU3REJXbqq1wUh7XyiWlrNitmN9APELXB8Ku/XKYBa8qTmrDcxvVBBeyFs9K9HZHjME
TCjoGsnzTHQ/eSONkGBcW5zFedMN8A8in43wXBoPJ2i7yFWYKvy7qftV9o8seKTN378CMKA/VuYb
6shjTDEqSokCKwpDojSxS8szfdDFvgV66fT+yoZbumMBTtTQg2niTlLlc1VZKCmR2RxLwXvy0aM5
Eugokz6waaf1Xt9ulbV9sbRkc00ANFso+SNjcjpCmlsWuDIRDKK92RUBMGfMy4PbyjqUhlgZ39IJ
RtM+jhKIY+cuhFNbVj2rXliwlaeQ8Iz3XHsK81cL+l60+ZwABYYH/vvThe0BoCkCpplc+NTiWJpJ
EPWwCPS3DTpaaFMFBw2NuyT5a3wUGgOOTMnve9QcYlrGsymld+Ih3inkRaeTPeXWWh1jae8zHU8o
DlQnaoJSKFajq7oYApo7Y1MlPzM/yD+sQlNee1IXjzUjPvXGPAmuexomh2Sa2MEcCdRMNY2H+9qv
WAzul47pD0D6Q1xeTGHZuaqedivx28KdZCJ+gxyBDnJ4UNKdzn5Bh6FuR5YjQk2wkTdmfQ+RYzsB
Y4OeQ5ameru82kt7GdAV4DkIYn6gLk7tBWZbdEUNeyEoeuMcKPW3AeG4qd5bIlzZy4tjQ9kXLBTI
Wp8VNxSjylt9HttUVtoLVK5Gj7DipgoK9MpOxW2c5GKHwa9hIRbSyJC/RhMfR4MWR7LldIx+AUqw
PgZsucjfiHFDeOJS86EgD4QMbjhc1YaH+t3leV0Y64nNeT8eeUGDTVVnWHXhzEoCUzK56fg+J+xo
ktgNgLcNat+XLS6V6k5MSlt8GPtgYMZssvJUcH0a23TazgVLje0KDc3pxZ4HNwZ3m3KTFQ8Ff778
ActDBuujps4HTPbEuOdBP5iA1V1Vb4rcrZtvFojW9clD4TYL1oSHl5IjTIN2GZ52SACceeEw0UuB
tG4Bmh/Tf7YydfzGAkN7nMRANEfvkuatN/V4R4yU/i5py9/5EHZe3YF5wx5QydsbWU1f4cfxbeBs
s75BwoDGWyU3+t41yy4Mvaoz4xcaKoObmnrtRkql/Q4mHVksTQu0f/NcxQr+M4NyuBaj7avwNWzU
CBzMOtnl/Hbs9m3pKOgwbNHz7JvPBUgUUBAxfw7Vqo708kH5Y1+6bEC9Ce6kACsYTPsodgzxUkRO
oIKJ+inUdwN9LYI1KPxCjHUyZMn/9ALRP5k3DSEPYfdLnW6NNU3dhSv0xIR0XRddl0yDilkNQ3AK
A5+hgv0Z5VWe7tLJrebN6l0+CQtOFdyUIPLSQSULKlRpHpVe4/2kT4Uz8asRAh+dZfPqQ/hbtrpm
S6aQtYEslgHWGuTrT/0Mr1K0hQWAMw/Kjzxz6QSURuzpJLWHaQ1Ss3CHogsNrTSIUjV+liEyGnDd
gUavcJoUFb/sgEjfi6LPrtxdnr6lmA4dTnj/wV0j7JGbd7VONf0u0QrHaClA6BkzWogDJ0bo9nWT
T/ZYq5BIHLiaHUzFano3jdC65pbBkP4tEN4CgPXoS2afd+TG66Qx1E5XgRYPh4d6+szFa4Oa4xij
6jKtsbEtzi8HgckXG+0ZLzBw60EVtRh2MtW57TNw25la9ppz9qokgCJcnuWlkwedsFmUwEReW57k
Lgh9Cyg5HIsyu80DsACB38G32IqZhQ2K8WgmaAjmm0F+dKiGajXaFBeop2LKfFslj6if8vhDX+OZ
WTrnYObSwW+Fdy2Rcc5dhmY+A/TXjgV+lOy5GCNbra/A6AvW922ah3t4/8tTuJQdmbl2wf0CxTiG
HN/p9rCUqipKLccdpP5W4y2idVtrhQ0KiW6INzF/y/PnQH+OsjXynsVZ/WNYFkUaijZWGx2GDQVE
/S24OBQ34vfUfydJZ5f9RvhXvNzSaSe4Uxv3FXsVwduU39Zrm3Yx7DiaA9nZDc2Ydq2JT1GUyqE4
l70GjFTqUvU9YrWjVzuSHoLJhexFoIA6xPGzYeXJsrSVkVIBuz9qDij/SP6W6b4eGHqJn7a4F9G7
MARRW/62sthLtyMgizPZD0PEKJNbENaQ1DdhpUOhpd8k5N1Pt9a8katNBI32qHNMYF9XrM7ffppR
MUCth8sEfcfQDJRLy1QZqpTF0G1UADoamUObe5W5AkCktgaM3m1pAVXtZxEUK5v7fFJPDUuuj7Sl
qtA0rJ2m3ZLoekh+DeFaq915yHhqQzo/jT7mWlrCBid2P7326R4hq+VnXsXIZjJXTs25gzixJj83
6ViJtoM2gpNanoI3HGp42U/Fh+YQ6ZyRXw/K9vLifVU8LyyeXBEtrEIREEGpnWSP1g5ylQKhc2iu
uZfY4qYGR3atO9/GzVOy7a56m9pr8Og513LJvhRdUT75YRFjxErceAFjTpNtLg/x3BHNcwoMPZC2
4G+SmxG6VqG6QaJ61mlswz3j1035HCYehO3+N0PzUI9uYjqgGRVNOODQHTfh8NMYwBzvJL3bmmtH
7vwaPh3SfDCOLJldn4aDAUtq/pn3tsmcpGR2/tdioEhtI7Mz/zsrA8n37xiB5isxQUsa1WhrB+uL
ZewvT9ny6fpjQTrBoxqSyTKx+yYtskeBxJjI0axuHLoc2OuAunW/9tb+crXnO+6PTelEWzQMeanC
psjKl5iw3E6TrARWM0l3rC4MQGOClFBbRPH4JlojdeI6La/NBPwNdiYU/YO0U/3ZDrlyqAxrOKj9
UPwwmjD5hgZ740YIBvEbi3cCwXvduFFhVm7ZNtbvpFf953ZUxw/kCUOnKAfDDfRQ+CD1L8k+JEXy
aRU8vmFd0N0w1Bj2QjWH56hpbupGIP8OJs7BLbkuPjtrLPZWzOluYjU0RtQycgia9kFpoFAv0odH
tWDpNi7poz4ofGfkhHqVIu6hDK2srOLiCYPQHg4XUiZIdJ5uRyUjrGpJBuFe7Q1ymJATsRm0A+PD
wFY8/kLcjS15ZGr+lOOdX/XcUpQU7jgie1MBV6iFWuWbAtCNxq7jsAAJhZesNWUuuWW8lVAXQd83
GO6kbQqBx0jJDByEES9csHttxix2+rzdVzTbhkEEPv8a2QT15fLpWJpXC8xAgBUC3YwS8elgs65j
7WgltePXOOHsoaMRYMxF/RH5/EbV/rpPEiaOzUn+yw8ZVdQB5mL1oU9qr7aeIiRXL49p6cQfG5Fc
F6ssPuUdjAT5rywHItPtkgck2+wkvya+ueKSF2qjGNPMRzBLMiNEkcwJCEah96Gov7CSif/eW3ZR
cVf37bj/3iq6XSM3jriPjw34uj8uj3X+cdnTfPU1zooX81v7dP2g1l1EFgg4HEZ+IlxzxPTSlH+d
xcMA597J/9qQFq1MqV7FQ4VFCwk4VKAmQVwGscnsjbQ/jTV61uURAeiDZBZQTDJm0dIhh0h7nPRM
hyJKyDzjY6D5ShA0f/L5tP1jRKbpjXtDNRTIq0Bir34G9GyTVdz7Nyvzx4QUjpvFBFUlBeOAoJ0X
Wopdjo1jdj8vW1k8vyCbm5V78TSWNx/XGy5EhLXptGeoSRETdHpT5FoFwqjVOvjiwToyJjlhvdEn
kscwxrtH37zXrMLt6YeV5C5l+7BZyTosbQQ4fD6/Z3TsP2kC/TYrQOvZ4vFEim3AKntG/2fxygFa
inOOrUjBIZQqIN1U4wAhzejHDQId8KTeR8mKmYVH8kmgI++40Z9YZdYICbLAU4qtMYDSA8pHVH8t
VZsrhyl/YqPHuzVnuDSLRwGWDGjKQBeExiHEcZkPlALY831cXTGzL2/DNSvSLIIkIZvyGLdXOXqU
tqBG2YT+r8s2lqcQPLMqmvTmp+f8EUcXc1ByI85GGGmjx2Daqv3TRLexFtp+sE3FRqk/Kgh//z0m
dg4H/liVNr2hkLyuBlj163dRPgsNBEfdtdLt9fgxBn7p8iAXJ/LImhR8JEzMLGWwpihvQv80Ym5P
qxHO4mv6yIgUawCLFQU+BEecqHjw2zvCbwcVOhL51Ri6NSq5We70gRsXysrFvOSsjiMraQELUPMn
U4PIilX+dhqQkxLhbdujaMzGd1anm8tzuRRSHR9t6W5s+2EajQlHO5iyHXKYW1Q97Eq3NgXS3y2I
VLPhTtWalXhgaQWPrUq3JQdTHu/b2Sp54+1v0lwR/v3ywNZ8ljSPAq0LNdFgom2GxB75GILsjbwB
LHRda98u21oczkz2hhwphFrkVtUMTLBNZ3S108P7qpp11Rv0rRJr3aOLQwJ/wNeVj0KWtO+LJo9A
mgMzFO81CDzz+7YwfutBjh7+YXt5SAvbcO6JmO8VnKWzNo8qEkaZxRXydNbujlTolu5udZGsnOR5
naUQ48SK5Dey0chDjQJ/mEDafmrsai0sW9jeMACuhZmfCglfaXuP5ijG2IcBGtfI/TN70oxN3n6f
KmqDlvEzrFO7tvy/BrYAoIVniqFxwLfAA3jqhLkP5GNQNSAaAoozU30UEY0HVoQ20rvNoaDRw+XF
WtgYJ/ZkXxWgxOQrsKd0GwgRRnW+S9L9VMcr41rI4J4ObJ7uo9slC01ALEMY0sp9YYCS1WnMbVx7
MX9GnpOUGeAHuyFCNrm1m9bCI3ANc7Jw1I6HKqez8TCiPTRBK2ccbxJAuYi1i9fa1pZetydGpKgq
DVq8jub1i5XR8weoYUTcBs76UHNkIVjktfAmodY/5njyrByJ/8c4hEBROoOWliqdiXhi09iTtnJ0
BCM0j23F2iTiJTMea2Wu9exBd2VHyorZxYMC4PH/WZW2rFIkpIccYwVOho0WuBlx8DjcqOU2gAJ6
igrFGknC8kL+MSjt2d7Xs1SZMMyqvimtOz445bDygFmcSg0EYAzof+DmDGlQo8H8IihA+KWporkd
eDi4ajn6nq/pqTvwDK0SJmltHkKBhxqTaaNNYE1qccHFzQ8PMCagMwPoM+kbagYvCrno2qlU5adV
lG5Qoyn98vlfskGgng2cFTw23M7psWxjsOKP3ERkCYiOrY10Q1m84mOW1gvMEoD9UzDJYESnNsD6
OSpxP1VOgGe6HxCHTLdh/n55IPNkyPfBsRFp7yuJamlTN1ZOVoJqNn5NyFb1Xc6cvtpetvRVDblk
SlqXBsQIlZ9gPCba0U1nKB4EfQmLR3SJcHSp94WXxDdh8qGr26ndgatt0m0hwG/5dvlDlnz38ZCl
c9AItNMnFb5DSQOn0J+BTnERe9oR//val6Fp0K3FCxiV3DPKoxiCPzQsCUYM/uMx34xEAc5pc3k4
2uJ4jqzMe/Xoigg5RAeNBFYimrpa7Q7jh6Vedeo1iFl9et2xdOOTg4hvNOYM7RuNf/vTR73WOzrP
2tnqHn2FtFvHQlX7ptXgRIXHRiwnYHIlBcMfs80K+ddmJWpfPB1ov0KjujE3tUkXI7ib/ERhsIdG
isJNaoriFCPvtFlVsdcXDrs293mhAxcUD1jH0wlOojKMixATTO3JLb3BpWDsGZ0YEuyxjQqVXXq9
J66gbZP8rnbjRhyil1+Fl96RW+FqW1zKL6BgO6i7tfru8hz882Ey641Z9WU79Piw0nqMITOiT/tY
X8l3LDkIMrNnUZXNmRxpXSe9HxOgDyonrZ5LFT4i2jXjFZ08jZR/71S1Y1OSLxIj14ZJx3AaUPig
6BKTtZrm0koeW5BcUFpCvSeeYCFPQRGkAVW5VgpbvAGPTUjeJRoGsLN0MCGiPa2uQ8Pr0/dQhcK6
10L8pj5ow0oTztIuIEBtQuSNmxYyvqfbs62ydIy0eRcYG9XySnHgaya+yq/y6QZqA9k88CyBDlja
Bb4R4gUUYRfkdnlVb+ot2jjrT7F9GcGVVdipC6ZlG2XUlNn1LveUlbhiycUdm5d2hpKnNBnnIYqi
clT4aUT4zLgS07+xgzeLBaCfBUoZ6fFimb0a1QLDHIc7YbpG9GHmd5Q8XvbYiwt2ZEVy2CpRemgW
wEoExXRT2ZkAStZrjIlf4B15ycAEB8gNYL0AJ0hjAe1dy7oc9QZupbeKuq2AS7ee0RnVTrZO8+uY
36ewb6BBK/H42klbMo+GX+TLAcZH4UjOkyajGYRaPtYOGe5qo3cH9sDCFzp8kuw7CNBDEIWbVxYO
hX4Hqa7LE7xwFxFApnHrzig/EEydngi118y46sLmi4BjEt40GXZl/W6FVw+VLazNZXMLu/PEnHTk
zXBMVYDOG9AMRhtfsW50ZbCrDjE9HXaXTX25dGlVZ34BQF1mKC9SH6dDC8E8Vvk8aZz+Cqwsm97x
3dymYMNw26t820XOZOfeh+WWNv3WgcCOOVDSdT9TNz7ojmqzt2pl8EtzffRB8h0EBlWjnwx80NRC
ZuvXyEIXri6sErsLbopq/BcPYkwASAEh/4LOC7m01KFPwGAZ7AHJxG3FSQ0Xo/6sX8Mdj+23PrVz
ZsfjSrTxJblwPu9/zEpnllQdSgKAHDrPqTeodgDJzi36xWx/b9yLw7Tjm+46sQeIbfAfSP2m9jvf
v9c7f6bADjb1x20+uc1mdNYoBJaiP8wHSOjQ1IUdL2fSg0aoqFXiw/wnZVMcArf5bEvbglB44GmV
XdiQ6HXS/Ro2eOEmPTFLTvchdDcUbdJhNqh1tBmCp/Tl8k7/ggSez/ifgUn+S1fRyFoyWBg+O1ff
GZ64zW+j1/pJOP4jRd3FDh6N1wJhGDAI7lXoxfbv//ETpEVPi5gGSZA2zujUdus1H9rBcPOn+/Tm
8624odv+xXew0opr2dQdr62VTbcEUTqZZOnW5SQIUFvFFCi7m+EOWkdOvgPxjLX/fM23agQkpa38
MB6tR75lD6P98/Lwlx5sJ+Znv3f0sACInUQAbcKN3t1ZUCHuPjQX0gZ28PCpOUAae7pTDfZKW+QC
swkwIIAyE/wH73jZw/EYkmbpFDdO63t1saFEIDs+q5S4KIyqzY0SXKEkpYJrpHHUHyL0hrXi2+Ld
hcYFVFeIij/yy3ssWGGyHvM+NXiU6o0dq3PbjeUY5VbX9zm/Q6thAE6HNLudrNti7d24dKHoIHjB
+EH5AwT56cQrEKjLAauGk6fXVuQG0T6D5HbfPV9e4DUz0hlGB4ZKoMUE16HAhZX5AcRVn0oVftMa
fyVGJfOVe3aaQfaDLlMgNKGoezqkMIPsM533Er/zncYNt/6D5SX74bv1Xdvqu+4asoI32e9H+hP5
mg2ukk3tjjZkVl/WTtWyxzz6FGnYVVSzHjqrjROPOLYd3o540kUb0HKj98QZKgeSMVt1M12x/eX5
XnobzNkiDegx8NqeSRYNo6aGYMnBJDRgDWXDViHcaSos7ZBOdijGOyRY35tG90jdrziTJYeN1Dh6
P3G00BkpxUSJUullOeJYgabLV391/rfLg1sIasFyPkclODJ4hEi/r46U98F8QaJ1bBzsoMgZlNm1
IImcOg1K77K1pe10bE0KuaKgrEew7TdO0jT7rDI3Ta17I7RjYmHYY/h22dri3GFogAKivwJ4wNPN
WzMt6Ns+b+BywIEf14dBTVZeHkuJfjBIzgIbaE+ZM6inNoIoH9GYVzROPrPDgTJhmqmqKsuL/fwa
+PkrH1JBiiF2c5/KVIPHDvTdfaU7UJBaO6xLjmFuyETdC3jqsxoO6dJA79qqcTLF8oqhcQzuX6dj
sh38YadBCQeE6BvWP2q56aSqvk3acZ8RDe3EhV3R6ID+SVBgQeqn7eHFf0TZe4yiFkUnURYnN6Ow
ejSvJgA1rDU0LJ4wdLchPtbRN3FGHR0b0AAKVHy5Vr6y/qBxmzRvhbVtw3taQFLo2lRXCWFmfyG7
tmOb82weXZOmTytVrWEzqGNbABGS6QrIYTywe2zU/G7gNxoaC3kLFNtmlQJ1Kfw+Ni5tmzDxyRCN
MN72ylNTR1em9b3WGi8C6dHgl7Yxflw+C4tRwbFF+ehlFq2HZh5uAUwecihh9hYj4WeiIyYw7b50
0VagohlNB+Nz3UA6cyuUmbGmH69XmR0Xr+rjr5HeQ6ifJIE64GsYNBn5cGiAbIupSwZv8mOP+fdl
9qoq4JyOX8rkl2I9rszGeePB3J4DVwSHDkEwOWNAY60qQ9Ji/sn3CtGQET7jdUvInpp2xTbgcmLR
Wg13cc2PbEphqSE0rRiMrgF98mPYbSxxBb50m+ubbijsPFjxTAuudmbtR8MXkiKorklBKPiCwoyp
gGWkNdpjFf5YVpYjaAIe/R9dsVbwnNdLOkwn1qTDVPlaZQZihrlmATbNDSjKfJ+5ufkt7ms7rm+M
v9b0Rmc1YDuMgHN+xtNI4wOVpJHFNWJLJhKvrpDKMl6iNLXbVH/s29+JD8LteA2/sOTu0aWHgAre
FXUyuUweGVHXmBQ4PA3LSG8J6JJBKWMbaA/u9yTxlAmUEwpwL++0ze0q3pf67vLWXbjUTr5A2kXh
2OtKAOUwR2f5a1YX6EBuSLVylSxunqNhSpNriF4J8hk2KbpgHwRQiaIPlSkcVGA2jfEvQFEYEspl
UEbDxSU3XLKoYekwYSm5UD1GJscSL5oQ35vc2owRdq1WrIR08/efbdc/FuWuYIRtWtS1M2ITeF7Q
P+58KN7Fyb/IjGNgwO/MW3VmfD69YhS0CvZ5BDCvgicZpFlB76iuFAIXnMqJCcmt+0QvejJjT9Uo
2yGhaJvDZoYdZIE7hMIhyuvl7be4MyAcCiI1MHPCdZ4OSR8EQJt5iSFldqfom9q/q8QWWkN6tkrI
u7jVj2xJW73L+FjVPWyxKVfvx6a44cJ8aCe+LTpw1OhEeSSGqG0NmVh7qJPx3ke+xytpeNUm4FMC
63T6dHn4SxcXh7znP+OXTgbvir7jAt/kp9Gzntc/QGx9myTxp98/pyicxb7v9oq/pXFkT0aGx37w
Scxg7S5ZCPVOPkPyt3lO28iaYeJ1dgutoiutNpDHf2btirdZtkMBzZmbaC25F2mqsxz1HdgRgWOp
WxbE+xzNVqvouqXwBAP6Y0haa/DPD0JvMa+d9amG7dYcG6REffYUhBBQTt6gcLrTLEizjI2b1i81
6e5byl8KzLCWxbfRqLog2F9xE4uH6+ijpMXOUfge1BAfpYLeiR0MxIm1tU3Zs1+bGwDL7cuba9Er
HZmTFlVRlFapCCa7HZH7btyhc3PgaS4bWV5RrCbgd+hrkMtOPVjAqiEC3A9dlyErNj5I5SnAV7G2
cocsT94fQ/P/P4qv8wgN52NUA+if/TTodA8l0tba0Mxtx0/d71eWam1Yc4ByZK3qw1oA3o0Doet4
udoqr7cKBIq46l6ev/mHzq4O/s+w5KsjTxngJSlg66F4q5E1T1Q3bVKnoS9l6DIrvh767WWLS6k1
XI2IV6H+NFMuStdIjFbc/Av8P6XDbigHWwMMIBOFnRj5bawPjmIWG4v+bNvfNPtF4tLGS9BWM+6a
bbryMUt79PhbpFWdKCnjLMV9U/dRBhZNiNv2pR66hgjj3eVxLy3psSlpSQuag4XZgKkYcnkJOoQD
0e6jKQVH2RoNw8qo5DbWsS0GMgCa7VANIrglMv6gCjHZw+UBLUaPRyOSe1exa5Kc+TDjK8m2FcaL
kqPLgjaeAk3MpCFOrAHJ1pvbgaGW2UUeE6i3GRA+7y3v8rcsnU549ZmVHdx5Z/3dltq3CogmsY7B
zGxfga6FOTWnh775EBp0VrNp7c5aCh3A7gVEAiSfZxn50yPaI0qpQgveVB/1J16hqb/OI0i78qx0
S51ADzjQVg7r8rr+MTnnAI68gl/4wKYnMMmskjmBMoFXUvRQhOvoSoHrzBIUA8DQx2d+L6ikyTHs
VHAzVmddwiiv3Z48tGxbkLX02Ve9/sT5wAowSegJVjGRIGY4HY/ZDkGY6nhjQKZ59Iyb0CV73c2u
x03iWi4CZzd0Bwcyxmj2c7Ot+37lWN6KX//iy7r0EdJVLVhBK0OFWui4Rc8JFOo/+LXv1jdin+/5
jWWXP+NfB2LHd4Vrfbu8a+efvmR6XoWj9dQmK6ziCuOnJrLMqm7razI95/UraYqlS1jHM7mzNIwO
kq4xKFJ+/Ig25tsnvbLupl1tmw/NQfxIH/Lvze30YQo7MBzN81ei+rOjIn2E5PHZFIQYHT6imtPb
95G60fRdmh5yEHBcntFznySZkhx6kKgZsJ0wxezkDRro5mAXH+nToXtWfls741uDdMz9ZZuLq2ig
oIBHH5h8vu67o1WMswEkrCN0sEMtsFnLnSL8vGzhvG4xj+rIhLyKQqiZAiFzJ09c7a60RbptXMVm
d98Bbf9U7fC3+f2lshXuVF66Ld2+gASm3UKy0bxtr1dBw2dXGT4HAgNgoSOIuM5wp3EfsUIvUA4z
tCvSX2UGkt6/89V+n68i2+n5wBMaGW/8PbfgylR3NEnbUcxi1vWY55uyjadd1vFqsllGzcBlPLRu
hJqGtwEP29yt8rS87fskeRSTLq6SlKT51q80tCmXZWt4xPSTR6JY5YEAIAUMuTGUuyEYWAmS3oJv
IYlX1Hbd91B/ifJIEZ4pxEgcvRD0MeFKhH6Fmph7RIElJjvRlDX+zbNoDEljoJbxvgb6B7gKySH6
Yxz4VYUB6zFVvbHPfMeoa2XfN7PBsgEdHumNLR1bSO905VpR6tzrwzxyUOhfQP8H6jOn/ihlfS/i
IkgdQUi5aVgcvFqjjny5X62xQiyamlskwFmCh5j8Eht4pEVZFKYOCOtHm2mZ2IeFCSLzbljLx5zv
Vj6jl7FTgZsEOk0KvKJCV3L0U6dOOBb1tW5W4oHH3Pqs9Hy8GvvBXPEHZL6GpW0LyDcoWzGVkGj6
Os1HDmEQTdvXRYlby8m+87t8B6ym5oKgCiFCZMeHxvM38SHYWi71kGP7bb1k2zXk08L8nnyD5Ae1
uG36oMc3dCiE0OeQvYF1dcXZrtmQJnaM1aDNLdiYsju0ylXhJhKPlz3fuW+dqTj/mUoZ11MNYHBQ
JpgwpnGjacluDGv3700gZY6iJP7M8NLTTc+gNFMaPkwoEdsIk933WbwyivM0C1RSjm1I/rsDo2jW
KLBReknoRffpk3VQ9wTYmCu+BSNUYU9ri7M0c8cmpbNcCxZSTmESWHcQ2Qm7+3F53s5zHNKgpC0W
qIYJcmxYqA7sMXRIZRsO/Yb6i51uerd2O8e6Y1eZo67RWJ4F+5Jhad+B6UyAqLHKHOshue9cVCCt
N3pN7oVj7RmIc9INf9aeuxt/Vah10TIQISZq2DMnhLRXTNo1jShh2cyFbWTfo9cctK90cM3JVoeP
yxO8cBmYuGY5rgEgFbiM/4B74QnKnxDX0e7GrkODcuDO0GfTtfzt6JvbVeGFpQONjWqhaDnXIr7g
Z0eOq43CnBd5BzJORILqcJVG72gxvzyqBW+MUf2xMe/bIxuVXilgCoINZFzF765+UQM3CtcO3FlB
DOujghgQCEU0rZwRWde0mdnHB0gyPqlXxaM5bwuyKS0bYf4KVGhhmU5MSQMKe+IPlQIG05ReK9Ay
ScNHEzpkIUci97qiTvnX8GAECdBwxz8A50AgVXp4QkodGMCuTZ2iuCv13o4NCKSOW2O1JXlhqVTw
WiBNikYqAA6kcxYQs0QXU4c2OB8APgGk4yRuQ9Z7tVF+u7wrFrzVsamvivrRrvALI1enBqZGs0Tu
O7tDDuPtsomFzY0dASABRIB0fvakLY0UcV0BEz0wsamv38dQpAvjcXvZzJKvB8c4eMaBR4Xit5yR
bAVX+iAZkdfpN+30TSTXSvQcoBRruJaIEMVdT4PT/4e06+xxXEe2v0iAcviq4NS2u925+4sw3TOj
TCUq/vp3eN/uuzYtmJh52ADsXqDLFIvFYtWpc9JjlT/U+fNt49dYPYY6AOGtDGJoUITwBCEm5k6g
9wrOJPU0TADJjXt7G2TrbA1x58mdVs5JwrN2gLCI+yKtRXwKS7sIEhtgvUFMAd4NLjzKkmT1Ceb+
PQUzTQVTDBYpLC1tIoSVoB4AGTUQHXAWjM4oQxMvDUDwX41yN6snYbq48ITENwS7Ch45ADdf1ZKg
BjOZhWLiqWrcZYPvuGTVu+MpOcwnwEVqafVD3YgITdWls2Yj0QEiDIDiq2rSjPIgNWosDHPJbrd7
bwOKQZ7EhVJ25xbufe+ra+dYbbRjuGmmwN5iINWzDDfyopXox1xr+zIvOvsxLME9O43ZXDQVZpmg
4dq5AK+kvRt64Dxw6UO6wutSfrceEy/CIynxjj8FHsz+Npc8X9jWLm13NkmUjMB2/579nna+EgXA
jzx0H9/2z3k9bsA2uBn2JkZhT9a6LF1gQP3bP+G6QM0tn7n52fK7Wk+rhu1FGThP2jvYMqGJbqzh
dN4YSIeTeqoE5bZrxJAOvlw8+1DbU/7hJ+VM4rIfogY6hApdT7E3Be0BZbD7FiPWD6PA2MIZYo92
FN+BOUASw33hKcpKzB1WCITZRi4kdwYFKLTDb3/EhVAAbDxaqoiCSK3/iZJn39A2yjqpbAUuBGXo
DnzDukhjYWmbIEUFkC4O6gK9TxiSGP08q/DaY7uO39DHD/eY6pWfHrL3OAArGOoTrXt7WUtH48Io
l8mrUlwQu4BRiH2sow2I5pD/btqP6s06qBv1HrIczSo+FHcKop8g01goVWKSBrEdpQHdVJH/XXqJ
5cwj5KOhrQylz3V9SLf2LtLd8Ut9QFp4Iq+Jb2yTj+wteUrXVHB9LgQoE+NACmBGgADg35e2i1pp
tDiMkRuSQxgfk/pgOb8HdXP7+y64jYlr08TAsYmaD99SsLOE0IxkeDrXr4r+buZ/7vuoNTABM+Ab
r8sOpO3olOmEeBXGE4bMV8m91gmgSmwXuAiG9wFAiyhuQAiQp/xV81A3h5499pS1UjwP9rq03nRz
KxuPIQBLEOwTOOXVgYa0IcxADoKpw2CHLrdGlkN5RmqWewnNMAXuVwpxrUSQ14iMcK+9ulIcKIfB
iBFSl0KMWSPrVrQ9V9vPRBp1ZC54fADIxqe2soJqzDhmaDtAYCnW/AEzabcd7MqN/7EAG2xsCUy9
XPJMu6pKejUHkr92fHRqbOdRgTqQ/HXbzMLXQtwDkYqhKhhU5OFqYdlUyJ4rVC5rYA/R4xymt+iP
kyEDEGfIi0AzCrg/MJ1c7rvUlrHRgMnMI7F2ggy7bxBlrUaCd/7SUs6tsAv7LJJP+RB2KcjWwTmX
bYFcWytJd69Z7Z/7Fw4NvhcKy5il5qt0/YhypDmPOfgnjD0dtYNlQYev6P7CDCNkAB0tPhkqPtxq
Zkk1GwNKSm2juQjjVq25kkji8qpMgI0xcRYtCLVoUBThL4myJqhlmjlwZsZqcJKgnCcwA5p+m6eP
ozT4sZAn+SrocCa5GJCCYcIaKajwMffrlXKQVD+ikPrZiDpFvtKbtZEIbiP2Fy/CHGplKN3i8tXA
boEJx8svCRCTWRkUbSXbBgESWNNScCcYWbU2Z/uxDwvBzXDNcMbs4Z7Hcx7sRHjTX9qLQ60LuwKE
DENYr7s8qMxd4azL1Cutlyx7VZRTHL87kaA9uLRKKB0BG4nyMXRrOau4S4akaFBi0ppdFHvlSN02
uWtHxy1F8iwLoQktDqauqasmdA14rwEqHeMvMIWrf1to4b7Lsw7vxd+dQ0+3w9OSKSYcyhDquDL4
N6pOyhZzbfAWw+xljKBX3cGOJ1AUtbXk0mj6i0gFFibQzGByAXMZ/A01qHarhJBp9BrVBFGW6toW
ejKi5+fSXqkG6GFhxjKuElvHySZ4D7onpZJZfmZFoH3KySlRcqh6EBBfEPJ++zsuW9TY2lCLQavq
0idrq+nzpgZc0O6NX/k0rlXw785R07qpna1akwhuepE97mXSjhC3sGLYq4rkt4xZ35aMuzFENJPq
k9n8MVcPjpyK2a//Lo874hOy6zrP8EFtMkCB/RkyEasyCW5/w4X7xVKR8wEpxjBcPASTlJNjl2wN
Y6YCX3yivRGYSvbn9/6FFe7LRUXXZCkDNIyxupKb8L2j9UGbv6OkEbR/ltaDNhOCIu4XAJzYHp7d
l9o8pemcTojE/WM+OIBpSBiqEgTfhRsGNTkGwsX1gvYIF5b0VJ+aUMKrLZUVP5bf5OQtRG+JhO2p
Tn4UIqjPojmwEwLpYgJqz49tTWMsy3rFbs252lnZPtd+gvUjMH9VwDL12tNtj1jIAjEZBpZuRhV4
PaXXAMwjt9Dk8TLH+ZZyO9BIIngHLAVApGeADdpI08CZfblJOESyrraItXi8buUOKL5h+kQlF0A7
Q7BVS/6A/AlwN+gBAjDEmUqUWpkwuoCtsjaOBmCUvGlVERjpumiFo3puhbs8TEzIEqfGgmiuFz+l
2TB34ag1D6XaTy+KNFsb1JSrNVr3OUqSVnuXVugQuqRJHXBcDv2TWQTq0G//fCfxiUGDhVk8MONx
a+/yaiZ5rKOs4YQPWlI9jPXLbQuLG4mBcw0BRMc0CheB1chgsGpmAdJYCfiGCiVdj5pSg3SvgtgJ
jXtRfWjJJDhoQMRoo7gBF7r0HQiLamFrIAgnefE+yG9zpp0qdBE9FJdXt1e35DtoxqA4gtsMkyHc
6qy6hw5hClPgkceEuaH/dmixQ5G7FoTHpSOHFjm+H/CeeBdxQSuhGinnUULQ6qaPsoZ+OWT4BIu5
LnJxPsoZcZLJAEMiToJUb8J8WJtdYM5eBN4IM/XLWvP0eC0UCl4KXcCpIO+AvjZkE7lIqUhRY80G
sCpVQ7eJqW3npNuH+biZEJfDpttleuPf3jWRSc5B+tKcQhLBZNPU0Jw23dH+pqGfR2EAHB1JBMnc
ojm0rsGNz4Ay/Kh6P029HkkIzpQk686S34lc7coKbTVLPdAp8aVCxJK7dAQwOYxZVOT9OlSLL49A
XM+jkTrIHy30UPRZXk0FudNLlMptQ1BNWcz7ETzYZQCD+M+lLdWC5l7Z4QyEqL5r2eDqyBUw1Ztm
36PlStqxDp+gBaNbglxr6eyhcolkHJpp1yqnMQCQc6YzkFNrAZRfPDQ0W4WAed52lqWU7swMj9Vt
oU6rdsw/5SYKIvoKRR0Qr6/iaXb7VHAVLW2boSIDx4sGLB38GzsyJCVVc5Ygj2HvtqH906kHy5Po
GIMpN1vfXtnieT8PlJyXRE5vA3eD3TI77Zg0j6UNsY+sHNa5Ea3UOf8YZ+O9Ke5TM/6L693AGB0e
Ubhy8RsufSaFEuIAwAUThpvcIVfdMk1x1atuYQreh4uLxFsfJR6cPMh2c6bsUprmYQaQyaTUVnaT
mQ/dwaK1ClIjfXDMddynre2aGGs6Qh8vflQxqHlnd00sqNNcby6ecziM+CUooUAJ+HLNhjaAIRVZ
gIf6bTCY7hSWfkQNl4hE0a89FoYwB4Y+HHtn8Ya0fjA6zUF9EzRixPwcAc7PyQZPVeBoBIfj+gxe
mmJrPsulQbxTaSMIiT1latwWrDYl0ihRCiEywl1LvWG0tcIAQEUYRO2XI/WY3RUkQks2gOBAIEG9
xEQou1xIYveNPEYACWRV45t5vymsfKVJoiLJghngT3EJQBEAWQNfep5AARpWiowifWv9AIpgbYU4
clEVCQKJwA7PxqtJqBQNGlRGTTDYxZW0aqUxCA1FEEEWzYCogsVf3DQ8q5Dk9JPU1ia+2hT2nmyX
UMk0MeBDOxEzyMIxZuSKjKtVRaUH2NbLDYrqBmc4d4iXmCCSswPIhWTpwS4T324+zSpeYcbcm0Xs
u9dXN2ty4CWHIi7w7zZnFcpLcRomsGrn+XPVNK9qhYtNRmdeJq1rSJlXRCLtjYU4oQAWA/UQhmOy
eR/ptSjNu/kfnSd51Wtf+TSsZ6QnkzGsbl8A1zVJOOK/lngvCZMyascRlqj9YtgObp1Agor2PH6C
QDqkQS1qH4gMchdOTssQ+FkYjNuaCfDp1jEdVqb6llh20ErvlkiYaPFbgpAQc/cMlcBfqJ2ld8bY
ZqWnAMA/xacRYx8gBewtQRK05CeAgf3HDorsl97ZlJVchSYWlioaarpvujN7YepJxnvhvNmgh/7D
jQOjG17ggMugjYU6NhetdKtQkkEGNaAxafddGHuJ3oLLQd9LZrTDYy8wBjBQDaLm6tVx58xyNZo+
Uw0Ee5jNUJtvqeZWihUUpiAUXzkJZ4X9irM7RUtKGvUOrDSoa2EZ44uWrDTtfQp/5NldCA7g2x/z
ykc4e+yfn9mTSzOrY4vZAyFd6JuxR5w3SFH/hRU8FbFbeJIiNb+0gle2XEwUtEFE28vj2oh8pCGa
8n7bynXPnS3mzAy3RdOMwfCCmdEP87vVudoXyBulY7Kjb+aWnqpHM3KVX5LgQXX9BmBm0ehHvRpV
vCtanySyWhZGwbxZvjZI45Jd89syfUu9B0WNlWO09MdUbm6vlcXei/4GZ5OdybN9i2irWVMFm8oI
FvTfI7AwaOI56ZHGIvKWq+MNUyD7BFMlOg3I4bhroIzBGNC0OhNdODTk0MWHRr+n1as2n3pd8C2X
3PHcFresTpXmqSthS8/BZW8GVejrZeVKoglW0ZrYMTz7fImiJ6UZw06MXk05Yo6q/JmY6iol0BEi
Gt4EohlAwcr4UdZ5iLq6idhXrO7L6JfVv0DtyRVOzC75BW41ZL7ot6Nkwm1WQ3J5kCwDZgD9tfOj
OexmMLuH9A5STLddcCkgnpvi9mrU87HsTJjK0m1Y/pCtrRH9+v+Z4LaJlJVeQ+Ck8QZlBHPmg1R9
12P0FyHwbB18IuC0elaECvM56DkGqUwaMIQbipuEtnmP0qDs3V7Uou8huUFSZUGchU9xTFrZaDSZ
sDeqr3OaRt5sjn4D6h85J9AG196QjAlsLnofcNpM5ZRBMbjcw9Ex/dUMIVguy8bP2EUCwkbMU+tP
t9e2bAepAMbYGDMht2FRqTQMedKAmmbY5pmXTiAAlUAhLwKyLt2TiOaygcYWwxdw92QyQOC0nfER
6/5HW93hTeNq5XrMgr7xNRIof648gyB4Zo8t/CxgFBWJBnWEPXXeQFRVU/F6/bCUA6kED+VrGBUL
t/ANE80tNpbBn2A1GRDZ8QmHg3PEm0x5yzbVJjk0u/xFQSvNBUnMA9QifjndJvuSVrc3cPEyOzfP
nWqtjVvZYeb7VXnEVBAI/8gXUMLrxG83cfnHfsmQuGiXo0YBLml+vEUtJCWnCTTOSmXdWsFAD+Hs
T+r29qKuvRJWGDUdyqxo7/IvtULPDHWaQfNcp5vR2JvRSzP6kvN628r1NCuyG6ZFAcICDHsDMnnp
I9OgzGPRaxAC3UluEqj473at3GlHdeesaOSWa/DAyqsUdGDgTUx8yG/cJX4teP1e3wD4FaiiYXIN
vNZXNOSq7qSF0uFv540PBmkJDJzVKi4fqkbgqdfx/9IQdyQGO4pVw8ByR+07ktyi9632S/BJRTa4
w4D+v02lDIuRMQoM9dqtvdLWKA6uEwBtu1W0hlAuEOQEHL4QkA+Mrby2MaqtCvLXhcwSLRy8vYGY
R33E4nMgfZpDkHkAShK9Nt9moAD4fG+uQTb4ywrIJn0zDiiuCZ5V11h91jc6M8odxcRwQADEjNLv
CThi4AU2zR6ImW27kj6b47S5/bGXvvW5Oc59FTuTY6mHuXTat8pvs//GPO9tE6LvyGdBXYXRzXaG
jVfoEx8stzhJriIDGvvm7JInelAOp9sWBYsyuItvdLqMQkUaFOvTNjW20E0BXeNtE9dX0cU2GSp3
7AvQTIQ5TFhP2hvSR79yk2eyFr2y/6m1X6b8l3a0SzsjRlBSKP5if7YNkOX7PvOUFdBTzzgLQbmd
Vt3mxQ6IG61zN0xWovHbf3SMb9nnXleRGYV6y9xxCEJIdehHuko/Coh6UBDT9huKM2jhLMrbZHv8
PT6o96o/B8lXCEftBNeG8FuwbT+7jkuZpFpI8VtA1R9ofrxPwdGCUQgnyPbpV/tevUrr9PgUHwYv
XYveXtezhZcH0+Ain2NMhpGxnZh2ZhCCkMt17qZAAd6acTHY39mHdLI3juDwsO/Lf3/0P9ntghq6
wcOUKqmeZKrYEMNK5HVOi7smKgWdiaXTcm6CiziRlspQXoSJQeo3VRVtEpyWuiOCtsTSFYXLSdZ1
IGlREuY82QJdNy0pstFUK37NGooabWGNBwBGH2PMGmCM3KkESf7SIQXcESwIQIijDcEFN30KbbUO
2YMPqqN5dJzR++j7IJ63DO1IG7fIBJFnKek4s8gPB4e1IU9dz55H5WtUQhKnBhckCfez2ceC48C2
5cozAEXBNLINJQf+dlI7INND9qKA+vpdFtFHs8gSYPPM53EIHzsZ1Fbm9HI76i0eAsZS/V+jnK+0
cl03hYxE0YrmBzC1+WZhf9vp7DnW5wTW2gyI4qnB2Sgn6WSW7RG9sLVsvcg5tLP0fkcMC3KekeCm
XvTgs1/F7XNNkjYMC/wqhc7ohzbHcai8MhZ1ZRa/OHIsVKiBowUA4jL+6HbSdfaIg1KMnybVQSEb
gRTQM+WHGUNAlqgSv3hgLPZ6A3EjXvfcLUblZpZTG6vKiw+AIVi5/1TMv0mv3VWGKNAvru3MGHef
1Y4ZAdoBY2FbBDbJNlm7lR3PjO9aulXsWBDWFnfszBwXDJqoSYymwaecw9Ad+iFIDdkbE0mQFotW
xd1enWTKUh/ijIwUkhjajxjIA/mHkr719p0l/bx9OBbP/tma2JrPrqd+dBonafEJS3R3kcT5Nf0Z
jWSb1yLVYZEl7ipqJdIkMnsHm+R3mUE+CVxA7TMBed/tFS3vko41YcYHfUJul4Ci0q1UcfDe1nQX
081Hpl8btyIassU7DgHsv2a4Xapx2gyrws1Q0Uz2wzJRNtMQacHtxSz7wr9WuO0hiS63dofFmO3e
lq2VZr33w7aia1PyavvjtrHlHWLD0ADBI3Hgzq4xktmB4A0Uu2zJkzAHYZmtq9UWOKFVwfW9uC70
1gEIh0InnrqXblebo6KFJr6eilHexnzU6jcLuuFz+ZgRxVNEd+pSVEKxFihcEAuxeeJLc0SbMQQb
M4Fy6NZmzbHpYresTlP/3ugCVoWlj2iD98UG0gaNSH7Ym+hIfFOCF3wZKcambyJkl2qarEllPORR
Sp9v79mSG9oGOBTAkQlYGI+r70lZ6gWNwJ7WpEGhRscpGle3TSx8PDYZg7oHRr0Aqef2qjSixp5T
qMo70inpDykUYqzKN1F6tkUY5oWaDsD0ULlCcwITiRDtuNyopsRNVlbYKPRzvXT+dirJV6DJWSUQ
4kMJ2tJKxZWHCQ2M+ZEYqeC4/a+QFZeggBkbU2BMkB3jLdwZSEu7mAwmMm+jurUz0jT+sKIpCxQ6
yLObq1n2TEJpCGSQL26lRCu+QUdser0Wlk+VMcrPTO7kGE0EE6dEois7TQxUcmxpP2hNf+yoMhBX
MUp4RKVl9fdoF+17lo+aZ2B84J0NLcbeqICDIASa+wuj4MZjW9vWsckdyNPURbxR+mj8lXRmoR2d
1NK39hz2kpvPsvnbHCl45rQ8VrcVYIjBEM35dpZjq/CpkxnhnZ7F6b4O20nHQHJXyy6YONBrncbJ
tHxZ0sFtk5mlgxlp4GMqN5wLHTwrSqURt5Ut8GhOQzwEuWz2YGMP+999NzqYMLNSkAo7aedoXjjM
ZDsp2niXKlKxb/NieLazuXoFtP4FsxQPMNVvxpJYwErJ89y71HJKr4jVIncbEBevkn7IPzuL2t6s
VPljhwbpJmodJfEmtY8hqM6ECoAoaKpAN7Oh9yDYZa51I9cCM5XTrZITNcgVFOlMbbR2ODRSQPqm
3UqgetoZfW9vJ5D1QeQoH+OA9lJHv7OwU6KdnoNDDr+6sncNRZs4qPXG0nZDDGZJmpWF42qjM0Al
IW+yyqXaVD3pTZIib81wRwOT+VpUzcRo1Z3V2IfQHq4ts3NtvZU/xylFn6/LywlKdE40gis8DdMV
5vfSCqSrffTUgaPHfsrzsZu83iDqGxlosan0sVI8c4aG8KAo008ZZLs+JmkqSFJKWf8yOdguXyEY
51/PtQ6bamNgilfKanunR7XzjKS72Ey0awHLjgwzealGoxpcyGOY9oYoHd2PamWRXYvWgu5P+P8D
Ustx6ZaOHRqYT6RTj7kPx5rdLqlQ3dGGsl91hOivSRFlIYjrIWghFTIkMcOsARWpYnh2M1eI7Hml
owWdqRZxQcn1bPQgBu1H6P50Gh1XMeL1ro0JYKwSdfbakCcqbEdZ6lsyjTbQd0wfGzuctwBloV05
j4kSlCFN1vo4R25TAdiCJRlD5Fe51W/7JpMIMrJR8etZU35r4ClP3bZPkET16hi6ZjSGe02S8ifZ
KodfzgwRucmZs9MEPZBNFDXjM9QdUpzA1J7vMpKGfhEZ2qluFclLCtTAXQ1rXhl1n8nuDEzsZ1Q4
iYoJuCr6UFNAjI8QPLKHh5CQYgeBXAm9LZnmJ31onSeq1tFDAUrsj2FqgQuWM81Zz4DLk81sSe0+
VnIL17yRREFBM/PUV7nc+YMNirQ9lfPq0ZAouVPBjgKWOKSI7jA7aAHqejsEdkQ6xzUzux+e6ECA
70prujNna/KNokiDzFAgtHT7ZlgQ38GjWIG0kcXAWFA0uQzXg2MVht2CdX7qiOxLc+lBMNOzythD
WXeFu/3FqH/peUNAEJI9d262+5oiUFCWB0NI86OwbJ8P3ec/hsvIWlmu2ihjN28OMG3/XJAC0N3P
cdT8uYt+l/V3HRn7OETSSSkom0Vv28XL6/wHcJcXeOxym4yseD+ku5R0flcTn7Qq6Bp1VwqVja7T
wMxjv0ArF+Nkb4LdYHfT9QdglQrAbRku9XI3JKlOVcvB3WU2X9BB8GPwAWuk/ayUn3M0J66DHjU1
y8jPqxj/YxSkIguZD7BfDGCAKWqA4LnlY6pAG3MLrKomre+NsPvCUdn1ZEfQrRas9IqWCH3Bc1Ps
p5y9Wkqpmy3agaZWgiB44kA/rA5Q23QbGfy4r2ayHsH1LpqpX8hZIWjL3tAAfIEnm/u8mZzrIVp5
SCJxBRrz8ArGus08ywDTEQuw+OxRmn7cXuhS6gUcKqYmgXdk05qX64wx8zTnjL46aRNvwExcpMae
JG2BBabp+rathUwSCEFQbzKqSMxkcGleDxYIvdIg8Rlr3zQaXIv6tw0s+ce5AfZ9zzYNYVCtSxsG
MDIG2hNJL45kCN/zFPqOJslrgTnmbvxpAMENoIjIJNGv47ZLN1Lc3saM7eqfmuE1Tt8iEWh58ZP9
a8Lk4GTxJE2VNMDEqIG6bGz9ViSzLlgEn96TcNYHU4WFrvmy+01nvfxFfxrTAOh+YZAbkRw4ystt
0WbJmLJMwQsiiQvX7nDX160rKco7Uas9dFdPcxy7VQ3Bqtv+sHSeMHGEXifw1irwvJeGMy2f5Aqa
dV7fKtDY/JKhxWntpHgO2vx5lAVVlcXrAfeUrv/zlMEQy6U5qRgnSaVo0JmfxKeqm983b8oRWdS2
/AlygUlgb8nbdaaPAL5VQJV5ICzp6q7V2NWYKc91GeTzl2TdjaJIuGQFBEOYPnYQH64GkLsYz1pZ
g3+k5L4FOThEm2sNKcSfg+8wh3lmhzu7RuVQUJrKWE0Ru3Jpbdo535dIVHMiC5q1S4eKkYGDlYqd
XB50MkrNYKQx3ALpxj635/2UiSL50qnC/CWiAisK4Nl86QpTjyHMNoIrSJ0Vub1JLL8ek9AjKtru
t538nwcjH4aAgsG5Ah4No5jcl8NLo8YoioOsJBjf8ebBfOAdXdeB7s131QoSOk/hygqsF/Te3Qna
QDsiKLUsLvbsB3B+PzhNlucW+wF56ybjjpBf2SyItUsldga8/s8qIax3+UUdkP2P2Qwj0gZpfx0c
ioB+gdB+na/MbfkdPrcPw1vzKRqsXmo8wy4o/KAOjUocX93GLBcE0yX0t9rG/Zw3VuEmn7HiRdsn
vG3VTZF5QtgJc47rDf3XJLehWjTPQxZiqbLXb5VN1PnmQ08hFax40oe50R/TnXqUHuSNqHu7mG2D
8RH/YgSrYDi4/MiqUU2xRsPW09fjXn1BoSz1k3W4AaZgrboAayRPzXq4e73twYvn8cwq++dn1/ak
5F3tpBK2dnzIoHgSqve3DTAHvP6g/y6LOfCZgdnu8TaOYKDZk9jt79LfYGBaoa+m/LxtaPEKOP+A
LJqeWSLEbKEoiQ9YNG52pO9knwQSQJUrY+3s6Dp7u21v+eT9uzAuzERxlPR0grkIQD1TMVy9Htx8
eL5t5XpkGcnw+ao4h8T7uLKUHmYggXM0XBnkuO89pE624ZO8gmp1IljW9YwHZ5CLKLo5Jn1vwaD2
DTBvcZhlTx3c7r19jmZfEy1vKddnM8/oFgJqBnTU5abpRqmkVg33mHKfvrdr9QNQloN9b+wMkX8s
3aYWuElwayPBxyPm0lSbtrUzFxH14m30qD1BTBYzMvv03d7GjzrE7e/sFf2Rrh3BHbF4sM/tcn6Z
EFPLInRDPeU7C+JX4ieji6LC+AhstuGpR/0zlVx5zejQ/sJ3QK6FySCU3jCAyrkoeNnruMxM5Jep
XG9akqEkb9Bp8qU4lbZxOWD5c412V6UZBeKqradPcy23L+VgKX5YKOOmxPwSpOEruQxu/zgdX5uP
C+e/jfNrOtsNwawu4gLpoXM7bktJNFmz6Mqo84KSBi87hma83PFaThNtsC3kNbOO8p/2pNQfgxpv
sqL3KgJkQfGrquRTb8Rff7O4/zPM08DB3e02mfDhw1RZDRaEe5R8fdvEslv9uziHfz2aqPxN4Cjw
hl21V35CcHGHa1J+sWM3+rWXDvOP/LfsaqIW8FI8P/umDqvTnEVZOpexUplGCzpz+ZVW6iYK2/Vs
Af9m6ZGb1ZAMq82HttI/bq93Kdye2+UCRa41QP3I+KSFBEbYr1raWdXLbROLAQKM/kh0ILwMUrrL
pZF6Gm2MArILxLNQvzTuTWDJ5ffbVhYd/8wK5/hdIulZObF9S37a1bYTweEXsya0LmU8ThjJD59i
k7Qe5CRC1qTdYxFejSGvo/xQ++Z3vXK23QbCo3+xIjwxkdejfoJPd/ndZpMgDS9xY/TqqzTsM3l1
++8vbj3GlDFrBdEFg+/5NpgjsEaQI+GZXAJ4PLpTfepnWbCKZSsW2LNAWg5yCC5YDEOMSDhgFVP7
WA5BPT00mSAgL5pA2wvvElQurghiIsWmPR1w2dXTP2/xY4i5oHRo/8aPz8xwHmbPBf4uu8HrFHzK
mVuEG918lQvB02PxuJyZ4T6Yk8sozbP7dJo2RbXPrG0n+ZnoEcB+7NU98a8VnXt7gBcOolQRrKiW
N6d7ufnMLd9RtvYYKJPABRaTLeCyUSMDw5J2xdYmgTVcH2owRnU/7C6o+2Dc2cSFaPYOE65Bn7qQ
YAIpuyaIbctH9swulyIoIJhRzIbZ3Q1r6156xHvuUHYePdCAevSj29w+UYtbx0iUMUkFanSN2zpd
7sxRaxOKScl9MhuekWbbtPmZSZWgX76YlDP6u/9Y4rfPQHvHxj2M7Zu8DoJ15p1RvSnTW0y2GSld
udzS9FRUbhuJ8DzLF+SZaS4saY0yWHKHRTrfaIg6b/GT8lgcssglG1CLQ35e8uKDfFf6sogUY9Fn
zyxzd2SP3kRESUa9DFx4w2NB91r3OnbHIt2Ptezf3sslLLNigdAU+Z0NzluDRZ2zG1lO43Zoaqyz
tSDIJe9CNMl2czA9QI1sg5bjQcOs9r36KDDLPt/VwQTvN8gjgAIF+dmlWa0kdWbM8Fnq92+I/W74
FG0/4oOzmR8Epha/57+meCdKB9uJwhkrrN5BhrOuj8ZX9qs8TPdjA7Z2fWU8ZCv5M/qIXWE9gKUV
N1bJ1+g1KC+XHVslFDRcxy3W+Z11JJuPl9Ar74SOs+yzZyvlPEfpZ5pjxh4fdQVlhM1D7yWH3rU8
7TEHibm1h8j2lwjEzNKaW0vkMyvGVE8wXYmJ2/tGusvkh2YA/y5QT8HtfVy8/lglk83yo4HFOSre
x2mBQX7qJU7ut7riDs5XH29vG1lMr86McKE0MxvaOSkCjmSEEAN5RJfytoGlz8WwTSDYhHIBlDkv
/T4Df1VhRzjcM7o1FDTkc5QfyhEUdlW7JpZIlXspVJ+b4zwiohrG9CqYA70stD+jVdccpGpViEaj
F4t854Y4N1AhEBslKj7cuNK2aenWG8Md/fFuUNzmDhBC47O7kzYgQzuNovMt+qRsT88iWDU6OSrq
MA3Rrm9gBEp39rPACfT7pvKck77K19F2DsKAiF4zIsucS8p2Q7WuwNd17B9FvMut5ykH+GHTpavb
XrPk++dfl3NLpwPvDKUwZACEWRO3jNfqINT1W7ICkgXMzTF8x/UEeFt0NmU5bE2CCIQHdn4X5W+N
vs1Dt0vv5PhRAhN6BaaCfao+g0A8jAXlvqUPev4LWCg/20o5HCB9wqqYtLjPpycgCFxgWdB0dZ1U
RAq1uFoV851gDATSkK+YWnJWzPaI1DCZ7lXpZ12sNFHbVGSC80ypaXtVYiamUjmRFAUwM1zRXsS3
vQguACrp/5bCfsfZZ8t6UlQdgR3qrJ38RycFjRpE5W/NOABn7ceTVzj3Yy9IAxfuVbgJuPJVcMhb
Vxoe8zjkeKvAqgIKNkX56rvWLQpXV57GECC8TnAGFkLZhTkulPVlAvSNguePFjVAS9Y+BgQ3PQZl
8bjzbh+3hVvgwhQXzGa8Fu3BZC+tvghASbaLWjO4bUK0Gs41ml6yoEsOE31xPytvk/Jkz0/kL56M
WAjY+EFBg2lmfl6kHqDyVbKEYByeAMIxki2hgm1ZKpOd2+AnRBSJhoRWuJcnO/cxJe07UeFirvSD
ghZJjeqAQpF4TsZNnUyn2x9x6cV1YZu7TSdVHR1jgG1Zf0+rYMh2ebUpk9e5Dtr4JTI2VHua6u1Q
+bp80kz3tvmFaHVhnfPITIt1vR7xdQsousbyzwaUjlkcuWEpv5ZVL/AYkTXeKZ08zjP26uqcB0X7
pfcpKIN7Vy7uAOa8vbCldxdqnkjddAz461dc0lpaqb0dYmXGhHS5lvYQAHUHGj3UwL+BZ+Cj/B/S
vmtHbh1a9osEUJSo8Cqp4/TkZPtFsGds5Swqff0p+d6zrWYLTdgH2PvJwFSTWlxcXKEqR69pqz6h
2nVv6ZFjJV+u/4TZZQlh5dkvEG6CIrMUW02w2njoio1l9Soa3GrVNdWKedehVjd2sVjhKQKVpYyT
HIvlEbsJlWBb6uyo2WAoA/dvmH1eR1tfGJpPcMNqGD0WPiMJpjDNVSyMVQd98KYCTYu76xDrC/oD
IfiWNOoqX4FCpquiLxT8jWUyId96SrpdnLxdh1o/gdD7+t/lzMtdXD0qhTbboCL4Go8onPm36ra5
tT5RiXnIU4cd9X36KLtV6fz7L21jNkwI26PBUDj1tjokahcBs33hG7CaOu0ebbBK4EQuyrwbbZd5
wybblk54NO7wDyfY7o320MiaVFZIDnD7zf3g//+HCA6gSmCWfYofwu5T9y25AdtLZri09awT2tLd
cf898crKUV7yV+0QSsYPV6/fBbhoSOj4jWqGrzym+7p3iXbTQsmWbqL8qTQqiatbSxOcLVWwqWKo
E7sv5j3flh7IDXZfmsHt9rEHbY+ndhM65iiVOls3LlBvY7oApM7IUpwbF3a36ilJcX0ZhtNgqApy
COiHnpx47G5TBvY2DORRI4CGcOCmKigoaeJx9oFZBcm7cPVILX6J8KXDUB2aqZvfUZiU62/1mU5O
x5R07fWh7EKd/c2FeS+whA8bWWVSQk0c75ljfrpFVaZ7iB/avfGChxTEth3Njbb8U/EeY8ztXj/O
smUKX5nQ3m6NENCKia4FA9M2beLVNYc82c+wlzFProcOi5UKzqOM88hiJeBG5X0ImcOrQ23uMx/8
VvqLbTyAUsOJKskaVyMvMB2qFiSQrAvOFWWiBi9qgPo8cUak6y2jfASzhArSw+u7Of/8yw/5B2n+
JQvfyFgFvikdSAEKTxHoKzCKQUyJG1gHAcsKFO0sDKUIt1dkNS10rLPW7VuEwla5BRPqNiQyBd/1
XfsPRozykmZQpsQEzJBuY8XL/Yek8XpbUuKQoYgHHtx04QAZXzdI9mz81doPce4F9iT5MDIY4TRb
mGgYIXSMjCDt2gNpog+ly6v3PIl/qp0W/q3Bof0I5UAk6NE5q4NC/dwM2hxcYEOblq4yGS54Q03q
la220WUJsovDK+DMlrIwtzGuFa0ps9INRowpzwMmkLwua1eBmFkvYw+4cFIAQ0vVPApogJFJZP8N
26mm6YBFoQO5wzglBaMHMYa3IgcdLtHzzyiF7GdRd/ErqXkmKQxcfMAZ3UTbMzQgIF0vEu60AzTM
+KAUbjCVtRNPdfvA2gbt3ixHaXlCsvz6SV7bWvCHYviMgbfgou8Q1J1doCdYbQUu1o6/2c2R+3s1
uMX1ex3p0idiaQsokcdrKjKdRXpSgldrTkEyjDAV4RfWGm5C/feE1weiGB9jSQ8jkWaALvppAD5P
JkK3C/RalljFrKu2GCu/KF0QIPqHdNSyrc6DL2YWHOIKo7JEi9GbyPq3wraPpBrL7fXVX8Q0wuKF
8583LOhIgH1GqvehU0Gry9R7pQD7QJc65WSaTscUSf5wzZZgR1guWLgY2LHOj40VV1bZY4AGBSaX
G8RV/Fc1Srwx+PEPa1vgCE7Hx23QxRpwLL/3bnOvyAPXrh6UZGtRicdZ3UYo1KIDBiW6/zfIuPAE
psITrrEclAFQRwuibAeVnqr12lrdM/3GSiUUP6twM3089hB+Thxr9VmZMXWA1XASRPtqQtyAcZPU
GbNivLMzW/XSyL8tU2mX+MXdN5sLdLEgVgWKIfBWnn86raJgoh2rElI997PsB7TrSbX7h8+2wJgX
v9jLOMk1n/TAGGLzR9uBdC6KXG75zyhtHcywRo+M6f09pAlJchDdgf3wgsi6y/rKmnhYgi/wRVFc
O/hqToemf8l6ipl/CdiaI1+CCbdTwamPEc2odE0U38PuU48hrw12EaJ9T5XQ8fubiEmyvGufDZNq
uA6hq4NvJ5y4Mow6Es+QijptB7U9Ti0i2t6QOJPLLAbMA08HVOPRGQghVgFn4tXYVAZGKGnPHUN7
DiK3Q2yEmh/zaPChQe0j+6lYmIEbJF58bVNn5kpMJOM4XJDcYNIUnIklzjoZBty/0SaLXon5xo1j
YD7lWgSu/JfrNrPmxX7LDeA1OivPCmGgwYMgbhTsqRrSZ16oR57RTcgGNMjJqh6rV9QCS6S/soaw
0xEr4YpKPsNx5nRH0RhSAa91EOH5WRxoO1QOKe17pIffrq9z7Sae1dSQy4TmnyZ2fOY87BqM1KKw
k3bwpE82Ao+cgLoI9Ix5KXFsMjDhbGAAmQ2xCrBO+7CDHW1TL43fK7DgaLIH9vynzt4Ks60u1iUE
b/XUJEltzlDqG02/I216fd9W/z4m/wyUdygyeoJ9BBiZtUobf7+xs2c17H6AtND7Fwi04kLZm2Ba
SIAoSa3ZRQWjh+ZrClk2UsqmKC8Js+Zd0v+D+P3vC2eclyQjaYIQ17wvIrc8DYdkNz5UX/St8Ww4
38tfKsp8xabZWDsF9JaH6wtc9VtgrweDjQX6RbF2O/lt18ctrlUMILtsJjmFvOlfV1XmJS5AhDAB
YneaVfcA0ezXyjxkqQfiNxcHASQ999nH9RWtWsUCTEg1QKJkrFgOMAqCDRXCD7oqsbvVPQPPuQ3V
DsxViSkcJc8jk9YlkmGBaoCG08d0HxhA4+afcDATDqeAXj/x22Q90jOMIwaxrLDfEbwDNkkX5p6q
Nty5vmlr4Q66/EBPMstTYVXnEYFCYgwSM7g/m9Sb1jjGkcfan6xMHJK/aP7TdbS1TwRXh/5rdPIj
IhfQbAzYaTlGyEE++942kDbmkka8tS/0BwCyjufLGavJylILAEb/3cQiKvMYyq4MGYZwE4eGXjR5
DIzR2Nrxo8buEGhf36e1C3C5DOHclISTkjeA6LtTGENQ6FByT6pNLluIcGBYjicp14BSa802q5Lt
CB6mrK0l1rx28UDJDSE8yE7wzJ5/xsLPmQrFTN3sBGi1bS0ntF+TvgT7xkdu/7q+basLWiDN27pA
im0+IrQGUgnJaQNyoZmxSxtJwHeZyIVTW65nXu8CpaJjMpY9tq2LpkcQnjh9hWs7VD1DT147tfVC
GwmsDlXjCAwYU9s5eRFtUe+9q6tB9mNkmytE9ClJm1zX5ufKUbm3n8fHuTkrAemJ6djgffT3o5dv
4lfrXVZWXg2cltsgnOVRZw0dY2z2YNlvPVSZoqnYplDFASvCcdB1B85r5nzwwkxWNFlzWgtoSzjl
Id64XKdYdBDdDsOPCmK7/WYIMRLvTerzdZtawcLbBY8XXJEQehHfg3PlUCvqFlgFCiLtR19Yc8ck
63cgzMO0ynW0tV0FHGowYIuHXJIokpyiMcw2YrzerVC501WEpaxFYgZ8ogqYRbr+cwQF/0gah6BS
ch175fScQQunJ9XrtkEquXQz9Rb157R6y30JxIq1AsICyxJD15gush7lRulHg9IgJVI9xtxTwO1u
b/3uptX+NpHMoOCHtBrkQJFSuxAk6cZEZZGJbeyMPR2PYfEWy8bRVteygJjvuoUbSCFtkvgRIPJo
E/PbCqQF0DQC16AtE8VcuQ3OFiM40Knu7SEp8WGgJ5dFx7H8NgSPXfzj+uefz6sQtIN0CeE0XiMG
U8WHbJopXUPBX+T2qaN2ju3m37UNB3mqTHV57Sk7s4tDTN2kmHcTs/xJZBjpPDoDTZDxGDyNd9Fu
/FAOwSEDGpdk4dfc9RJNTPabhV2CRJmUbnoKd/GpPIXb6NY6ETBVTzu2q3ft1+sbuRLkIEcODUDM
m+igYxAco5nkdTiZWJ7NYqdDk3XbS47R2kn9g3Ch7pPQyB5UDgSiPHTDyWoOme9dX8T6R/pvFRf8
lhYUYHu/A8b4iArpHQYEjc96M2799/Cbsv2H5xadNTfRSIq8JeYSzw8TRFxoN2lV6TIMNyExHaPL
q28yiXddO0gLFDEdbZZcI2WP+J3rX1rdzehNHr+30+761q3dGEsUIT7U/YwrYYS1xDZ07qAkPtyk
8VaJ323tLp8er4OtmQKF5CSy7LNCo3iWLG7WWVKhNzQca4qUl9GAK6kMN+ZkMcnurdk1MukEzGzz
/JHImqigLdVHUh0XftB7zdTejMT+h61DaQnPehOU/ThC52YASrguoz5e3WGlIYgb3GIsdhQZrbhA
72v4w9Kyw/X9W/PiGHJh6F/GKCLKm+eILQJgyMAglKgGjMB2lUOVJwZaJTZCL4BJXicyMHoOVmkV
56k6R8L5puDcHYdjM8XbUd1wmXbuvFOiN1+uS4jtC6W0rMQHVDfckRFDJbRwfBAnZl7jY+y3flAQ
il/fyjVTXEIKF2LdJ93YtYiL87w4Jrn9pTXoraaDU+U6ztr5go0gOQ9SYUMVUzPdhCdKoOAUD63q
0OStMt9s3enNgxrtpU286/v4H5iYpCnabCxMCrAyCPd9mp/Cke/t1j9Eeu4o5vSTGgOI7xTSS1a5
5qsWqxT5GUMS90acwIsUzEIvwesQgBYuuoW8swRIlewnpedWyf02Trt5iT0tv4eqjsnZhrlFMp7M
Eq1HRPNiEt4P1ldi+F5hveIu3cUNdVqjv6flSzDoKDVFDgGP6vUPvWpQ8wAqOrKQnxCn1HNNSbXS
xNkcjGDfNHDYUfurmmTUQ6unEvnX31qoMCfBBagNCVtNgQs1yEvjP7fafZ3vps9gfP+H5WCiFvLA
88SHmNXp7apTqgn+M0HdccSz0DZjtxl/XEdZXQ2CjrmZDGk9MYyr0iYLKx0oxEge8VvcJI2fIFLn
ZWlxbFXZpXDZro1I21rgCdYzFdMEV4YwGI9b6tTkcwq/FeDGI1zfohp0O6nji09eTZD2GKlMhXz1
kCzABS+XDEqXJgF60NFYdWOx54z4z0k4bU3s7PVtXbXFBZLg3EpNncBNhG0tkn1q7MYYxJ2Sq3x1
MbNqHdJ+ZBajOj+H5dB3epNjMVH4WWuelW+jZqeEMu249S/2B0eMggIcd9qn+GIRBBK2waaJHRR0
Hpi/STfKqcz/ZecWcMLxKpMoY3WCZZEmcaYSzIk9Ovj/xVUsQAQrtFu7o1E9P8b656rfp81THEgi
hVULWEAItqaAbNGKYqxDZVhAsR0x82TIxiXXQCCzi7c/fD96BQUbCLKE+1oBkKI6QYS9rk6hTIp9
NcUAFks4PFAQ25hVP7ezqETVwRwIgizrg48vQWg6EGd3Q/2Owy8NsUPjZyv7h5oQ3pV/UGe/tXgu
44E72mYIVFTxi5a4hi3LnaycHywIjR7Q1SYocs97u0Co0D0AXwA/rg/0NdHw+Iq04AcfGHpqWpni
6YqbBTOjjlEROHQErIJV96MxGW0Df6ConyoxPWNMDko+ehYaObX446+dzxmYYN3mEMytyQDL0iPH
oGdvOn0vKQ+u7t5iQYJ5p+UEItkOqZkJnUgTfaXpU9L0Tijj4V8JqM7WIjjSvlFIU+I/FzpKr7xi
W7PFzLxdebVl345ce4XoNeiNZea3crDOYAXjMCZqd302fy/UWA30c2TF/Sirqc2/XQi6z0CEk2VZ
PFDLGmvDwNkhsypMGciat2TrEI4Rj/RiSAOsIx60m64dnKGxsZBU4rRXYsKzlcz/vjhLYW4j7B0A
M5k7oz1Z7XaooaKq4WHUZm7xed2+1/cNnO7oZcYzTLz52kzNmN3Ae5dj4WnNTQWKuusIl0JwGMsG
adv/QoiXXloqTT4ogGBbbd+740Z3Bye/UV7vyH3/NThpLn1B+8ttufM3CUizfmS/QPh8/Ues3bxn
P0JwGqyprbyak7uYreG9Y6unAQTShQvS6BKKO1x1URk1ZLDrrurP0gXvEdqd0qoFUNOKOY32mGVf
ywF8l4MTDBInIvmQpuBEtCFKmmpOuxpGCfHbnaXIopd19/FnMfMvWBhmoXRF2dgzAh60Vu8MwaaP
d1kyi9Z7sbrr8/31jybbPcFxRKgiDlMGwKnyJt+bpoeoTzBd4/WahA9y/Wj/WZrgPfrczqDeA6SG
7EaOrJ7q5KosG7rSFHlmgoL/qPS8aXk0R2MjWng9I3qv82+tqjsd+ZbH0Hl0OplOp8woBF9CUGXU
iY51aeob979JU5WyfRNiJrXqDIMN+PutHX5Xxn5Psvy9Ldn2uiGsxU3LrROrTq1Rht00G3cZgOXa
guLBvsGkhkZQ/Ls1QIBNjyyXgUo2T4wzotoYMm7AEcPQrUO0IWAL3Oc30QH+Q6duda+8wIfkf01h
PLtLOmu5qgwdyZc5bEQ+PgWsBcr5KCMHDfkwU/kwU1kbzOoC/0O6yGXXaoSJNQ6kscY8CFT0yuZf
ztUCQfC6hWlyTua7rLYSx+w+WLANGolrX70vFxiij7WqJq612Tayr5X9PAVQrHgc0hYaAmhzloCt
uiSKdlhIvCCTINYIVaU3K6OCiBahj5qKao3lDc2JR/elsrtu86tHa4EkuCQCpQue6LO3aJ4I8xjZ
2KXMI60bwJ/VCB5JCygkTnqsplcQMHUbRWs30LVQy9apVLcAAUdmOYGGbse3JPtadG4vG8aW/QLB
QY2gfG7LeZK9KT4N7QN89td3cfXOWuyi4KCm1J78bJhXmL8F/ZOtbhrlwec4uF7WQLCglPXdSwxE
5NxjU+7reYgFBfEeJW3Xn9w++Aj00O1kpSgZlHC4jL6mE1dnW0R+Upm/15do/NIlRyYrq8mQhCOm
JUXbm82M1CvoU76JlNBVG8cYIC0jOWCzWV/E8TNZuE3AbYI883mQUU1jW/lzhoRY7woYtAPjR8se
Glk39urpWsCIp4tGaRPMCcHJ/G7Y+DYnw5f0h6ya9gJCOFyt1akcJBQwPes5bH+N+uG6acuWIBwd
UM8bWuBjp2geOyQJPMJ3mv/r/wYinJ9Rr6webEAA6Qwv1zIXuiha8OX/BCLe7lldxy3yBHiX4h6K
6QZs8Y4ZyejFJfslXud1h5mTZs6WquZrqH+LIAw7SFoffufrr1ivJRwU1bSqNJlXYoKmad9nDrv/
Rh/ie+tBvQPRxDs5NF7aOrrXnF6D1skrp7qRkUWtHtY/dmcJD4HKQgOwNcd8g2K7rHvDFLdbF6ck
Oqm2TAdvrVQNqP+OqzUfgsWbQIlomJgVwILyuw+RJ7/tvan85Q8vSVhvSax5vCeb1rZBN5NtmZF9
vW460h0X/EXoF7mKmxIR6FY9qVsfec4t3fS/MjeGBudh2hUn/6be5G9k+xj8aI5v1/FXg4/F+gU/
0raqkU7z8znov+nlq6JNkGMztqmqoqRpWE6eQHr0OuT8J6/ZmOBXirDze2uOd9rSqTBZYfubDodF
6SSeWHZeBP8CNq4aw8rAgVa0NXhZ/67okttZBiF4l7aedILrH6Zqb83hKU9/SIcMqOQ4iBfyqJll
AQ0mZG1OoDPcqU+Rg4a1B8Sj9eQFt2wHivPynW79p/jdeCdOv6d33LW913n8P5MlBCQrFgteVW4p
Iw9+f7yXlD/YzZMeSe6ddQjMbsyFdTwjBPtoU62vyHwixok7YbxP/Fcq6+ZY39Q/GIJtcIP6g2oB
I0rH1yiD0tGgbxOIX5Vl8TXXZS0qq6cMvSkEBN1omxdly6ua1TTTEH+YGCiqjMKx+barI68qj2EM
NVaJWa4ni9BqoaNRGuNX4sBPZuRNNmQjkr5PzRt6pWEi0QkjdszJHvQ7Kf/D6olewAm3Ru1PiT2a
WF5Evurj0apAiu1mMuqBS1a/+WG5gBEuBjBX5VZfYFXK3nocN+Q2OmqFl76X32pHPcS7+Jg8MNff
XHdXq+a4QBVuCJakqLnlQG21E1obyfAeKpJIaHYTFx4R83ugHMPXuuBL7euUGlmA+kaKcVqyV5NN
w0EdNHhNsNPNwZn+mnR/3skFoOD1a06VRFOwptQa6clAdAwSAIbSJIGK3fXtm7dHWNtvdgG8NsGO
hRN3fsGqfqbUmtpkLu8GkPTERrNry6KRBC6rH2mxIMFnTKCKiIcJDYjcTh6nPHSjwLxJB8n086qd
L1AEr0HhIJqAA8VIdxYkD/WHjNwx2eDLJcWI8HWELWsNiCIO9txNOQWQRnNTUjtGeFeVm6F46wrX
im4wRhf5N13zNMauxrb2Pz3eQXIANVgD04ki5X2vxyE0leaKG0ph2nBi4zdD5oNXrX6BIeymhhYc
naHoMScIQs3Lsh9m+72dNqr/WembSjaov/rxFnDCrjZKAN1tH0vS9S9s/FDpi2HfSDN9K+YOMSMo
MBhQYkAvtmCIoJJnRT5/u2YELUz1I/QlNrhq6QsAYdd6PdSj0gRADS2O7JhpPwMZXcfabYV8FFg0
5gsSHSfCkbWZEloB3Lk2FuDQCdujzdBnNvGYHVuMzd0FRE92VG+y/XVfsfaJ0P5qoSkRIx/s98FY
BON0yAdm5yBWTI0n03xE2+NAbxJZymZtB0FXBCYK6FdgelIwhJ62EMQLtfl4Uc+PyCFgk6fk2u76
YlYsAY2VGMaGOSDPJtYzGrhDBawuqUsw7e6S0CdOWlayCHSF81oF9bSOLk4byVZ0Ip5/rCKmPM2y
qnDzcTvo9z1zOps71dS5Heaw+K3NMKT9y6prB/Tvnsr+ujiKBSINz6w5SYXquYDvY+OUvoVXyuix
jz706jEMPq/v5OUj7QxDu5jMMpnPjBoYja0/Ugo5FXQbDOQjZsnJjulei1CHCMavMVccytXDzPN6
/SdcHAnhFwipKtUmrZFa+AUFZgNtxIlNc4eDcWO0g8dAQDpGMpXl1Q+LZua5oWPu4BcHfKtUS/ik
6gXkG4PJ2Cmsr7/wCTIRGN/o26eQdeVjRSCbtYXmEW8cn5lBcFJBz7HHi6HTtjzVyTG2rf6vE/zY
DMyXoH8BXSAg4Rd9XGrpDVpQMOqckRuVfJAKqigDZo9j9g8EfMCywQ88669AVEDAoopW6qGZzOHk
nd+/DmxyCBj30gRtNCDEeDX4DWfHrHsNDYmjXfvkS+T53xfOqMtpHYV1WqDadWtWt2p+oNC3Zdqd
Gb6qk8TzXUbs2FMQuaDxHywOlw1+sR4G2UiKwi1t/aQX9GnsXuyu3ARBsS3j1mm1/paQ5GQp1rFR
/a9/b94Yzkf53CQYif59ABdrjXjLOJqYUU2m9tvIQocWGuYTLTT7ki91RG/aQOq45iNzFhjOK0Z/
pkENqGtAivV8f5Vh1EI/wIqHhL0MlByVUfVAgpC4iRGcDLV3xgTcKiVEv/3PTJcxfF3OdgB/nleB
UAnC7ot5Us0PVbNrjdwtmpMFoermYPUgOrVGSEnsLXtjgULW36YITGJ3YNtEFo9c1gTnH4BpLXBf
z933It9KbUd+wzGg6/aQ48640zJQBym/wog6hrJPx4Pu36Lf7e+/NC4ldG7hfse1IZynKaqDKpwd
GWgi4lPS1hkauNryFuwkzxB6vjNj/3uX2K0kPr+42bFWGwNCuglifQJ3dv6xVa3OIVvdFq5eaY7O
c8c0xvto6B2iBpI+gnkFgl1hTsxE1IoXh432/HMov9Rr6FaTAvLgH2gM2SHM8SD47thtfTBRI7y+
n2tfEdyn4O0HFKitfj9aF0eHpz7KXHaGqLyun3+PLlI0uZBko1rVrm8eOpu4Hfe3gSojKVrZ0zNk
4VMqBTqdegXIjf/Q+7Hb5rWjpMEWM+ieZJHzA/5iT3HHQwLLxiyjWDVUxgkCBhn8QztpRz2KHdww
JzCEeqDV2iQQbs7KcFtYT5MR3ky9sWv+QVtzlhWmcE/oOsShFbxFPkUVDXMsdlK+tey2URqnbJ+a
WNZxuuL1Z3pHFdLFSAtTsXwDFXi/wZlEOKXyY211G/Riu0alfih5u4c8KijAZT0OK5TxcxsgLlTw
eKFz83cksDAhvTRNpNWAmUQHVuwjdlSDXZ3udWjMW/tw8jLznSmn3N7S+BWNgvNQGDPvIRNz/TOv
rh1KfOjuBHMFpmjOTw7X7CFURvyOGOrbyU7XXkx2a2GmKglv7FTWE7Fqvn/QRPIU6BlWUVzB/+eo
y7bkvWpCbxh0p5S5vDWHQMHjhY0F0SyeFefL8lM69pxDdh1BnFsqEWar+FOuljehljwNdv14fRfX
olVkVzCxjnyfaRmiX2/IQCJdVwtXtUcH71t0JWwTThy9vM2R1S83fvTkQ73RilwSvVwH11cO6hJb
yMRhyFcldUaBDVKtyY9PatjurkNcPJ8Q5eugf0NacR42Fke50OZZhpaPzrNUsTZWzF1GRkSB0eE6
zNr9TBku57mdHUNd4vA04zpUhNoR7q22i10UhLoz6VnwCNUI2wMfTboLeXEbmwbAtcBrRj12wmBE
YBiwV9R12kNXZKPkiKzYEj4swf+Qb4W3F9xQWjZ6NpoIyouk4YaLYNs/WWEy5Z5N0ypwzFpLbpji
x6UEeD57ggfWDXSQYx8YgUSNMLZuRAnIOlVMyNfBhtZ3vVGBDsVwTTSMptBcaLxWNjm8ZsdnkMK5
iXhu990wD+WjelKVr3ZNQOOUbXQleTC1GtoLbeggshmclJJdattu71NJh8fvwEBYN84R/kMvEdEx
P3h+eLMRQVrMcZhqkEV1KcROMBRbsc9Oa290krl+ggtP/25HhlOyegelWxelq32UPdSWsU9Y6/hR
4cRGdONbxi6kCnQbZPmSdVNlmgkyJuQUwDN3/iNBxBQH0DCGK+sw4B8fefIFKiOm5iFd+Brr5UGP
vqiN5lCjf6EZeEPjGtMuVBLarR1MHEck/W1kBC64MnAAQNc3IfCJNAViDjpkJ2uWQWarqSVPo3Uk
lBagP23iDShYhmo2Vcrnp2ms072lhvumSzdGako8zdoNgYlONqtCQx5J9AAD0ZSY1RgKtEIKJ7qP
ks+oKLa6LBG5ZunzHBLD8wsZL8Cdf798jBgK+PO8HLTrwBaGtrItIzXUirjSvXbWaL6rXFX3WWiW
p8Zs1JNl1OqNnpdg/FTtQHKDrJ115MpBWIjkK1KIwvYWbakaE7QsXCN8N9IHy/9Fh0PUbKb0Icye
je7ndU+7ss0Ypv8DJ9wZcRtREs1woX9rgYKg2Ez1my4rHK4GyvacKwKPy6zyLWwypkqpxuZ2jwZE
ztHJLz658ou2GxPpWLoDRWsqc9aXLFlzQmoBOa98EVhFMS86M5kria7q1e+Bozz9SCoHr2hQBYRO
7jwcw5/KA3dNTyYau7KpZ9DzRbKAHsOybux54ifOv1bETWnq1ON9r8l6mlcupDMcIUvhZz4pGg4c
haZbpVLcxAbR3tAcMJeMTieZGtxaiLjcUSFE7LUwGqIeO5q2X6YalanyuY+eiOIVfuEU9va6Zaps
7eGBdyOKVbNkJdREz7dxAv2pmWsIEjGQZHIoig5DvWuqxmo28EHGsW5ppW0CUKZvR4z2vpGypihz
2qN2bM2sQ6m8VIetkWhozOGjOQZbfRrHRzoWBGpgk6alD3Dn1a7sc93cR34yfE/A4GlA7yHQNuEU
4F4JIFN101QgIvJoHWLEtTK6ItwMkGE4pqRQwPQHP6Dl1FdcCCion3ZLmj1t+mT0SGYrkdeFcW66
zeBbdwyEoAwiMVb5oAU6eamomn4BbbVFMA1kTXimNiQgrh6pPnXCoo0PPIN2GhSy7MRTQbOJ32Dx
OyhLa8xJiRJ8V+sIqh7UqJ+1CiVmb+RVv+FxS74hyQ7nqZPIKLw2C0Jjy8KKHoMeM5ZOW/Zt6mZN
z8JdkynZoYQjmyBak+pe0kxkb1e0J06bcjo59qwt5cRDXsHXo0Z47JPQ5m4VxNZngQ4Sd+Sm/SsJ
SvWQaXa0Q5pr9OzUD40jNDwLD3M6HfatwCY7QROPsYdOf+6SBLUulxM9+1mVI781JrtoINYQ+3wb
+TzkDjqr2K/M9tvvUIoYLTcJmvqDN2r+XKDz03dYNVpeC4mMXynD9j6ZhRncoe2DxCB/TgvN6fXp
pLeQQenqBJV2FXFr3tvWrst9Orhh2R6ylsdHNJHmBz5W9EDawfpeDWUfOTQPMatXN7AwpR60/MgY
iIBvc1ZYG6p0UeDVKc9vMHPn3xJaKvV+zFUz8BJKlNuMw3adsaDFF1qPfu74mHDT3Xqcqsrr0TZd
PJZDHN4Y9ajpM5d/NTn5UFVzm3HRsM0AAZVtHPbNncJATKTXQzQ5VYUJdodqBVUfStbl5Yb3Kg9u
lbbWTkNPm42GV9yPzh6rnW0YOVSjYBmZJNBYvS9tpAJRRYE3R73r/FTWdQvryTCOGRPD9ekurG5p
/zWJ7sAkmsd7rfiF1pRROxmWjLB8DRrPciQpLRsXNurJ59BF19pVkyDUaiN2arrujgWfCdpDWFLu
KODGvtsWtL+psshpUihi6IXEKa24QHQhqCjxmfPsgVhwyRUyZSGCcZcroBBwd+zEex2nkrhhJGvh
X/HukEYBpY4J6W3Q2gvuT4WSaqO2GKoDT4Bh3JUQ1Yia/ei/+Fok+ahry0J2jqDWgAYEONvzjS3H
Hm6zCkrXb3TkYyu9OKpk4KkTTRWDmBWJuDcFapI7Ezf6v2YsQC4SvMlgebORJLxISyL93NVgL8/d
FB3AURptbKW+bRVysBqZWNHKzXwGJdyYqdJRTTEAVQ3V3oKIjoJvCSJ1N9Aerl9fK1uqY5IezLdo
68DLTdhSbRjt2hr73I27fONnrPSoUjwrQ7+JzWxjpcpmGApJaL6SADjDnFe/iDvMIDbCLgZmiiGP
vNbwCnm+vqr5VwsvsmW4KA7c+aUd6c3Y5GgN8B0d4jYJpkp9SzJ4sbp3i6BUeO/mYcy7qee5O3Eb
97fyFiX2XZQbEORIt2ag77rgr3se5mIEscB8DhPUkOI437pWG5to6nECdEw0N4QjpgH1eyQbo1qx
P83UbAhwI72BYrcIg7KKVYYlIkO13dRsj04LBG8vpizttfZ0hswC3oI4zYgRRUc1GkOplUGEuXac
1y/VkJgoLIxTzty2SxXM2BkBfkUYJ+PkGL3uG86IeOeb33FQ2UArOjnlgWrehE1n78PACDc2AqMb
WvfaRtXTDgnYxkh8L2n74mFIDYys0roLE4lfWjXohSEILjBiSHFrsyHUJtJpfYwsT/I/pH1Zc9S+
E+0ncpV32a/yNkt2QkJ4cUEC3jd596e/x7n1/zGj8R0V3AcoCoq0JbWkVvfpc2JNkGbYOGdPfZqs
H3GyayokI5XRhhG964C72in9B9MfjeTdNLzru2dj9UGWCuo3eU1qEZMbTp/2HVEqPLZAM4frs3O1
ZGcCax2+XLezuX9O7HAjStHniAoJRqSt+6XP3q1aBo166me5/WaE+qHOMsFxt/XCg18jQaXaID0G
9/b5LNpDUhpyjyb62kSOOl4oBL68fPkO3laqxN/HwlFzt9AV9/pQNw6kM7PchsraslBZCrO9MXp1
8azNc5CL+nDWb+dPPVnTAWWTwV6Fa/98bACltvMgI0UwoDoaafF9FvWC+ROZ4I5upWIIAyKYKIoM
ezGMH9UuEVwPG3OFgw1k8EhMowx40UPQyGTIV+oBS66fylb6EYW5X4T1P2QwTs1wKYU+yZnZWTAD
woY6vwcTEoKj25XTzPa04RXUqtddYGv/gloMEBgU4CDHxK1O0aBmVRjIhUJI2K2q7j5diNdN+kHt
QpcUs/8P5iz8TOCwCMpinLl0MRuzV/DoDlHjU5bcMxrTVWuGKn18W4vQoVtbGQib/6xxftEM0yRB
5wuIL+l+GVuqqh9tdtsZfgxcQCm6NraST+BXNo1VZwy0zlzySc8SdYlBA+cw85dOPJsE0/g7T5/t
MXSb/mMCVeXfT6aBut5KkAPEGY9V1rUJ1dooa0B5O3lGFdZ0yfWJ9lBhmGMCuXuz/3nd4tYmALAG
yC9UovGI4ZaviKfKrgjIaqoKAluTeR9FBmSEMxHZ2JZX4k2nIXuJRB6ER8/PDGueSYK9Vjrg4B6W
Yxsyak9ezPCiU/5hEk/KA3xQpoXIny85glrCvlWyTKvk62zGtAaHr6hKuHHMazbqMSikIV6XVb5M
mMhxi5AZekrxkk80yVEFGGfpxkqSX1mc384krl3MfOnJJRqAGzKy33+7fmu1ffUYqEauQMHzea3m
SYVWGj4A7dsRKhDIWIbz+DOUWpHU6OXWWy0RA28wgGKA5Du3pE8NlP70hjm2Hr6W+TBAqAYFvE6D
/LOR4VEEwV+c2qLE5aXjnJtdP+skHEmrugo1BWYbRqg+eAlxIbpE4zKk0SA4yy5vnXNbXEavZAwU
7hImM2kJKCexoPXuX5brv0nkafBqBv6MFHacxLozQUk1jkeWCbb0egaeX89no+DxJVYvo0+2w4xF
5e+EgX4RFQOcKvddMwhu0MvzEZbQBwd+JcAD8GA9XxvZTGKET2Aka9LDmMtubd40KfTzFGfSCqpB
3K4rBEu06Q4nJjkvlOORyIi3maMPUEyrFJoo/ZesbFzZkJyuyoPr67U5lyfmOO9LejYgdIW53Jgp
1K/M4bFpZyQ4n/7BDoCNkC/DdYOSwPlMjgAXK/OMgp2V57d2HLsGRKYlEO+bpYjrbXMGT0xxQyrM
zB6MocOJ0Tql9cOcUEuawPWEV4Upkq3ctoVHOO5secWqnA+rV62xLkq4oqH1FhKAP0icHxpVBaYC
W4vpk2B7fVbbLnxf/c8gT1JsQOWqHJD4doDp3su1fjCT9thG8r7sv3Vxcw89CoTf5k2l4DVgi3L0
l5cp/o+Gl+yqBLJioM6HCzG0KswbrCKelG7aaDRcfoaGiFJ40ydPrHALWAHS0HcprIy2ggRpcyPH
qd+DuQVwewFUbfN+A5urDo+E4sBFJsxq65FFBWxJnacOOdK5CU2hPhK5NQMzfeROETBsItHCzXmE
NhDeGLhSL25VtTebIh9HnCtz6E8mVA4ULXVNqRPA4zbPrz92eNjNHEsjWnIGBgSDDQKS723pjWVP
BytIQ1DTs3foNnrXN/q6OBcOemKSCyknSy0NSYPJHAtmY59ndCictvmeoslUNgXrJ7KmnjskWoFW
VD4mUh+pGn6JpCfTvo31L3HpRbqAlFc0mdxrfjRLUy9l2DKHBl3f7lz6HWoo8kuJwvCkuBmg4dfn
UmRxvc5PQoOsRpVIQUjlKHPqd8bgpjZYjBbFjfp8H07F1zyZ7s2+/rhudjNKOFlCLuRSINQ9WBXM
RgxFoyZ3Y13IBrq5cAjqkBfDOxtIrfOhqSUSxCSZESdAqHp4Yc23rj0C2aOou7SirNwVur8sOaiI
Hy05pqYMWO6R9HsNbxUoml0f8OZ2PPkYbp5ZUrTDnGPAg/lU9LNXZ0eZEIGRzVk9McLNKhpdU2Ns
MOIsO2hs8pr576H6OJ0JmlBWaAOkyTkLBEuVd8OCswxTqAwfrR5CnIdajSirvjlfJ4a4sCjTtbBO
wa/rjOBeqQaU37QXxRScXZdGgACSZW2FbCMRw0d5DMrWObHXg0QfHRTgggpEsZWt/PWynJvhThCJ
JJGWaVh7NCoNgGDKoTcnkDy77mGXV9q5Fc7dJfQHdUOHwVhoQyrSF5YntAl/joYgk75thygEhWxE
CXw3lzWhhS83EfvonRkMoXFY8IKj2tgFo6mKeu4vjycMSl2fvIAgwbO5o161IAIx6RNzerhBPH/R
Uscibizp1EhBFgshAFlwIF7uoXOL3GIVsWZmETokncpc7sAUTDshHmfT7Sw05iLdA/AKT3o6kKki
bMagJA0N/uWov2Y6CYMws0VMwZex44qpREMA+mpwEBIumALT4DIps86cNKsOarwbOu1OB11286YK
qbu3/AJ1TB1qrxqaMPjN1LfQiLcKE2Ej0DHffPnLRNVH9J8cTdeG+JU7fouc/ifgq9fdXttykVO7
3IIpbZJZs2kwh9Bn65DfLA9ANt0P/qPi5Pi7npZBj78mEbXpM+rgzvAKKmMP6pQe87pd+gI8NpVd
26luAGvwxlft4/oXXlJyWFiFk5nhdqZVVWAD1tYvvI+D+Ll+JV7sWK7t4QuOtTe6HV0OFlWfSnqI
A40OhuAAurwJzz9g9fmTS36RG/C8TPiARDkw9qqYz0q614uHWcNNIUjVboS758a4KyKR1aiSFhhD
cl7RbzXDiyQwslv+wPyw/sJCb6kFR9Kmm59MMHdZoEYPwfsErmfkA9X6hCJbayI2HMIdEd2AW3MJ
FTwZnazYvxCnOZ/LSLbCoZIItlRFJ0mjkx3SGYwySzS4PTsWr9edZ+M1pgOx/Mce595Q+dPrlMBe
mX3tdEB07or6O15/jl3dSjOdJt/q0ccouEy2NhWychZwAjp4kvmWvKmepDjLQ3jMdB+meylBqj3y
lNimWb1T5a/WX5M3YY/ogAqsOUCNoLnnfFrtpF0yKGSzVVdoZN9J9TKFgn240QF5ZoNPHDWGWqsd
k3BzMfZlKRe379GblHwHChxgOuVBqXU0cOeubI1BY0ZetrwSWRPsxQ3EyflXcA6U5kmMz8BIV565
2vjZhOVjMVW+Aq3XRH1BxRhPmRtJSgI29HSZcgEdytZmOZlpXmIhqxSjsEvMgjnYXlMjPa6/LsqN
kT6QSVCB2vKiU1PcwVeBQL4hSFM7MvKODPWMiLha/wGFPwTbWbsjw78cPqcWuZOuMrSUtAssZvNz
2gTg/o+qAtoYNfDsX1sSebHsMPnvc57nS8odeRNDQLKsVifytdJtqotiLtFEcgecVShG29Yw0JYL
yoVQX5TGgbZlcjNoladp4UsJSTaU4p+unz5bh93pdHLxg9SGdQ3pTBx2Zoj6/lHPOko64tTxrzTd
J3+flVnnETkSkMwAo82HlkvXpC0wiHgVFr/RA45kDC1tt1C+Xh/VVvx1aoZzErWBlhRZd0C3pLuw
nW/1TvdktRG8LrYColMznFcYSRfJLcQ8Vj6KEvC/hWg+RHBIau6uj+f/caT8mTfOPbQmnNNIgiUG
bXMwfXpG8mourkoCbXQWw1+f8IazxC5YBgXh1+b9pKP2Bdg+KEDRbXZ+cFtTq1SLDhLTMTfGX0Wm
T4GZLem+rInV074Ihyep1tvXZdAbd2B9ddCNevRYWvw1z9t6hSir+pSir5J7qzOfRDlabvYJYXHr
FIPuxulznS0OXgm67hFR2fuzpHeegjq3xV1X4WSAYqzFqAnr3WRcYBPGlvRrk5kOs98KbXYxzGNn
ZEGjmm+khvC73DrDNN7Iw2/JKny4/z6X320lBhmxHWiTFKRJ+NSw9Ni16Iay1f11N9lyexMrDD9Z
nwR8URtGImAtuhZ9ay9lwrxENqkWidhmNq+Xk1XgznwpBhDEAqzWkeRfU7kfmV9Lx6qQqSx6cYgs
cdvYRqU0jQtYsuzIqYhX1s+V/A3tyF5Vi1BDmwfwyai4vRwhTQYGQfhWmfsd+yIBq6zPAELVtDAS
R+pfleTl+mptxtGn7sxtasRIkHQysakNEqTGXuo9GVTPKQCyzB36R3tGFkukwLwdIp2Mkzvw7QYq
kh3BnGr1I+nhs8Yxb1/zBTSxSuSXrIP8ExKTj7NFmX3IRECITx+83FfmStSG5P8FEqLR5pC0XdI6
BvjoWeyMZk/1eLekdzhMavbdilqQgj8pE0SVn0f7YMqvpBf1YF9S5H2eJH++gpt6PZv7elTxFeT+
3nybnThgbrpv0WNFdadDjEhHV95XzntNY/ob5UHZz1zJzz3bXd6uu8HmDQxw8P8mhFsQBcQrDOda
C/JKM6Pq+B2pkoRqUPfo5WZv6K079YZI+WXzxaqfWOWOUoD17LhVYJW5hJY+ZNN+fQdckoYfMR6r
JUa9PlpNyiIn8uGbu0n0rN86rE6/gDtgExU0+nmML8ighNDAEYDDqUVsndr6eLribjwXYoU0e5ob
sCKjZ8Hrd2oAQY79T+YWPw2qfcxO5NWvoUQtN9mXh8Hr6OSMb9rTO/jv/GqfO6ObueJNKBg8n/Xq
206zhvWz6j4jLTXyZnbQ2LXswixWnKXWZ6SrYzV7UOIRgB0yglKp7ZO4pWmR9L90JdV1moWz/VPW
7RS0Xop9K3eF1dGotHWIaE5hB/bqrLmBykrY0IEY7RPIu3p/jtM29oFdsTHdRQay60ZeiBPHTRh5
hZU3hyg1ul1BBu1YkQbJ30ZSHie5N78gyYHOSHAa6FC+q61XtIKEh4xFc0SrMezRRwJ0KNPG5a4k
dh6kjBiB1SyJ10iSSkerL2+KtCUuctjMnQvWfWWSgQenaUfJARQx9n2lM/IDGq4WmiGWuqctsdTU
XeICNaeuJs2rFk+Zb4REdtEYYtMpkXTkj1vtLemy/qGCRxeuPQGR21XosF26In6W0sGkeVxYD10+
zIRmQKogHTOHGmjlLKN01G4232XM2DFuorJD+rGXI5QNa1mjjR1PoPZATduQcjLidG66Q2/b7MVa
hvkZJIDNgzVN8T16cLKDNWTKHoA5xcvHQf6dNOrwiNSQ/DZ0qr0fyhg/MbRY4dczwYIvs9LtGSpd
hyjT5Uc5HCMIcaml9XWQh+42bmazBomsXH6EC5F89Mb0oRMBNrEDdq0ucN/mTD/06ayYVI07u/SR
J9PRAhOGwN+rYdZDdEQe1Zlaqao8zVMbPeqhGiPzWefhXWub6gOyALEG9XKr+E7YShVUpVGNRgjC
JItmDbF3sl7qD3KYdYe40KRb2+xyNMXLVuoxM5x/g23HdqRsHkVsWJ/pxGtbl8uL6GCQ0DIZe0S9
TZ4QaH5P3YfsELrvJU0C9b7aJ+7reCT72Y8pwMnXT+WNTsA1/vvvWLa5KKeI28oe1gPSCn72yNjt
4i/AyC+PJVXfFs/y0kdAcskNuQ/vIKgSUxF382Y8AuoMCBECWg4yo/NYd86xj/Uow+i7Sqfd3Nya
+mJ5YT/+KFLrPWP9DSmxaEY1768PfaM5GUqXJ2EkdzlOnZ2NZjVg6NJ7B2YwchPjyWuFDRrOBmpo
lJEvJnPl1FPj71EzUaMigpLsaoJf+9NP4C7FSYuhYB/jE0hTuHIMMh39adanB9aL8gnr64W3hAQY
EK4Avl+C65NGI0U9FeBMVFo/1NrMqSz7RwZVQ59pA24/E8zvmoQEt5w3CUjnkZKrqlKQstka7+lX
cFNOOlZZMiqIUHpv7kJpCnRpvxRBA0bn64u7GVKfDJeb2AGoQwllytbpoQ5LtTn/AS2g34YsvfWJ
RYdFtI82g1zQ8mor8g7oYf71KOWZbUx62jrdeNRwqaL7Du6jAGzbRXgjusMERgbv7wdpQCZNBY8t
fvHt0OCAAMXdDJsy+1kShDLGq8kMavWvhgiStD2+tQ0JTVDAevMZDejZyauQfbvqeUaTo01HI7+F
9pNrAX9HdD9p3ERRBAPcCh/An/NJTwK4CV/1GewkqocORJ+45ajRp8e4S7waeY7r87hpRoOqpw4C
Cw3VwPMzKOrnohlCvBWqZccyXNTSrdr9vm5jfcPx+884scG98ZBE0AC4hY2I1I2vMLBSNFkkouTd
2l+nVtaRnmQOwnnW+kaBlWFktEZH9zhkUKB12RQ518ez7RAaslvAHqCGymN4E7OsU0mCKdDveQvY
FUfclwiDnKat9kbTmbREwjJmlquj20ZwbW2tmIkJszUdBxp4Hc7HmUJ0pjTWOlAl3bTTYxbeliJl
yq0FOzHB84pEfdlAghUmGvAKgd7AHXMRwHvr7sOJ8d8UcqfhotgZWpLxFs8ktOLOrjZn6HjWvqZS
/l0JcYjkIP3pRKXU7ZUDvdqqmrsWObnJM0C509Qmjo2a7UKNZkow2L6uQp/QMZcJ+jCUFCImia0F
A0rGBkUlLnnz86F64ph6P0uliqeYY2tPBvyxmKkpEgrctPEp8rr2agINce4UU9GgS7rGuHIzOjZq
oA71rq5/Cfx+6yI1TqxwGzntLJZ3I6wkILxU8H6pquypCaf7VrccJWQDevGZqw+jOzLj2WalCGa+
dbWdfsA6DSdTGYIDQ6kKRGxdNn9DK5szLck72CB3cg/MtVCTc/NIORkv56RGoQzjEGK8ZRx00JyY
XrvkZehFmd+t9AAwfki7It0lg4mNG1URF5DTQxy49NnHIlsfhTp7Bsmo1kY3g/4+NIwmPVBjvZYc
dPQ1WwX0F8qmheKfGaeQ+vuoLeU2SUAV2InCFsHH8TImJTG7JAox5SM6zZPjYgXojLWNFn1qqYve
gusutu3HBNVDcLugk4bzY9Xu2jBap6IE5WJdgqADwpd6WQqy+punj/nHDOfIk66MUMyFmXR47er7
foFQne5bueXM1S5dkN5vvf+/gXGeO3dK2MQDLMrF4nRWlFML6PCqm0QHq2gGOZ8FoUOtK+06g+Rr
ZtxN0UjrVBPcQZvzBxTs2gEBkDZ/B+kkqxPQt7dOCHxSm72O6V0E/oY2/LEkAS5A2uJZe30CN/ci
eGUt9AOtbFtciSKv+94MVTBBJIZvNRZYFEEoAX1Xxb9uZ3P+AFtGYz3A2rigzjdjhsByqTLYMQBv
X/R9jLRpL2XedSubB9mJFW6VCgtZkHTBBDZGfVO2c+5HnfRGOpAVqGr/WKFjW2Bxa1yndzo3f4US
jlK+hg1GKlOWVW40H+P41/Vhbd6vINC20EG15nD4UFmOlDyRLFjJs/gNfw4UZu0Yqb00XMCRoQFe
9liqSGbksajJ/dJBAOHVQIyEKB2Qc54WQU5AFGlVaeNMVvFqQX5tpyYW88hoGo8MRNvB9aFezifM
gTMAYTOaqVWLe2XF0ZBYjY0ONTldwBzUZOjmV9SMTh1U0a6b2hoZ8gMmXsugvULp59wlkzwa7Bhd
RY6i1UHMSq8chv2UkF3Xt4KD8TLyU4DbB1QEzAsgmeChof04kqFtYcpK1wThFMSkFWzkrYlD8xue
UjIoEC6IrMJYkqHxhW6OtANz2xC1HyTGW0pdyN87I4Qz0IqpEBSkFZXXPm9QnqhrNgLWgzyOLvfH
IYfe4BDua5kEcsfuMrU5KFkN1Ib1cX3JNiqqqH7LKNKBuxNLx/MGKEPVpzFZGkcNZ68LF6/qchD6
Dr7ZsNvRjPc2iiCFtCocQKwHGVvBLF8eMLAPQm500oApCRSt5z7D+rID84/cOGW0gAKxRgpHG4e7
CPUYT08lZBZJ//dP1jObBkfPAFo0OOWgNMg0u+g0/y6j2FHmQpDi1nYgGNEnOxsqJVxdA2nrXIKW
6NobagfyOL03irEzFrbDK9f/h2W0AN0CsJioKJDzW4/ZOZKUWuNUo+qUJVAhKEtHpemCecjNAJm1
+sYthpcM9EzDEAXXzV9es4p9ap0bqTUVWhQ1sN72E/GKogK3RjL6Y603N3EizVAR0O5nkBs7S6fI
Ag/aOMthXdFsgFttcGB8uvhJsI127YXYowEXitMH00hHOrLJt8PmhzKrhxTJ9T7LbvrYjtC9RwRo
wK1FRkMZ2m3wykVvPee/pcVmi9mkgTCHeTu20xP47p+kSP6Gh87b9VneOpBOTH3Ow8k457nGixqH
ObDQNfg95rK4Rz0hdkymi7AxOnbdeSYEU4p+dAMNqmBE4BVU1LmztKiFKfRZe1pTv4268X59NJ8Z
G96GbYKDEcoLpgr9oPOdX4AxfJkzFZrg1h7KEnJzXOaPPtvluUbL9lvcmUcz+jrXaAz50igfqV07
TX4r1X6x7EgZoCJuLF4dBUbtj6Jn6uWqqiBSBEckWCKB7uB1IdrJiPRqAPuIAqZSZQGyJHJm9T21
n65PwqYdtA+iHXMlc9e4OZjsAZ1FaMp1qhx0YHMI9vae5mCpBlfMP1jCkHDYA+sEdvHz2Y7RJBuO
Sb7qkkEbb3kCceEc3k/Fj+tmLh0HbCcrOBYUzEh68mbsydBHK8xQ9Bpz02mkDgiCMBQBJLamDTsB
cRsSj6Cy4k67tpegKB+DoWGop/xoy6V0WzEVLAZj/BLNY/vXuUcV/O+6gTt6DRd5T1VC0KotIbgt
GAkRN/WB0RPHrESMoVtzhzh+5dPX0HnPEzOAzk3L8hI8EBPZFeGHmn+7vjaXL2QMA9QZGAsQvng4
nLsAyeJhNgtQMRSGi2xfiASSHh9BX0tTfa/3gqhmezR/rK3/fnJaKUqYaHkGa8loeIsMUYScuNcH
dHntYECg+1ohWOh45HdpY2tztFTIrsi9difllqdUb/b0RNQXdYEEmdH/TMJGxJd73eiFbLeWo/3I
6ICmHaVd2/uxAd0xcFYWQWImTg84OCgTrg/z8twHShmMD8hM49Eg81eMNcWpPUxoFKvbhtqLLy2y
m+mCK3wDDAMjAGqBAxjE2NhX5+sVThCnWxOqaJwuXLOaQJwsOYjJ0GGRvs6p+TxULyg8u1n4KKvG
+yzXxwkqjrbmNqAHvT7iDYzh+ceo5x/TjnFohWvsbduP0oJjvoOWSOJmuAJpZ72WfXUEoMCzFwnl
7dtpmgXH2MaU6+iIs21cfiA74iuu6gRJk7SaGtBxW894r0WO2qMCmLW5KHJbj6rzWxANRzKaZZBJ
wmuUZyypaiUBcCBClnzWE2eQOjjQIj80JHo3zP4+azIioIvawNusnVQ6yI/Xvjpwhp1ProJ8pzWi
zOeUN+r3ZYWbeO9vKSA2iZc5sc88lZaAp3wdqUEfRbQiysYphA27kizhTYXfuLNbt6TYUMce6OKZ
tgBp35UPC8yiQSa6BRHpi5ZTvObuiucdVFX9v/crsLKD0ATsxDgJ+fs2Gk10UVRgB1Bv6xuNWgdr
nzmv1bdqn/miOs+WE6MSAJpJ7Ac87fiS1aSFvZ50mGfpC1KmO9spgskp9osH7pZdKrijhNa48zbO
CYSWVuKDxjMP0UGi8X3uItNq3r/px1L0bNsIurExTgbHORFANY2irKQE8yNz64E2dKIkd4EepELy
5fVi4vbIma01HDi5SkwFLSl2D1vjofd+Tscs6L8139BHBQeZ7kWx39ZJeGaO81BgL0FpuQ6t+9Z7
8w9yHOhwqPAypzWNvnQB+/ooIlzegHicTyf3gipRsB6VCjatx2IXu0D/uUAC3tjUBy9Hg04x3Z+C
t9iT/TJ4EWyKzelFHyJotPGAuuixHHNbamcG28q7/ZH98MNb1QH00sfFuhyqvXA5N448A4mO/+xx
nmokvZzV63Lqt3jf34/onIP+y7fGiYIlouo90H5Ofms5ZXB9oBs395ldzmW7cbYLqYHd3ql9K6U/
n4wAbEP/OD7wPaCXHSR2/AmHPt86VtZG3/agBv2v4lZzY1eihWM7zBt+JPsf8aE/zqLy3QZWBj6E
7tX/2eV8yC41aKyn6Pxl37IfSGlENLxhP5kHchcPTJdfH3tBYLIu1MW+XPPPpox2T2gfnu9Lo9MM
6IxhQkdpuQEF/rErG+/6mm2AJjGoExucswwLkBUlWF3Agq479k3r3Sv72bl/+ha6YJpwIVpxp+5v
k6+/QDr3NrroV/GD+Ji4+p39/NUSDHj1kIsB2+je1tAwYuCFfD7gMTESwNdU7JTquZ6f8jKYRd6z
8bT5RCMj8sA1hQ15bmIxrKwJszUxrU/uBOpBCDJBSkvInHSpR2yt0hSqgVwt8m8Gn0GVqlSpslJn
ThE78yHZIaH/hkbnRxBvVSNtXbCUUOIuD70smMTNqwMhJp7XQOEA0MHtw1hvelDyoOl58gdrVz+g
983xzHspSGTBfb85mSeW1n8/uTighJAoxQRLYNDWHahcocNHMJpNEyi9IoFpQeuF3wNJnw8RmlFg
Aip+UBEMtV2T7C1R5LJpBjxzeH6CmhAFwfORsBKJ6mGG50XSjVk+qc1uSZy53F3fbZvXENJY2M0A
K5nYWudm0FKttyFBb2v3PrnA+tIsIF4ElLJ1E+d08QC8pHcjrXbhLdmrghBma3fh3aFCYw0poQvu
IRuyA1ND4JHo5XmYTWvXd7afjLpgxbYH+ccOTzlULErR9BPszAe1cAfNqVUqOUqAM/JpDGxvMWgs
eRilBx6u1LFnT3UHERXKBqQU+8/+lDtZiej4J0ZfJrGSVXAc87b9YT1FeHTdJGgUn9+Jz3bxD22h
2nfmRc/yDjSU74lvi+gONn0KLw7QVtugn+Q1XrNIL9R4xhcUy36cHgmw2WCMtYRy9SI73BEO4JY1
VzHshIXmxz3EPon5FQTzJa1mQVlo64pfk8H/GxJ3tCQZWjKtFRA0g4HbVEJ/NIAth76sqoCTxXzP
We3XiuBB9bnH+Wvh1Cq3a6Su1NA4AavLULnQarDVX7MCunu8Fyvg7vbQW0ANo+tUcHLsQXN/fdNu
3MKA4wO1Ax5K3Bd8+psh5i/TEu2aJkmdIkRNOxQ8xzcWEPgncIIpSA2sGu/npwJKshbeTWgOKpWY
ziZ6C9/S/EuyuNcHsjWPSH/htl8vBvDVcqtXqxGoJdb2kyKnil/f6/vQN27lj84bPHA936qixvOt
q+jMIrdyRJ17G42trdN6uQsveRgf7Jb2mMMdE2ERttbpdHTcs2JQoeVSrbYS4A4y4oxIJl6fwI0D
9Gw0XACoDi26DCJYqO290eZUat1SxEiwUTBEpe5kkbgABQBls2crSkwOzMfY7b3UlXLQSnyZA/Jx
fTzby4MufUNDrz78gnM84A7AjVIB16S8Y1UkCvkIXEQTZYF5K+p92npAI6qzQN2krCwwfCV0Ssym
jgygZ9XAvpe95Rj6NuB3NP2R0jRAEHF9cJvucGKOc71Gq7URAldAwg2a26aDo1ii/bSuN3cunY2I
87gs1MtFUwHeICBEedSDGFpiPprjlcBye5t2nva4PklqWt0kv43n6+Pbeo6cWee8EYCexlxKWO+d
ak0t3f0cfNkJHyxX/lJ9gID113WDG8/KM3ucY0pTL09NjQkd7Yck99Cirmo0zUJaagIWzS1Lq2gq
hN5VkH3xVOHaNOG0h3KRMxdH1qFqjhToR5W4XSiIxz5hnvwKnlriTkRVUptFWsFE5m0q0fFgBoZ3
/3AvQ5ZxN9EoyOlBhU46Db1e1PC6udFPbXMOujAGjqdV0qZ6HChI3p3wPgsG73dPaCMY55ajnpri
HBUgazUf47p19O/lTXwPrdJb6bEVGBGt2voRJ4+Bri/ihFUYD5qg6ajQokBl0207dwSg9rorbgV3
BABaVKPRSYFKDjegjnRqomTNOqDFBwo0Qq4KTXLetGe7N4jNfrNv1ef4aT5Cq+GQ/cxmweGylcM6
+wBusHFTtswe8QFWONKIfWuqO1MCn+e7MbvQ8ezGd11/X9o7VI7BFURb9QV0n4JJ2F7VP5PAbUhW
LP1kgw0IeZ50Pz+agXK0gulo7uWPYj9Q5sX+QCcv9METRBOfBBBxC6Z7m76QvQhVtnXaniyIyUE+
moL18jzjWxa7o4P5qFeCrpnPrM7FVtXA1IMmD3CVmdySZyxBe6HMAOtHWgIhTFDQ/i5GDBPFyIrq
u8Ttd8uDHIj2zua9ZZ4Y5pa6lNCU0U4wvOTOspfx1pUdiF45zXrGJ2gaDq6v61Y0eGqPW1ZJrsqM
FbDXKeikROWChVRVGJ7W3nVD6w+6MqM8ut+S5rbPLKyZjIZUBULRRz05rAVyFMcN3dfi9+v2Nm+s
k5HxdV5AvNJ0qDCy79Ghbegv3CDYtYuDoNeVwe1lic4J0QjV8yOpqtDEFpkYYZ/uytplOuo+fmE4
ikTr4jcRmduKD0/Hx4VTliFnhtGtngK9dtmd2M+oE5DwbIZspzbWjXhyyhpTU/SGAhvpjez0v8Ln
/Ch9T6l5p/1DWRS46/82HA+ARdtyq3cKJq+Diu/0Uih3uYhBfStJdmaDuwNzU++i/ztjfryPHfVQ
ukUAHFEHj8j2rc/ouFNf9afrjviZzbn0/E/KQ5RioVzOTWKTQ1uOYGj2F/NAjtqrjexxSx8G5GJ0
9P/XzitOTidHalfeya7y9g/pJoz7zwdwqziCFDwBawcCb6iENTc9qIy0YEoFG3zzUEYJEElrwCwh
k3g+zLariLQgF+hMgPri6UJtXXAHbT4pcSAjlYoupDWRfG4itqdc7i0MxAxQF3PSD7ALKHfJg+Tm
Xh6M+8i9vnTbUdOJQW7m+tRKw9iGQQMBBgTd6OubStsv867ajYLBbbvJiS0uOmwbpPJYCFuVB5ZP
0+s9dIY6E9X3HSr2YEwoYvoQPrzXT5HXoXiV3WiOkBhlYxHR/wAMOuoAkCn/zLadbPgsY2DQVucG
DF8S5IcIWeWtW+f6tG6EEqCHg5ouxCiQieCTZcDxL11q6ygRNcyVzIBl3wDFXYaC1v19XAoWcWtI
QGShIG8BkXsBL2pysB+wGOg3M5eXL2bXfJ2xpH+f7QSE6Y8R7truu6GsqhzAwTFhFF2Ph87U8VwR
0TVtzBzUJgAqAlJlhRdzt3WThkpaDuizh7B67DcDAbdzZte0LKv7htnWU6g3zXOSN8bu+pJt3G0A
tCEOArAB6AaDc85uiMPekgqQ+sn7yPJ6+4EhAkz/D2lXtuM4riy/SID25VWb7bJdrr2660XoVTtF
SdT69TfUF2daZgkm5px5GqCADieVTJK5RJzr/KNlYibIjdv9FRwXS/QY5ls64JoJG0EOcgm9/OCx
z1tfwZe8bduGg2Ac3kQ/mLU0bvy5fa98PtYd2pVLhW+uD32Ze0Uh6oDZuGRdIXDmWEVh0ISBtbWh
iquQ3GuzJ708V+0o8PWtdVubwl1bkwFhM88AZMqP7VC5JKbBXB8xvQb1VFGJUmQV5/MUcqFjtTCO
d7NUX8okHzGyUsePdHYeZcJUgW0b9x1ssKXz2vpTGeV8fyo7nU4YffV655GUhyb9Kcyhby0fkq+I
EuDbR2sWt3x9nY8lBnFQ660eUszXdvsh98vpuRcOd2+t3RqJW7sxSpRipkCadtGu/D2H7Ph9Rt3C
Cown/Tl+oDsdxJK7246+FT3WoNwKRmoE+rwcoHYGAnM3kx+s3tdBr5I8Jb3gBbW1qf5iIQd3fVTb
HXhVkwpYbHxOhztbVEreehOjR3y5BaA5VXb+PNrXu5ZYc6TkGnbtpbI9OSjPw27EXQ68fybORrAs
uY6PO34tqA9sueEal7vlT3EyImcK3DRuMM7wnkVg/ZQEIFsXD1iHyjR6YXRwxXKfaoBYxoz8GCJG
7EejX7SlH5tuK7+p7AsrAns8Efo4O79vO8i2bf+g8m+0EkrvarvYZlc/aWG8q40a2C358r+hcL2J
Q1U4tBxgG56bu5ziEl5Ud5otmtrd8nYD6mHI16AjHQM51x4YOaRvYx3GWPLvqtgP5RMm7FxoP88o
iMvfb9u09dp01mhciFcTXWF5CjRMkJgfST6AEGhUSfFzxIZ7YEpseAZpq5M1sumAyaA2kKUiBeNi
3x6SrDQxu8zsgOUitYSt+ij68m1wukAu0EBN+3oZ0gqEX6UJYv85V4OevXd4cneJ6meZEw71DxVk
R3XfeSPFoJfcn5k26e5QI8/VfZ3thyJpDuCvu0Ot6GLIkU+dRnDv3XqVXf1AbkONTQVKTwc/0DyP
YfYw7OI9pBl3OvOivf5cgjwrQazaoQX49ifbilDrheEeE0Nigc0zW9ja83emn0tRKmfL/9b//oK/
ClCVnum5riMCqggUGjoFWe9byV2WPUS965SCWunW1l2jcd4O2XcpUzGOBM2Wj6lZsuVvhvN2e8W2
Dq01BufjZmfPQ02xYlIRZvmLhqxN7qvT022UraQD5hpMUCUg7mGehPswMfS8x7KAKbP6NsSW19SH
RoGSA/KIxs5s73Q0EdSiVMeWbWtQ7mu1jlbbkQEvHPrXIn8xCryRz6boLbJ5auG0ApsAZEWWNvdr
p9DRwZJOs4K47mPjzf6l3aVWgK8V0HMUYA7XGVz9SVSs3HIOC5d3lMEwmYfermvU1Or6EorkMI7m
QVqj7tb2bzMxBZWULY9fw3A72S7tSM5r+EfCdnPlY0+D9wf0JNYEAlNI1GmCO8a2p6zs4jxFasx2
kP845MS8ETwykEs+4X10KqFXNFSyBVWh5FJBe92pe8FlSrSmnMOoSaTFmow1jeTHtPuad7tmFHBV
bV1H1+vJOYukWtUs53CWdCyeelt1J5vsQKD20iR9gP4hwefbPMPWeNz+RlsAs6MCeNqzr99Bq/eL
5vjRcxvO3nRAVTFsJ//2Xl8WiUuNQdgTfDYYdcS4Kn9GoxwGqsIIiGYh/Zqy4TspdAHEVir/CoOz
qpoVOXckeCWIGp9sbwj6o4KyBXFBNnjqvc6XfRlkb6ogjG36h4ZHOsbRMZrON6cPcdSXg4ZbTlrb
72lU7pXKPNuJITJv8fHPS/gXh9t0ilHZdVMAJynT17Z+TTvnYE6F30JLQ5vex1kCLUv33KZDEA8Q
ymapZ0/F6+3vuGUsJhCWiU1cWdF9dB1gNPDmsMFBpxmUIYb8vrBeZFmwnpvfcY2xRJ/Vearhcdb2
BBiW6o1HjFA/SV4amAcwlMyP3aG/K8NiN35VfkaCfbFpHKgYIcRhoI+NN663i9jOS1ztjBlEbmD9
d6sW5L1RJMghfd7uaPbFkCLm7GQwOJucgTnq3YlcV2iXdty2/y4Ph6g6V+roTjJzb3+vjcVcsPB8
wusCCsz8ZF8+5+OcRMCKxwwK1T9n3Twy9Rvy42DHhd6bOYA3yAInZ/6LmalvTf0Z7Cv+3KDLO7ND
qXgY4/xF8KOWN+G1K1//KG6n6i3WFMLWILXSrAB0LIGELuvpMKW+Zn6Z670t32udAFTfwrQXOgUd
LKWfxvTkxpkqTUUOq7Tlx7w0n4tMRIn7+ViEWSsIziwtyaVxqhvmqUQDMZ03KDsZnL80PkzSXQLB
u9vL+Nldr+G4vdh2DpOSFnBaKoONDK1WRQuhBhHjy6a3rqzivHUwqTJ2ERbOzJV93IZVhtKFtgzP
YYDk8F+YBAYKMJCCQcvhO4fioU8y6EEwT0EhDwLXIBwKMJp+G2TjNgGhadmUbWhTqehY4xbOJKCZ
Al8j8xrld4IuHqQBccVNI08yerfMvARkqOr+NuiW+0H8GVsQDJEKpKqug5o1j2BINfCxaIkp20a7
h86bIHwt7sXvqjUEd0BINQhKaog/e1KaeRLmiDKkBUHfTl9vm7LlEGsc7jKW1jlWlQKHgEPKbi94
4s5oeU+qgIlkyEVQy6qujoJarZS81QGVq8RPbJc2KlqpvYadivTHbatU0RdattsKqyG5OZUyw/Lt
u8llqmuf2UEPHE+9YGbSK/3CzT0lmHd39iV5es2819gXHfJbEWS9tFwEQbvD0IEMEp7ZkaCESuZc
hQP6AQzlKMW+JP28bbNoebmNAJX3dKpswGHo50VSZ+QLMc1oZ7gIZjkowtLdbbxND126LNAciL3A
k9ooSDdoUtcxT6/DWTtR/WzH32aR02wu4gqFC1iOkxYl5j6Zl5a7we73kmS4aXQcwd5N7Ye4C28b
tdHthXCywuNSeKSuqRX1sKoCTfJvaIiVXzRfftTeQaEc9y6NPekNnQh79b4OGca04ufbP2DrHECo
RPZrodjEZPW14/aaIY3JBHvBU+3mUKVMdc9sBYnKzd2xAuE8M4ayu/RnUSN0zMnqewpGvNtmKEt8
+hS/FsoepAPwdOX7leccjCBjhHUk0qWuHkj8tYl31vgj1X82/cXM7kx6jqVdLr/cBt5cvxXuYvpq
40dgisiTZeO3M4Q/28Q1LFyMyqfbKIsX3LKO+0pS00P+IwJKTe716pc+nVRkulA8jClxMaEcVOa/
5jiBX67s4j7ZWNHaQboIftHeOdnXtD/H7VdDdGRv7Oml8RY0GGgvxo2WOw0gAi3PTAUKjSQvg3xN
gXJUbl/AfC24HGzkVACxguI+VJwX6mCRARkA9DU+K70779PzvJPO+kPTuOUBZB9H56si6I3ZCCeo
tCEziQwVSkZ/ehVW7kFbqdPiIWMeo2c7Gl3wVs9QvdCVCnntAFo1t/1kwxuv4DgjmTaAJT4HHFVP
pfSkZHtFErjixjC3cYXB+eJo0sGuZWA0xtMAFRZoGfTnrvB7QrwoDZT+NwN3tX2U7cemPxrkoU0v
bex3CGyJYHU3xtqX3wI1dkixYLidLzgrLQTl5yGHvX58r106fNnqm+49QbbqxPbJUxeWkhvt8xO5
NyF9+NqKSFs3DsGrH8BtExJJqIDk+AFjFEZjSBM/cb72zj1NRNK7Qlu587ap5bRIDUBBYbjO9rKB
YU/9ZxL+yk8/sjB7rxRoSMQPg0tOnZu+0N03UfOJyFjubLTtarRqB1++K/1B96HJ5DZlkMYfWvZ2
249FSNypWFjVxIgJW8H400fHuribiqd2eo5S0cGx7Agusq4/IN8kCvVUTc8aIDXqqdE/WC64V2/U
6DC7t+ghgXTBXugerg+IVqdqpOvgYJ7GixFdMGoyFmGthTM5TqMP47Q4AZejSJz6D9MYZxhmu7Ep
NBCtoSeZezMkMfTcihH1EYdp4PU9xOMIOsBdxhxXHYLCBu9Q7sWOuS/pMe7PUnIEDdtkHE3tfjC+
mMMjmsFcdYISRbzLIz+r+mBu3UE+5nM4VL414wGkuZN+yOzo2EWTm9pj0LeGx4jkteNbn1CMP31T
u11Rmp4FYmEoUk/NxWJyOEJcEu+mWHVTUQTc8BzwJ6P3BZw9OiimuBMFCRN0WM4G7gGIgGhUrZxz
nkOQKqgh+nHbSTdi+xUUF2yrQZ9ZoS5Q6Sk1/RY8/cgypZJvx75JBZF9EwxDgyh44D8M7127UTwP
XVFqACt66I6UcyhLpsuUL9Jwqrr7jLLwtnEbJ/MC9A8eF9i6dgLtmAK8XHqTMUuiqS9xa4ZzF9zG
EdnFRTUFlC+0NRe7jMgt2zK01R+VsdPmZAd9t4MN+fR/DQghMvD3omaO/cG3lUlqYkeqCUlTpQnk
mB7S+WNiZ4nUl1QJ/v1kN3IRKgbbkBRE8po//ktigRIudjpPNSJvoq9ThM5iMxyIwDs2zv0rHM4V
qaIlegvWRI84lzE/F8pL2gtC8kagvILgHFCbNSdF9avzWKR7KmT/zH+v0IrFAsEn8oyL9InKuYI6
a2ZMEiyWnnTvDOqpPU2eSCa4M2zasULhDrFesSUzlYECXj1XQwNqVe1ve9jmx1ghcBE/kxJHRXcT
FNzKX7QOtAkpL2RL/ycQfqBZNyotxgZBSd7I0c5yGGwIh4moqAVrxVcnbMgvWHoFS+TOuCS96mOM
zr9tx1aOef3V/5BBrG7ITZPXzADVCybb53NqnowJyggV+OomzacpJJtY4ZJkwGNcBoedFdQK8cZE
8ZMe0hODvIuGZ5aLapTLJ+IOz6sfxZ0iBG1JzJGwumX3alfP9XQfx9CpO/bxWckDiOPdXoSNYHsF
t3yH1RpkkdyTTF18Mh12PaSQpfS9UKHXLiiFir4nt4e73rFb6ix7OM8euqY+luTltiUiBO7YqOrY
sUcZCIP+JSI7lSkCv9/Kv16tFRclzLSYMYuCtSoM+cXOssxFvwFIjp3pYeylwMntcIRMGGufnFgk
iiQE54JHEs/o3IfWmCfLL2XUuAk2eXcpoQhv3o2ZA1KUI4HW2O013XRGZL1w9KP08Kn40Da2GetS
AgEDRKyIBKmeoffGs0bQRn4zn2T26zbeljdq2qLMjZYaFZ30195oj3pLRwd4ndP/LpvqZUQurFOI
L2vCBVU3Ntoai1vQgYF6oM5TTMKe0LzWxOjJo9+sc/T8qj41PypBHmqjiwgDxSvTuNBsR3qRKQRw
/Q/5Pn2znvP76VftuPRooQ4a+MbhzXgUzgdsVKzWqDz3MLXUIm4LoOJ1Ggy/0cFunEHeXkC2i4pI
ugQfz+Cu/bZCK5mMwJqa1CdgHJ+Jl2dPtog7cOuQW62ksXzYVchKjAzzKhlwSg2V5EI/JkPqDZMo
QSSC4QJxpySNVrIFxpA9e7jLkF0TJe83BkauvMLgwu9kT9bULSAS+OfsXfMleyEnxSfH6ov+nJlu
KgjDm2feevG4OAxSGbnPl4/Ukrf4m+WaHwz0X1KQ7noPranSL3pUX9CD6DwWb7f3tmg9ufiMuFk0
aQNkTfsx2G+q1rq1/HobQ2geF0D6KVckefEN86yhP+9DcdkxvTOI30EU5LH6Mt+NDznUi111Z4ue
24KAYnABBae2mYw1sFEeRwuTctE9TE6bmHePg6+yS3aWoKVuox/GBJO6Cq1F0NKj25b7mNFUpg5l
CkZeIVw4FpeyuMuzoNB8TOH7afYM6TwS7btuV0++VN9n+U6w3MuWvr6sLD8AtDLoSEd9mn/RzOMc
OwXRMTk2NG7eoy2SGt4kQ6HFBVUVZNSnxAzmKChpIEC2ltW8Bc3tnMqO7RR9A2DJNI/owWNNCSKf
fT4c0vwsOZeyOjX1l0rbNdabY7i9CgE7qMnLvxTlm4k3iuHKY/7oLPQpsRxoLEiHs11H+xnqWBZ9
QZZElb6UVeM7NHNbMA6y5mNMZI+xSwxKY53uNTVBnfLQ65jLQ/qiPbVzjkLNhw2WUInp3jiFigrV
lICWEL+6qyQS1MOBSLsoO5hkdhk6Lu2dOe2a/jkfz5F2MWLixlnsl+RnnB7jEmyKuFWUaFSbH4rs
QlTfVEN0AFJM45NLVh6yKZQZ7qvkrUSHebTPrL3tvFX0UWPICJBjMT0Wk2spuW83e6t+tllY5ppL
+5Nh3mXxo1mdJPBIWe8O6v7zKW+OlVZgYOdgVU9lviPtt2h4Qd2EOM9Wv69M15p2uXYh2D9yD56m
9Eero5fuMsxhb6lBCh728ovcfq2s1ENJxMWlKDfPie3pyivJnqXqmza1voMZcVxYmAkBWhs8a7V+
10q+k/5QK8PT46/ydF9mF4mC3xaFFLXHLIAdwv28rHqNanAVhzP7zSCU4Jzk6II0Vt++2vn3oRnc
pD71oOBl5AiybuKMXt6HsR60cguN6frE4mlnqJdCG1y5snd2/gU0N2GZBqUjqjttVNdAOYY2SgyR
ySgL8fwepRFHjZF0qFGC1vtgHZqQgb0kdYtTi2lYV37QztZrE8DDnjEkNwkublvwGOVU9EWJBmlq
fmfWhVF1jQr47FT4qjd4uUcuDegH3fdn8xT75O4HCkfvbSAaP9gYE0TVYYXMbUyzmkyrwaH2p0so
CtS72p3f49otcXX1nqzAOtOgPU375GD51M920ujKfuyLToKN+HD1M7jYCAXNisUDfoa6MIIAOvLN
HYLxADqEV+LihPOtU+5+cX7ejkyfb0HX5nPHXE+hRCtbqJeNsZ+UH1QNWkrdThPZt/x+Lv5d2ced
dHJeDrVloH5VuuW97mnHJISAJ8bw+x0LomO77zxRSmmjkHVtG3fClQlY5ZmNNS3fajc5kLDWwauA
/KP/jZ3vi53hDYJrs8hK7tZcaA0oyhc3tpw7zdhF470m7W9/sK1TdLWSGF/k7pNgeTYhKoutYsbf
ZWM/y+QAzTi3Hb6h4uQ7xfiNDaoLQvN80TD2JgWSD2n/mOeiF+bnQgvUC5H1X8bHll3L69VZXVSY
pQTZa/sjntwaD/KQhFIPHh1Ia4DA+DKB3EE6ZKB1+A3K7A96J51E1L7L/rxyrOU3YCwF/FsOfgff
7NAUtLUrLUN/XXHSld+2iKl928gVAOdFKKEPZczSAZNXJrraKrfWM8im2U+kQztORyGqjH6jqSnc
bNLx1k7caEQ2f0j2Mc0g9mO4qhmBmby+DHQ45LbmKkPzbBs93jRSKoqkf0gIr9YDjb9/4xkKqdfu
4TiFSp2lTQIX9EcncbWQHDI/v4/87/lu9Ocn3DRclL7cNoSMrDeEDMrpd0bmPt/200+BBd8FaqSg
kV44nk3+sjdIyVTIaoSr7dSEKoZMaxx4rXUWzjd82nOLAyxky5huwLHK5/udYi6oCUEVJEPBVGgS
rGqgqeFtaz7vOg6Fi5Nqr83FiKZfr0ldGzNPuDNDgXtH9tFzddA8MroVCooi5mORbVzUJBjdsGJo
C3tS9ciyF2qEg+LdtuzTwcMZxrk3sshSK3cwTMpk+VDkdfnuGJl9UUqam+5YTdXZ6rLit9RloyDB
vOUi4I8HFY9pgi+Wf4HnGfqX+rkYUKfdySADlDGf0hxV7cttCz/nMv6Y+BeHe4HPugqxEnTDew4u
3L4yhuYuvlO/So4Xn+xn8kSPxjk/GF4r6lT9/F5ekMGFhRCpLSzn3PeLrdkZnDQHifMBW+9gye47
ZjgCbdcesgDXZxHnsBCQ+5pdXHdp0wHQPLNTipT9zvGMR+tjAEF2cmffC/NEnzI2nIXciScZExks
jOdBAg/MPpXXg+3GbXCFDonXxqJr4qaz/l3PP1nHVS6lI0XVTzLQRl+52Lv+R1W4LRhIveXhPO/M
S4sba+Kxb/CmaS+6UGzuRjzSoA6CxlaZ76GYFMiJq3M5oOMNLcf9fljSi4YpMnJzW2jgqcaIIURc
+OqOyWyLOlhW3IK7391O9sxAOtV39Hv0YAUQdZvvy4c4ZIMgEGz7zuo0504OTKN1sWkDFxW/H/qj
4hdh5Bff1ZfZM7z60n0XbMtl212dVIvrrPCWv68+piGpBUuSCkS6KlqMGHPRH+yluxYDJAMIhfAs
F6zs57v+grg6yjln7XPQR8vqEk7Ng/kxfJvdygyTZ7p/ouC0tH+U4Tz42Z12N3qK6Y/e5D//6zaY
65/gcLc3TdLHpjAQbkErW8sfUvdop9B4eofCmsDazYvRwvm3pDrwouNiT9YbdZq12CszCl5kpvfj
KFJP3I6smFNRbOhVLPPV159wJBbeqMvuB2eSAdK4++4+NI4aqF2+Mjd+Me6gB4BGybARHMebW2SF
yz3asqjJtZQB10nVg07nE0rVXlxNQSKivdpexb8WLjFh5aR9Nhkzi4FkO+9p+qanwe1dsBXR0OqC
vhd0EOCWxG06q6VJPMQ1XDI2di0yH9EDRHoGslNIcV+Kej62rFmjcVuuNOmctAXQJue9i8OKiRqf
RACcQ5hWaozKAmDaz7ryE/Kdt5drcVo+ZvxhEscdF906vMiyok6aZvbN4PXWd7w2tN5v0xCTLY5Q
HX7TkoWz/P+ReMXkagQPr5UDKdXkHuJ5CdLOeXYu459xlIexqqHDtGA+6Z33ISWgDiLsTe4x2WDY
1X1UtAKP/9y2i8ABqhiowyx6m+jtvnbEKdZrrSf4PflvcJ44PkNnUetWp3t0KiErwmTBU3Zri4Gd
EQNooN9GGw0XPvRU0+0E4tReHIHRwjpRrcSkTVC1/r/8ojamaFcauhxOpUVqPy7EpGYXhVX3tTbA
+iinB9Lhjpblh9ton7Ybh7b8fbWdbVXPzA70j15fYw7/NWvujCF5nJvBr6rM1WxRK/4nf+XwuBOH
lHOfpQ3winYMS0t7oGbr6nYRpCy7HyuhNtSnr3aNx3utzdTCslLQePYK6gnjS9P+rq2fo7C19XMm
/eqr2VzYwlxrmlECHOaoH22eJW6TEemoxMNJLUswooLUIyD2iEwWBZUoOpd/S4zmAt8RWcuFszaF
+rayWNtIeGL6KB96HYaTR0tEhb35GUGKD4HApXbx5+q0chvUfksVV7LWSyiIDUKk4hWao0X5PRGR
2m466AppCUsrpEGyHIIxH5Qo1DfkXfFYwUDbTBoXZI9uPIjSBZsruMiToCV4IfbgjjddGgqU85bv
WAMpVZDMB+fLrJ7NQpQbE0Etf19ZhtZRKlPIS3nUUp5tdfiaGZNHBvPQGI7g6vPpor7sgpVVXExp
M4kQlWER9dh51B0T8kvdd90WJs03d8EKh4smmR6T6A8zL4kDbfbJQDw1oT6Bb9TFC7O9kj3MtmeI
aMZFS8lFldxKxq5qsJS1pmOEyqncouncHM2mAzFEbYAbadRlNXHoLII9y/9ef7i6rCg0dYFmZOOv
goJVUY0v9hgfWJmidaWEKlHb/c5w/8sdEBSj+yjJWj+rI780i3cdE8a3Y/iCd3UH+PN1//k9fCNy
L1nIi3TgQyZ4QSsYRLf1Hq8+MzCqUDL9wgloO/wXkQbiuVCdAakFNOk4j5KqwtBGAjJBIkP/RSZW
oFeTP9PGx5EimFve6J1BDWYFxrlV0UuV3Y9gfizro9YfZdPT09NQ+pX1mkJz3XlPUiqwb6MAc43J
feSynpkFSW9sGeWOpJeSYSGpz7JnFODMztercyzvUa1tGzdi58neK8Ndwp6sNGjMYxr/+6a9q5+j
c88kSZq0RCvwc1oj/hjy9qep5js6RoJu0CWa8q4EVW9kD5G9Rts5F/4UGldaWgEms7rdaJKvij0/
3vbWraNjDcGFPSfWzKhTl4VdcvT6scXhP0sPSv4Wyd/+NyjOSU0UOyymYGM0reIm5WMr1SG1joaE
VIzoJbEVYtdmcT7K2iQqIfYJct4KTBCQmkIz16QLOga2QWzwnpmGBsY/zqB8dOy0lbDr8hb84FkC
wcnoSDUi+ERbZy6GDv6B4Wxp0qKK6rkF8y85j82LKbVfWnJfFSw05dFNQHEvOJ82Rh0W9/6LyO22
WdMJ5oKA2JHRS6q98wvGafcTde9SyZsnr+tJ+F84h4reaoh2/pGLuI7iDPdQ1i1E2HLMThkI8SUL
ww3s3lFemEgC4HO2HCEaIwX/gHG3GFrEJAYTCdQ8qBaMQwpvlLyagtyFhn2M90sf6Mpb5TzWzV7u
3jrFFUqHbq/x6jdwezsmSNg7DQw2TdeJPkb9KclxIAe6hBOMBhFaQGz90lpfb6+zEJfb8NSyEmto
gdvMuVsUntw/Vo1bqyGtodkJ1kiKsi705xXcDG5Db26XlcXcdiElOKvIBGTaBYXc383miJLc7jbI
ZsjEGOKiLAxdHf7mLw2zXElxByEQCO22DIUjjXVfbmN8TkX+8Z+/INzFfnAaZjkjA8Oyc4korjjv
jrNrpFOp3/cp8ep3R9217N6ufjCRZNlmMFjZx72zJYzdS70DaA2TSJ0B6uX0RUo06jZIxDp7Klmi
AaSt+4ypqQbydKgQWBoXDAxKMjmegSjRlwmMcY5rpWFEB0id11Db2dtVIFjeT0n7ZXn/IvKnK6iP
CkytALG3dkwNzOphymc3gj4TSZir4bXRomUGktG3cTeXFqQFaLxyMOuhc1FhbspyTnvcBwvljY6J
6xQ9KtPdoYu+asNHW8/723ibC7vC4yJAnShGNvRQnjKcGXMy404d5IBWqgt22ktcmzsZ09Vpofi3
YUVmcgGgHPsRKSPAqo70JkXf+6JOXPAAhpX2ofRlMKhUkKvZvKKbGOLCMYmMlcK3z3SJXjpsxsqm
6hSq6viqzPScKnRn2/N9prymCii2B+dXPkmQNmdQ3HCkd9A4gVci2lXmIDhrNmMEslWY4tUWqUbO
o3XwHXSZgd6DuR53hdo9jYlIh3aJZZ9ubv9AfBIa7ykeOnMCCK1DDeYel2K0C9pg0BORhi1f6xbQ
8gZcPVulzrBKZ7RwdJmRl2IwuWMo3OfzniS5YH8s/ngLiot6ql1Uqbx8xZ7tocJhD+9MEQWb7cfF
auG4+EZMNssTgz1WGSNLpLkDynR5cZdG6CghAbMCdXlWoYB2e1cIgbndjwHgDsqvAO5ldPxEsTuD
pE/f9+i8XhoSzb1W39eW4GonWlIuBNh9lduZBFB0I1qS7kagOmh7gWmbIAayQktmyALP7LWLaKQo
R3v5biS392MKrmGwbIOgRnC8b7r8CoaLK7VqTnZmAgakO+g7+d6AfjVeuHqzMIpGAdim26/AuLuE
4jCrAln4wn9J3Km4p73uTTHqqiJdOxHQEk1X+8uMlQZ3bwCl5CEbdpBddS3bm0Sd5KJvxIUkgyL+
5xkcQbbwro7L50SewrJun297+TYMFLA1Fbz/EEu7tqamVVK2M8KSoqXuoE3Ijz6PqIj/byhcoCA5
bWKk1KERy4y94iQvU53uMuIInl+bBxm0b/9jDBcqutQq4s52EGPxnsSYqY6RGiPdMzxT6tifRa8i
0dpxAcJuokHvKsDF1X2igpgBjWSpaI5GZBO3V5EESBxzxNKVyHj5jeokGESey29pYUPAVc7xSK/B
MxhoxSyiRtt+GeCoAo2NibvenxzMytX1TkrYMECLErJoRnPEhDBLDFer7ml15zAfRGld3bjxKLJ5
8zj+i/uH0niFS+K5nlD7xnGsqG6ByetoFF1ANm+UKwjO7yeoWxSFAgibpOjdb1xq7U0EWjXz8jH3
pi40p7CIRTqxIsu4jWARQmWMeeOGJ1mHkXZvc1MI3jubXrmyjNsEhpl26MfGR3Oqc1MSL61eLHjn
7Q29eVNdgXCuD0pP6DlNsAOpTVeXDi2iYKNqbosPZo5PLL+bRX2koqXjNkIxyCXpVECSKEJmsbiL
KvJx26rN0L6yijuwTC1CLcpGzAWhpksaDHdUu848p10qiIfbQOg3RGrD0GT++puZyRDpGiRYdWt4
UMosBjWgHfRoz6xs/f22UZunMPRy/oPFfaqmbgtmOvCH0gDDYzAqja8xX0s8GbSrt6G2veIvFPeJ
2gKEx4QCStG6kxZPXqY/jctoo9zF3/umOGjxHAw0EnWObLv8X1zuu+lyPvZZjuVUEeM76PKZ8Ws8
DoI092YkXi0kd8PQcmcAowGss3WfFU8UlGjKVGGqK6SNE8RJeHsxRT7C3TPmru8cpYRRRRz0KBP0
dKe1H7opoosU4XAXDaUYepD+wCy1ZhhywtOvTlGayJ+7KhNF3SWqfnow/LOEn0QhCBRkotQGlpO8
psMBCqZaDpnAzpuHyC3yZwgajPJLpbP97bXcmFtDAmEFzIX7UTILc8ZYr5e2ECzNfreRE4cYZ3YZ
LiR1Lu1K+tz3k+v0tj9AZY/2UYgmTPByJ67aW0+jXj+ABVBU97vtUorMHQeEWXrbF/jGLHtlYFSy
H1kFhvjizTQ/8kbUqLe9PcGppKiof+l897umTJQ2Bc68ppAhJej11eimWusS5TCSb1ORuk4iiAib
zmWBXNVSljYevtd5zCNVTRsEbaRvXCsJWva11X7VpqAssp1/W+Esv2N1Y5C6KcvaZXjAqg+UHMrU
a6UfRbMv+8dJ2SkqztqfTfdaF48TNDJvO9fmR1xhc3FBt2uVmcuZrtX7wsQcd/4G6R2/s8Mu9uVO
1PYoWlIuLpi0VTKFAS4uf9XpvU692sbImMCozdN2ZRQXFVonMwuqAaXP54NhdD+VThXc1m8bgnLW
9Tcr5MyhJAVEChWwBHFN0txGeijq8Pb32Twd7CW9r4BW2VG5U8l2epVlZYwE8FidJR2s/qX8ZjbW
022Y7dvyCofzQZbQvIs0xBhteEeJRNGCDA1faPQ14kCGzlm3x1hFgjZRAe5yofsUVFe4nP+pk9S2
3QxcsOG7TV/fRbPm4vHoR2jyB6FCkDjfWpL8oBlU42rLJV17sqwpEfyOzc+5+hmcX2rRTLSBLbGs
6O6oTo8tmoXKcXRVaRZAbV5pVlCcc5aOAaI6SOWBreynAcdpMjzuaNgO7+AP399eXoFZPBtL3uYR
0ZY3ZdyEcZJ6wHImT9YFV8/NILJkuRXZAv8wPxWk66OZWQOctJ52evsLHSC0Kv1U9g322siiHrbN
k2CFxn0rp7NyZo34VvLwf+x9yZLkuLHtr7T1Hn1JECDIa1d3wSGGzIycx9rQcirO88yvf4elahWD
SQVftzZv8Uwmk5UiMz0AONwdPpzzjRYPanNO9cfW8QDde55km75aA0NdEzg7sbB0CEvTcXlJYLgq
oDwPckGNIr2MFZurtrKWDlq0X79WOG9b5p6HyU0KXnuk9Y0emYYhqO5Pa8ZyC8JExiyocEq0kSQd
FiVF0o3ut0BtR7u/kca0seSou8zb4Aqove+F0g6mYMND6Qx7ojnIH/pXfiF7ZlFEgZ1GimMmDdON
tgdPW6ADMHPlm9IFEyHQhjk2hHFZm0PBRg6ppFj46OpTUC4uMb2CWhGP0mxHAwldG+GZ11RbloVm
NjIyBu2+q/S/kwSafomZfWTIB6KUii8hpzctAR0jCpoxsKBW1roUY07FzMwhq2KixCFOHo6r0DZl
eTG0jypRTT96LoMHKd3xfJ8Pt6fFLjuZf91ffTyBSQDigFOOezl0IZCGM4I6UZSxSzcP8xXTtyZn
dAYTOSDVDLJA4OYibbtTnNTO0VQrs7Ws+7I5QvOukFDmU+c8k2DKTdEfheUI9aFRBwMILqC4xHy6
LXc3EmbWTu/esu/U8RBG8y7KL/MHsduKzgkZDi0C/aLojbQGhQu64Lz7zju0yU5HsyupwGfIV67G
op2YCB4/n+yn6+skSlH5N3uRY1QaYFRrNGSLDmQiYRZ+RF7METthKzsNSYVhk6mOFYpdytaGtxa9
ItBSMY2u69oXxF0BQq8ubaEaiXfLcxto14aEMJTZPiY3T5/XohZORM12zeloIyXJKCq/YRjXVUvJ
iN1g859Jme1c7IJTTR+f9cS/0FFhBvZTlKyxgC16JnTJStB1Rf3SUOq1aDpSShyPLKM64V/0gZkC
MEApr/TIDsLIyJUVV/91CAU+A6VGtCaiFROETDNnmEVNGIcCIoEtER74bX+t3peX9NrZgInmuQBY
QdHs3e+I4k7v59KlnsidhzK0CJNA/pF1GvYaiCbRgRlcU/e8lq0+uDkt6wel1DwqnQqbOUcfGK8N
Il84x61uuDbgz4Fpaw6Geh2fxdvsXB+MJ8mIHvKNa4WVwcCysPK+WLoP029Aj682qsaKrzKoz9Bt
6uC8BwlVfa8Vliq/nl7rYqVwKmlmlHmsJ7R1IYkG5zDJdV9binTOOVoUlF2hbnLApOZr+aEFtOYj
NVJml1DTGpc2BDuMqYrDgLj+TgoMMGCi2uE9VQ/O7XmlGJHpW6+O7a6Vs5U1ZZpdTjqEvtQEsNi6
4W2ce/U6eCotYfs2ym5bFwd6E1iaxcxiz29zi3yrDHW/LZ8zaHdmljvESWDnNIP9TnkpNtINOffX
HkZLph20SBijxZg1koOzQCBS+yEM4gA+rLt0fAzHrbqtJTM4DTVm514kQDCUejiPxDEAbmiQGJiF
ax3vi7mNqZTZOY/Td2wYXRQYyCUQmorokMUYHv9QavRORGSjyzaQngZp2+ob3kv2ae1e8l9T8bO3
Ask69NbGEM9ychYO4rzFbLUcPZX9Gu3E2nbO7GLRSGmSaFAp0V9z+aFv7irn++nFrIiYPwuCOqoT
4WIxNBxM6lPTUYbNEK3S/K0EofrM+g2a7vG6HTeNbQhe5PDFtbYv6FXD7Vb+CORzYHpLarz/z5Y3
M3mgpm1kyYNYlz8XqJs18g2nT6dlLF/8f70l5qEaBw0IuGpwSn6Lxr0mR7qDPGtae15w+hZod6Xm
705LXL7IvyTOLkCvh+A3cyCxyA+OhCgwVou1MGBRhowZvRFxHsgcs6uclFopt+Mlo7V3meot0iM6
S+v30ytZ3DsZXBwAe6Qan0uR0AHURnSUkqtWT0DsdXCi3qJEsXL1ykW17j+TN9u52B36MGhhAsP8
tmBXmAMM+4tAe4mdm05dI3JdvFuTxY2fT0JpIflBKKkQ1jcDmpD3RVga3hro+qI1mggZP58ICd0G
JAglhDhtboOqzZR8He9v7QqNHitqt3ZYM/8BxOKAhhJEpWh11tGyYlfDW9/dKfScVCu1pcW9ozIA
rQQIM76k5kVV9lnkwJcLkAf17ZmsWX6+hl68HJNNpMzUIWE0I9H4NNYO3lWxG3aoXu3jA4hGaGCg
cJsaYFrbJyY5xBspNqKDZq9xTH4daR+D38l3mGlJVTPCihBXoHm/UhAUPqKn7+P5nnJTswCuZPKt
MEE3+aTZtamcDQCd37A1JMG13Z4pEXKjoPlysQ8gdAL7dGvy2+683Da74C1/924UO8xslMFk+/Rt
XI7YJmufaVSU0F4tc8gNUkMjBgb/zqsd/XA+asVAbUnaUCN/Q5X0Cph4YMBbA2dZfnhM5I8aP7k8
ICsIQ92HfH530GNEic5FG9g4e2kDiqLb+ty5pZfOYLhvpxe+eGkncmeOPVDLjKsJzjxoDR8pBHYA
hh9wdf8jKT+i9MnqRIje707B6vziLXDOeQR0VHDB5CvPt/HLfnnY/FrMj1TGRAzlpaME+riJbmxG
nvhUEGbrsmdIyvfBkxD5S8jbrnXMLhqjidSZZ2fJAM7XHlLr7IM4zIrCnQOY2V67V5E39Nemt7+C
SB1f0x9B6WSVbhbrpB7zp70JPGKBp5t4xv9gWFBcciDsAXHzDdh7t+Qi2VYPAJiKbshFvz19oiv3
9MfUxuRLVECLhsWC3uQy7korb1IwWClreZM1KePnEykpQP4bb9SbHLTZjpoDEv2zrtnfccWTA5zZ
nKhIxjYFSJGC91K2y9rKvXce2j1ShMEaVPBSPg35bZVTsD0jtzEfvo/llvhCwWQFYveD737oqMlQ
Cdgs6AEOwu8CM+sECWdB630qrSH7LsRSyOBJAEkC4L/M57OHmhwoSpuPYx19sPEDfhs2w0onwcKZ
HYmYWTIadIGUjhNQtRpuhCPvpCiyUvCSnFbApZf9kZyZ5VISlwxRDTlBdKF4D63nGZ16U1IrzM9U
D1ovPRM8dk9LXTCXEArqYCB0q/oXRLQk14GXWWLaQa19UwUeZxLUW4ExAKJ5K3jFa6JmZqXmag+g
BojyNNXuuh6QcC2yT/oV5kqvT69qwYJhVegi1lSgrCH6Pb5mIYabGpdjK0lkxsFjlWySpjQcgHTG
b1xbQ15aXtgvabPrVriYwIswsWY68kEF/lkW7HXPN0K+4nRGlz3zBkermrl0jI1IIuqxqt6Nt50H
/5Z916XyrPOeGsxtnd7CtUXNtD710pxGKRZFgKcbgf5GvFVOe1Wuqf2Cizta1EzraQKoGoo2QrPp
fd3KgR9iOHF1U4n22aXtZd0DENzt2XAeqRgpX9H+ReGY2hYME/EjztqxnjSUKpIcQzj3a5DkWl33
Tsq9DrTetLyLsu+raebFXf0lcD6enblKm3U5BKbyts1f68rSw6cYfPWnD2+pXKjrEzmznIDL9dyR
SjyaKwtXwLX9nWPVqtkZzODbV3LorfJqsGPLvSMX6oohW7SXE9mze97owAUS6SgbY8k8CjaC6vtY
+Tuj90drVI4Pb+CYF0pqyAlfma2eUZtpNr/N7H6T3ObIS2I6dYvMqLWytWtHOHvYuC3Knlo2in1M
7cizyM6x2aF9ZJ8xEA/7CP28ZvEdrdJ8xagt7uuPQSaG5AHmVI/Xq6uYxnYcCNboQZcrw8kBPbPG
RvUVSkcDzvBEyuz0CK18RR41Jyi2vASOdW/GwmwHII8VFkbCbeAu5wESsYGpN/en93ZxayeyZyea
xAJYhASy3Yqd94BeB0X5BYIy4GSpu9OiFm3pRNTsFOMIM8YZOOrRHdBuSTxsaR+guV0zUzUyYC4e
TotbO7vx80nc12VOVkcJxMn6SybfpEjgtmvGbG33xs8nMnik94XXj7sHGE4/u4mrnSvOtLWGmMWl
oG8EDVsS4OLEzAuVFQDJtVCCFwIoObGK7N1bfTQvdMyjrMhBjU2BhA/2ueOl5FWTxRpFVMerJ1mr
z9oWYBLt8DKQ8sB1ajdD9pzI92GS3p0+p8XAYSJ45vX8MsHfHAMHX9mUem6mAwxJ5RgtRrLUILMD
lf/1ytHRUmcuKOaa36vaGKpIGTc6KjbImXVOcyPnxIyZtJKPGPX6Swzxa4FzB+Qlkuc1Y6wSVASj
0O5r0wOe7vQmrsmYGaoEnSY6aiFISOPU8DJwDKmX1koVi9o+WcjMTvVRxVldQkhdZ5bfSNx0qGYP
Qkb4la4FQ0t1EZwStF3DbO6IcTlTyDKXe9pj20CZmQ5bP70OnBenvGAuAAIwOdc/Ub6vg+vM25fe
y+ntXH5gTYTPLnbbVmni1xDOIjvk54weXPWJB7u+wwj9HXDyMQipNSveZjE0QjEL+Iigu/2CeT+A
ULpMfQhNSPwEpqytFvhWS6mdcWaUpYohlsCUYrL5O4udyJ0ttis9rVPHuHPwL4YeI06q6gKqu7e7
9FGUMdrgHxM0cafaIw9XWcRGzfxyOybCZ3anLiNFDONrqAobg7BDmlwK/o5+X8sXZ7XYArbHLXbO
2iDmoi5PxM6sDnFBvYGmKNgAIMwH2k1eqwZ38o0sHk/v7qLtngiaGRuAvbRF5UGQJ7x9j8ekRpIN
w6jzaTEr65lnxwIAH3QZH8V0umPkbffkKYNBnNyQ61VU35Uzm+fIvJC5WZhDWEC/y5ndKabj7h1M
U+XAMO7bjVRvuhLVqbW2paUMJ5pfOOeSLID2wmZmLo2BfC5GsIcK4N1u42CYy7VYQLYaMD6VIt1R
EHa4TbFnUgBgDYC/D+IuwgBbpD/2ymcW1/vT275sKCbfaGYTsyImQ180eEtlN56w2+aqidA2451x
1OmFsiUlM9QKeJArwdSPbo6v9+bXVswCtxINaDzRsBVDDsJ0ZVup1ADI3ZUK0Pc0FnZGXEMObqq4
P2u0kUBW2nMv3ivSnRJ5Zzp37nP1rdVewA+AjBiFmnhnjQiBIEy9bZXKn2VU2C6I2PJUloymRGMn
YBNNsCbcnt7CxbBwsoOzsJCqesh7joVEzXVT7d3gPceAKgOpRdevnNaygf21ZzOXUjhZozvj2zOn
mJW6K51uK2U3cnXF8KYgwqDi/vTali//L4Ezy+oWElrtWmhHxkDuEuq7UpJNtevs02JWtXBuRBOW
Kk0z3ov4Cq0/uYaZ1dhwJbMt9iDRjevaQtGuldvtiuBRy461kGN+FFB9mqQLjh78Yyed6Zg+oxIC
4My/KB1/67AzFRqP50sdvIVIa3WB2SQXHRji6sZw2hXjugA0AflAglOBT6ZLYt4EQtRGKZXxZejm
laGXyG9tQumc+dRycs2Kgegn0msgpYAHwxzKW45KbORdSf1fRzM6/h4zd0JJVdReju/hVUO2QXIF
HD3gO7JYUlw5aeAbCRX95vTmf1UuyMQw9IgBxxE0zCxAO9DQDbmCcEy/jNjOze/DtZLi+LW/HC+q
2SO4Do543rbeDKWsdShqAWwiQ90XjcUc/U8aywzZo2Aiuii9fq1Uv7QsdDIDvIBq6sjkcaxSZMSO
bhmW1fWXKlL2cb9xu8/TW/c1XIYHmciY3ctO1V3qugwPKs/UCNQmWEuVrK1idiP9Po+cbjyc2DMb
5Oj7yzx6Pr2I8UvOD2e6iJnO1cgM6IRAhEiuiAClpGOr7kVV/uUc8vFezQKYFuchj9fM7PKD0n2k
7ZMT32jKSoV8+UR0Oo6xMjj3mZS4V1u3j3AiNW2Nyt2Ef4MbE0f+LwFifP9OnuqOD7JAKYSArL8r
im0sHj3njjbOShz21cVgtzBOP07Eod4/H8JzBXoS9XG3nMZVMP8ILMjBGDKHf6hBnTy5nIQfGGap
7gcnwLB9GYXOyiuCLm7lOACIXAEaUOdA60OgUq0f3MosNullvnX27jfuGuB3j/d29MjNxFQvz4cP
5U5Y7bOGhr3ALC46srIRC5hr2AnQngIBaPQPc2AuJVcG1c38Ck8oi551lv9Nfak32Q5k4RchWr1t
/R7gP6evxPLSf8mkx4eskYZ5ue5VoztSm3u6Nhe/eKsna5qZ3KIigRw4+PueclFkO1V/0Ndqe2si
xiVO9BSUhC0B0nUFxPJLwveuFhpsDSh20XLoGm4uULeQ8JldtkbzB3TyQEacY/ApecXzskMHfqmt
eKglORShOlh3MJ+HS3G8FimsO2h5CNyyRo222hA2d5GjeS1gi/HONByvh2Ke1oCv0SRchiwryJTJ
+O+cERRP+lCpCoK+VQAvy/V3V5WMIIXaCyChs+7ptLQlfftBN4WmMgCT/KgJTA4LVZa8VWoYFdal
21hT8exZm51YXBCmmFBSE9A8bXZWYpACJVbhgmXaWYlq92ANL0BtoLyz6u70an6c+9yjgK4YmQdF
4aCwmp9XmQVRVIJ8zdvru+qZHhSrQ2X+ub0MTQeT0u/avt0Ml6rxkBzUq/66v3oBn9dO3wlwY1Tm
Gi7c0u5Ov87sNueA9hu8DF9nPMTOASFP/7iy4q8vWRD+TFY8u9B+GisUneSVqWz4pXNIt9J1ZYmd
uIzP6hdiNWfZAQi3IHftd/EF0KjW4LWXbshU/uy2V7TMUQ+DfAaEjSi60PxLJyVWipfW6ZUuFBnG
lWoA9EM2bTzf47sYRKhEly0I73BrngnC4bBPLLVjZ77qbKNY3bG6QpeYL9l59ImUtiWl9Vrl+8dz
YK5g0Csmg5sDKP7znF7PRdWrXQs+ujt1m9ryO0HTIppP3EsUb3twIVmR5W+lvQaM8d5gz+52ONPe
pXfvUdv41ukdWeiB4TBM470CRgemkmZnX/nCVQcvxY5s+SbdOtt9bKqyITbyZW6WmGO0mVVeKJ/y
3sVkzzbYqg9rbPVLxn76FWbH3w0OyJ55AgMZnCHHTtW9VmxPL3NJwzQhCyCRYDwaIzDH5x6XTM6l
dFxl9lEX33VgU/vDndp8/+tiZEWFMYTZBQvyzEwlAWullMESUtcz63wfSyBXC42Y7U/LWdox9JyA
MVcHSDxAi46X04k87stBoEzhfdOaxtAcdEmpN6eFLNncqZCZ4VE9QfJqFMLgtfzrob2Lmkc8dY26
Llf81ZKNm4qaKWHqOnI0MIjSnAsVI0lJHa/c/HHn53duKmGmYw7t1Iw0kNCy59gHHtwVHiNy9lDi
ygfP6Rqs/tKTcWQWG3ugoXVfblVXFpgt1JHOSe8T0M4TwAYV3oeXvTPxzU9W1GFx+ybS5otz9KhF
0hG9NP0uj95ItlIqWtw8DY8SDewqkphXxUIlBBtOg3CCN0+Ve6FIl2GGhJ7+IthzgN659v205i2q
9yR2n1nppJH6WBtj96BhmP2UAXwa2LGylq5YEzMajUncUgBCMm4ziIn4nukYhwMrZLn2kF86m2n0
N7tFQ664xI2DCqQKT012JukPp/dqybJN//7s6gyhnMUNxd+Xy13WfG+BcKf32yZeq60tWQOK/BJk
wXVp82Y7UHoEAM+GDgBWXG49g9NdAxfVlnhx704vaelcpqJm6ky8BJMQOc4lU5A/H0LgOD3l2prn
W5Myfj45fdKolRtUkKJJZ7HcmOiHUckavuayEIVzFZSiChoVj4UMwPJSK31cCjqg0WPKqFkB2+70
fi2qgPpLyCwFUrjognQ9CPGrCPidPhi+0QQGYllvDSxvUZIA8Jk01uDVOf0QzVBOCWQ8ZQQbpxmv
gm7nSHazNtGx0JGInAESBwoSCBhXnTfmdmHvUx8FMUAhMzPn4jHAIDFTBhAuq6WBUSazj/kWtfGN
WpLn07u5dGGnsmfap/WVkrboYQJa2QCo6eJ60OWVNM+SPVVgTWHiUMQBY9qxVrje4CXQl7GfzoXJ
qZPGYqVLkakloCeWfAxhFE5oUa14Slhbr1Til3QS6QgozBgMfeGsagR1xODDWwh0jmtuaraZduFo
1UoGZklXFKSwmEIBqggE1uNF1hEBAWeHJ5sK/u4oQkEqtSrXzPS/Dn0DZfklaM6ulPcp2F7Gt6Ei
YbzJkAunukvirJWQRcPs4splW9bNibhZ7IUaUNrHKSIJ1e8MzIcaUSDttA5OPhLocgYQeqV7luiu
6mxYi5OWwgpkujnXkenWkfU+3lMlkR258zXk1ZDoZ/ptlnkbBZz0XkitkdgNQMinL8OS1Z8mEmYC
hV53rEpGq88BZCFVnoupOz/Z0ZxeBw3K8/nK7VvcXgFSG4TqDL3d82R75MhDzkokzIKwPnO4v49V
zQiKelPTHshtrtH014EXW7L3cXqpS9diKnhmRdFokSN9B8HdSAHr7xKSG1W3Py1k6VIInB+44hBJ
fSErlTK9CFUV3pqI7eBspWCrqW98WNvE8Vjm0S46RhR8YdBZfEEkC+uWsRpcFqbsXqsYAk17yfTD
aNfI5b4Jq53P+zs1ewkBjji4iSnn8hlNvJWu4cW16nB86ISW0OY9MwCEUErQWA4m6yoy0XkdpK4R
FzbGfk7v6dKlEL/kzHPaXSKVGrqnRqDs4FbxwbsnZ98GR7Ia6gIL6qP311oxx28+317wqksSkygs
wRck9SGOGrnLwOXmK4EFvxTvihRPsKBzrhUlPXRt45k0JY5JZbrG8bJ0JTHswJDZBhsRCkTHNqDH
VFdQ9HjKKvwtaK+b+HMA82656dq/sa+aAlIAIdDhDQDPY0G+3BE3pMjKqNpTBmrk4KX038PspZbe
ndvTR7hQukUWAmybCtjOFERBs0UFbVL3sDDYUZQL6mbTo17ZbmTvSuYbTd5o1EME9UTXXoWL6fmp
3Jmz78JQIVJTIi/ANh+deUN2ZbHRvt2SR62w/dIuHleszOLpcQGUQGQH8J9ZQKgOESptFETwWjSY
Gr9gINSVX6XgwfvrEPnY0omkmT2LeJtq/igJIZahUyOTXtvQZM5KLLPQoXYsZ6YmbieUThvlJMBP
vpV3QAUykjPlpkK1xcqvc8fk96e1ZcmwTFb2w4VMInenDX7uoY9kROVcFelTGkqGHq9p5eJhTRJ1
M1c/lCJtWNohL7lVTXkn329SkykGaNi/uXeDGWzz6wzvOmN4Ob3AJVc0TRDS45tXjVBWqdZCK8s3
t9k37sHVN6dF/Ju8368k5OzGNVKkpCGBjGYDkmP6iPl9q9tr+9Jy7tJ7ubUSUzElg1vua2SeY7bE
/DsvyukqZ3cvAsKTQiLs7kDpdThImyweTBXNOoN23eTF/seC/+u9+2/3M73+p3ku//d/8O/3NEPC
0EU72fE///cq+0x+u45e3z/L/xl/8V8/OPu57Wd6+Rp//aGj38Ef/ynceq1ej/5hJ5Vf9Tf1Z9Hf
fpZ1VP34+/ia40/+33742+ePv3LfZ5//+P09rZNq/Guunya///xo//GP3+no7v5r+vd/fjgu4B+/
o1Gw+kw+3SL98kufr2WF35f+wEsEg2wok4I5SIwv1PZz/ETW/mDIYSJ4gLfRUEPFJ0mKLr1//M6U
P0ZaaV2ncIGKDr7w338rkQgfP5L/GHnYZTEyAapUhtf488sdndGvM/sNybzr1AexzfhtRuvxy9WO
M9RjA4QQABIa03fztmECPnJeKyNgltJIvlGmhTQW0iqGsXuv64CeVWXdN4bzoHbd9BjzdYMmUo0O
NMDuLpJpoNpZ35V2E2dUshNXUy/GsbMBuJV95VtD1Ev3DEAvKCYBLvMD87WtbpZxrEcXnFat1UY8
ji2MJOUmq1jxKVhHuy0jutjEfcUtTThgf68xpzoAfx+dbyxhQWZ0vRMnBpOD/iHqwFfk+PngAEk+
B2K/VjNtk6KtZDBZmykPcUya3ECnbcdNaRiCwOi74lsvc/XAFFfzMBMkygeF5bpvMuwAMYXDHHSH
ZSnBdF48RAZaY5DxITLPAOvrEmkXKES5SQEYA5TFKCWmzIr0DOAmPmYivdSPrUHztZeqQ4evoStV
iqmOQAiwZKLuGoO7hWcXKJWEZ5qUZfVl1FdU24o89XZKAV4NQx84lXasp+59NCjumS/VQ4c6fiRC
EzPK8WWojtQbHrb7haBj+qksFVoZfd2n52LoAEKc1Wna4akUZLmd6aiCgIAHqcSgR1iVSbEKS9vS
5lrSspwbKcubhxz4xtTwXAzzGS53OgECsTJwjVpoWETG+vB7WHN26HgXXrkNU954Uiv1No41jobT
tNZVK61jvThgjA0Br4+0GY63lnd6LEcWnundTcoarbbB9RrvKaJjz2haTyWGD7q76yTtNrkOvGqc
sxdeaIT5Twg19UeVVhK3a0dSzkRdq8yIALiGtUQV6Y2Y67ciJNEjFDzyENuoTmdrJGwimzgJso6l
wzMQRxdhUVyGYLO8HqpiOKfZoHWW7qcNaB6hfNqeiEx+jGkkQ/2BWmdHbau6tsvzPLBdp3QzE4nG
Vwm8hoFFylZ+YCppXn3Acw1W2VVtsIlyF4XMsGGVaqLmDMqsrNdJgHlnUbxI0hAxYwAb3cENSemh
Iq4UgxGmYXUbupVzaINeggyd4YULABsACtDUj/ZxokZAtxUBRrS9ehhiDHDW4XWpJyIzNQHSXAM6
hJlmbfBEANKwgnVm66akMDxSQgInMCVGjEHbSy0hIrDlnKEXMWhSYmeIpAsr7yT/06OoUu0HKWsO
OindM4CgyjtBCXqW0LWdgIcz7Iv4LGVKBqB+AT5gHstBYuqJq+CFAxgnbgy1cuidFk2Vet7diFYr
uaEjcw7F9FmM1hCvlG5iX5KS/ZAnoWeNlPaA0MmRyLmvYlEVGCYWzU/I6r/kmg7+e5GW6ffqpGMa
HdhdVXx+VofXbP6T/w96JxnAb4je/r1/2pfR52/p998Or0de7efv/dNFEfaHAmIOlLqQFRgB5cbX
wT99FD7SULVESmQst40VA0j76aQ4+wOlFx2MK8gkIF9NEQD/dFL4CH4LISTmL8HPhTzcX3FSxy4K
1Tc8xHQVLhLcMj/aII6jtSJtUzpULkG/Z+DsKue1K7LI0BE1G1Xq8xvh4pXf6Z6dZhi0mezWT4c5
dZB8DAV/+ccfwtH9hskQnStYijSGkpNYWKJEj2mrOIbGAKXrpCCMDovSQ5rEp/rGRz6fmqRDyjkr
M2df5gj7jLDOeY9bo6J7nEkyWEIT7aLUlNBDz3SIUQcMuMAHqmF0XrX4P9G9/9z0sWt5npdL59hp
amUYgq5h6p1rX46797YlaWc5KH4acSkBiq3AAFUhUR+QGwHmwWIkdD98uWk7My2Vxtv4TQOoPOLT
1NaiPsOsedFfOI6n38R97H+rBgbcfJeEmWeUbts9AvZ+o5KIvxIp8fHSBr2hj5gghknVczaYBRXp
9x7MXAeNt39Sg/7/G/q7jMQJLsa/v6GXY8iH+/n++YFhn9dpGPnzd38GksofksJQkMaNQ74AseSf
lxQhJiJEFZ3JkkIRTeqQ92cgSf9AAgP87RwjdzouNt4AfwaSEgJJyoDrQIUCamf+V64orv3RPRHo
78LILtC1cOHHVNQ85S71ak69qouQeEsbbSf1nnwR9PTTzy4RUTwHGNsAP3ZvDlz7JpfZs+eRvaq2
6usA1uNt4hUfQEIBQ6hWX8t5FQLnv8/CnRILo+eYM6v1F9T56CYOMa/kyDdyX1oKz69xgZ8zngGV
yuftx4A8plEU+T70CsPn2UbqSjDafleUzoizqHRAEKr7dxVYvq4G70wK92Ufxnehx8PMiOHAgiE2
CdJoOoKd2zQH6vmI0qDFYAsMrtwOQ91yVxlyl9JNr5Hh4GG0/eDHiR4ZrEE4JsEbV8lDlBaPeTwc
qjA8oJaH/pJeNfyEbAI1MWMf0LR1mih2L8oQrU+pesW5Rw8CA7hSEu7B0wjEDWdfF9FD5Sr6tkRV
y/fZuwKAJ9Mp0JflAicVYFX5p667AhZhMBsAmRO5yi6qHKi3Iv3wfPkj18guA2OgEUjxk2gkO9Z8
+R4xsrKpXS0z2oTdKTJBOrYGjFhckE3UtU9FrqBwMtznYfapeKS5QB8Pmr7FyxCLMx537kYJ6EfS
xSaAQD2r68lN4jvnkp6V1w2v2T5jQBbwAbRKSs7uiBboZwWlRh0NWyIXb6WKaWrN+YxlIlm5g3Hu
ocwPg9sbchR792j/UA2FlZItak6Nqsgt3tHkQ8QFZsbaQNx6NLr3itsIWKSGE6Fjq/Lz7s7v0M4U
6eU9Mt+v1QiezIJNlxL0yBf4mrFcDRs98GNTGWc/uYbJGeIXl2VBqyvgajOr6atm68eNbDuymlll
BohxWrs7r4hU2wtCW0krYWo58tYZStumL0XytmsRg3aYtUO5XuQ2lYhmkATxspQDj6lrvW9Ij2Jq
iDSRkbXimhPX7txGOyca0ewqTwxQZTNbpgOSBOjRwg2ImRWnYPNJs/jNR0zWykO5A/nZDqwnl6If
rmqExoZMm22fc8dwa2fXBq4PyiRhBj7qNEUM215noSHR9C0VCRA0MXdrFEOimU1cOFhW46gvVCtf
hEdS32A9s5yoLDtD0R3g86TiBlOeTy3sv+HIDDi29XnvKFvouFVIOTWZCO5VpvS4HFGOLCkI2kU6
qBYaj9kL8RDzipTZXU7uAOPSYGaC1B019LBqrIziCAiJr3l6FXnOSxoBv0PPzrRkEwxPNQotuufZ
GKDZy0FNrZII75J7w00ZsX7naDKKosUOcQoiz3rY94lvSzqA/Io4/SQFi7iBA7FFmZnIvH5zhYR6
emXJnMSG77/wxoeFctMeASmoSlW0attw/MCOpTl4hrp+p8Lu7DgHo5ISc7FNu8y14jKPtkoj30Xo
jKx1dAl63i7pVAmMDOI7G5SDTlP3MgyGV9474tLLuG7+H+rObMltY1vTr9IvgBOYEsMtCZJF1qSp
ZMs3CFmyMScyMQP3/WT9Yv2hvHsfkeIphvZdyw7bYVuVQCJz5cq1/iGun4Ii4bgu+dFe0kTumOwn
tkI8PGSJ7dzBlZK7vKqsD/2ijc2Ug1OWtVs8tAU+No1gf4VTGBWornJrcrkp9d80fT60z4q9asTB
C3WNwyPfp66sgH9S32Y7dSLoWt2mNP8amuzUp+m7lMe4K+a6xrvia9ilcpdVSEegvvxMcYC+lnEf
g5btsmoThv1GcAEmcZFY4hrWwQinP2hflJvAXjCvdYLuTisNhM/GMiEvHSqeOCYE+fKQjxp9ysXE
OHHxT1Osf3cmdBoWI9ku+fxhKGY+a2HceegHb/i32b2sbdoz1NXnEtx4WRgPQdkBIddjxPV/+cMs
jFPn+H/MVXU/mUn2hBNZvvNFNe4oD32xMh9jg+khKQ2Qk+70LUzMTeHW+4QrZOAuj0ZKH0uUyt82
tbhLuvYdjJmM1UyUV/3wyYxx4tXLVnl/JMqS3NO0ePS9g78Yv0+p78ByXO60gdyE2X4NdHDo9PBp
QuE5mKffjDocdqaevsz98JhnOgrmclNniY6W1AgfE5++culK42QEXbRk+bSZBimjTo/ZTkgpv9WD
ZcBVGhL26/g1W0C0BeHy3m/bOUIqNWrEs2jd79bgdPexxsmz9u1v7TQ5Gy/5DI0hf3TQgvoj64cw
amrv0HDWZenAwdfSF0HVaRuMMy4Bga/dDQ6A7/Mp+cr9+h4n0rvM62wk9K2jz/Xs4FTt+HtepmgA
G0m4ky7HoefpZ5fjtJ7+LEXXR3lSfcGdWm98/wsGdMPBzXpvv9oHduYQbu3Wjwwze8J+951ltPdZ
7f2dKI3JhTdYGxmCAM1Z1iE1lghFNZTA1PBNZbNA0CCkXWemL4nfWQfted/mtmv2oZjdj6Y56feJ
y6naWzPpgdUFybHotBs5sTJeyo4WQi8t4zX1j3LhZ7tmXXChm6rPtHi7xzYu+nfCNNBwyyr95MVF
gy9vbjwlVSaO9cCFFOGP9O/Y7sqHzpvlOyg1Mr1P0UQ+OPiBIkcwpdXG6xf3wWrbZV+lc/qbsoV/
DLVatnpZnD/DNo4fSo4T0orCwKdoYtHi+mQ1I6ITvux/SwACfG204Z40MZYWmtef2nQydyF1gQ+J
iQxHIs0OCiW+qnetnZcfiiW2nwPDyE4lhlK5LWfcFhpx12ed2oeZ2aiNk9bt32FQo17Zcxd3g7j4
6rn5RD2tFSe3qtrnrmrs+8WZvxph3H0vwiIh1FT6U9ijHka8IPpOzSn3wMViqzG+x5Q73WGTF3/r
pxEZvxYA3lHjnRvlnUbTXNitfDRBBNw7XIR2rtDmM6+QnhI2N+G9abp3osr0o9l601aW5V70XwXc
UAN7NUzcqCzvqHM9V3baP+eytKqdyioXxcqmad6PU2icWtUtm6m3xcFC6hQ/TNiNT2sha2MUMZj7
JUtORuImIWiAsCHgZwFSiHYKaazMvN/nclK7cjDD/Szt8uD2ef/nKGyD645dH7pkFvxI20DlxU/N
PcBIMgRa0/mmh0gJbrUnu+NeJr4U2q74wY5NGyQzlkNCYe+e34PzSP0U+8V9HLR7J448TrSw/UrL
0jz0XfWNkufWmL1oLLx7f8anjMc4ym7oXjIMPUpmWgTjH3lV3hszcDKvHI82QrvPfV+JyO8Sl+wM
cWYlXueXymFlHmK7tClimQ916k8oZjgnl6rMZmwolLU5cIiufu/XdX+vyoWXT/N7q63wzitKQliJ
96DHLtr2k1++zPHwGRMRlDELtDO7Ja12fUXhUcpkX9fhfZ1Ycq+VXT8buD/WVXAXeO4L5Rnb37qD
fj+N467AqTlM70dkaHdLbMitWMUDpDSf3Dal2hSqfRVM77Smx9I8Ym9LHjrGkc7YxBlmCdvWMeoX
YZhQSK2ta8/HPutpofl7VSoInkb2AR8bd0MJbtonIwiyLP68LF0dDdoHNA5GTpuf4Qs+VYvPCdAQ
FemP2WK8m7yi2gxYqr6fkr7aeXZ8cAtzF4j0s+M1+sEfCaF4Mpd8cDn/Horqd47v+9xTE/YU4s4O
/tYISj37EB+PU92yG/h/v3KHX6venB9IFkfNNEeN131LtLWc+vDTVCQP2CbsK8drd+HUjnedQXMn
TveGSkfEhlHKXJx8U7S/TaFMtxlpYtmGEde9d/a0yAhnlU1V6+c4GE8+GlkboePsr3BEXy8O80fd
rcdO99lKtfHgBMWjFNmy68dYbfLkUVC9btkDYTY8ml3xgKrWyVl6yKg1fmw2nnihMNJt2J1mzeXD
r2UkrfBUWjMnp9nN1vBXCZfUGqcJxzhcdV1zubdKY0OeprYjrdRd34Vy1zQp4r8VThCTkCd3IC3n
VDMSb6NRMd8psGNZ20ycFfwIYyo3U+NZWym9p7ZkeHd5xiW42viSxwy7fSKo8BZZDstp1tT0X6/R
v1RT+P+tnue7IOPo+wQI3In1ur7eo//n2sH/+d/lV/n9f1Hk42/tj6WDqz/oX4UE678sCxsfSEp2
aAHt+nchwQopBNKpwqgXSIlL5eLfhQTPXDtSKAujIGWBF/yx2Bf+V0AfyaJd4QhgEzSrfqEjdd57
XiE7AZclF9SeAxPJdi+alqj6aisbsiWy6yncdH0/3rWdd9J5A7Hb9aYbbdprwzEF1PZ8pgPc7Xl5
r/O0i8J2ukQ54qs7VQf2ZuhIQhsOQBQ7bP9GPfG8lvnP6yEjBg4DfAv0ggt4QtE6CLiJ0sSWnb+M
o9U9irns35klAQUFQCTe43rukBksk31oL9bdD+vjSj1znb7/Lmf+Mz4XGs/1eQLUbi7Hr/rMClRl
Rh6QvqM2kSKSufg19+DXUWzWlQAaxStyXz+f1aIhnbYHi4+oRknm0tb7XsLtrkyEe99+oSsTSlHW
g2O4ctShHp0P1ShkVRw1L1HhcjXpQgPxO6GRg57r8s7KUmsLJ0fsutFYyBnH+vD28Bd6fP+8Kovf
YdkjFE6p+Hx8N6gXqcW4RHrRy7DF8ND64PFIaxWYzbZJRdUcdNPTdDS1yh8rN6VPyTfu6UgaOv04
eXD7tkXhFi/LWCO+lgw0YqOqN5J3i+3O37O497+ZirLRjbV4IWvwr2eHHmULmj9EhIvadh4uaV81
Jou/UuHOSys8i/su2YXgP95VE/X1yTQeYxlbVKbzZuPR4zlSmJR3bW2Uz+ybjNOyLyMjjo3j2xN7
UU9c44DtUNHENorSJtHofF4BYXaYAMdLZFikqOiBqEPCvZY614D9Kup4OvPjqNH2r8F6/pkUJ+R7
AsTnj0tUXU37LZ59Z4li5fd7mGTLsevtPhqhNYFk+vj2a6777Ww/ehT3nZXTuepUEhjOX9McabrI
cnKj2bSD/TCK35Ql/pqLMrzPRxp89AO67dtDnoNfeMHXIV/1bWBue5cr1m6DlAoj9a4uHE/VMJTP
vbUcKND5v0Tp/2eg10DnQQekNE1X6cfWyRIr12tSZKanDqE11bbVY1hRdfRVs2yXxe9vhIKfYjkv
xpqhFM2cAp24WDKG1bf50OQiGup4fDfKUj8OOD4gxNkkUSCt9tPbE3kBqvvXCwITJkmjAM7g5y9Y
QTx2tceAWVXMeLXJgqt8kkUcM1nUzcWXdkim+97T3ceKzXVXydbZGUIWN4L69QfBfAr2EMZdnCzn
DyK8sZonioKRWIzlrs8ppyal7+zGMs42FQSWk9Eb5Fs4C24WMWlcFUYJnIPD9e0p+Xk5W6itkiHA
d8Ty7bIL4CkA07oqRKQ0ib6XmfEBH+Zd4NL65saqNhTaklsh+KdQAYKMg4b8AyVvFGIuPoMnHT0X
sJpxwAAlVwTxdiqp8JkI5W+9Mk93zujKQ2KszxDgolqR/xd81L2TwoDw4lzeDaM2Iyo+T47WzX3o
JU5EQ7C7sWCuzE5IXsfTrs1UJ7h40F670jPon0R9X37wvHJ5nzhx9aFU3pe6y9B21GWQ3hjzp/OR
vpCDwN3r5DgYGZ0vDdfLkjggztG+1/qecoex4TjNopro+slMp2+1wUIJAx3vEzqcN2LNz8cjw9MC
hvYaeDC9L49nz67TGVsUJtds/btOaftTAE5km9ONOJaU5Sh6CxsdYsPaZUERRrFNm7XL3fowmyjt
sNjETkytve9V5UXNyKle1KrfYddEWVmNVfT2Cr42X/TCaWV5q43GTzSsuVZZOSxmlNNr21Sj0Twt
dWdH1jCoqKizo06CbUXXnbyxuKFHfmUh4+XmA+7yaLrTyDv/VkhjZtm48K1EFZQPRdyk28Kukvug
sr8kVlLsEw7FT7Ivbik7/Xwk8JVQevdQn6VdebkwWzX3dqc9Fib1hB1aG4AR5ZDvDDnTsPz3/eRK
/nltCwgEO6CtvKag6xT80E7XNaARvfRmNJl1t9ONIrWY/GCXWFZ6ENh8n2J7uaWaf+2b/jjoxbyG
HLKd9Bk0C5zqYLnKv5Ox/LaY7jtP+e4mKGYd0ZTx7xEC+CWQ/npGcLQ7oCNC6FbAAN3zF+57v82L
mD1fKwd/HsLLA3pL8lhId9hLMxM31tC1T7niNUgpxIosvBhvbkev1IAaI7eS/oofKA5x4f0JOf2W
FuCVU4dXIz0LLNgHIgwuQothuEvdoAwTyarqogxXnUjKAe3i1q0OIeqjW+3V/mEKBhlNhkh3OZbB
O3RK7RtzfAGR/tckQ/sgiUW2CaDl+SRjhVPVMrXNqAnaZuMMSmyHzKclIoty59cqeDb6AbRU5c77
Ukg/WhtnJ6eozb1rd9Op5sJ8fHuhXygh/PNMZNUm6QhQGO7N58+Uzr2b5aFjRQP+hWApbXxk1Xt7
ps/XxMuChUk1HlMb7oQv4ng7N3Sbw4bgB3Nt/OXMiB1HcuBRV2ANehcHj1M2DYA/HBoTu4y3vY+l
eLwkJPSC3pylvPzl7Ze/tst/HO8iH8nZwlq3gxVljc63dknDJ5HKjZSnsrt8Nvz3zTJ3N9LNa7sc
gRRQCDQzYOZcvKTXD6nvD5YVVTnISA3Q8M6r5kejC+uNMMtsJwXF+L7pDRBwXXErC/k5+7TIAgMK
LyxBspCLyIbYDTehgI2X1NI7gihSD5ZpeHt3pOJlxGW6E+VAQXy9GtIcauhsxdMT/9sCwjQcAfwo
tR9U6R2RtgP1zmXxxmF87QlXCBUiMqsQ4iWPB6aNhxCUw361CvHXEJYmLrnQh/RQj/u5gUH09ir4
+ThDYFa4BHqAZSsK7HwHjKRCc8GdOaJdGm/LDnSj2cjpGNOr3djaegxp4patlXx+e9w1xJ3fqRiX
CgekYAce31rf+vGMcWPb00vNpVXMdvYhCc16O7Bgbnzwn5cbo8DbcR2gL4gcXSh92dpQwo2FFfVU
Wd4FChex0OmLbVq63TEuAHzQ5agoe8ffgykIboT5n7/lOvqaobhcH7n0nL9jP+TVWJvMbWikIZmr
sKO0CJKXUionSnR+S2fr2rd0wJtzQyXB9y8ZWXE7xwkIAbrFYSU5xtJwIxapyLQrJHRFlew6GTrb
ZbTHG6v22td0yU6gKkJmQKD9/E2d2G4qHELtyISqiz4ypmZtUd4Sm11/yuWaATDILWIF1gOLOh+l
F+DAWwnegIq73Fmi9neznvtjXga3vMWvDrVK06y6FSvv63woB7REbGteKFX5HFkVrdRpMbuor3+9
urkCFsUa9QH32+QV50O1ydCnbglKYwD2vh/L4s90iJOI5i8VMYQWb3yqq29GGQN6gk0KfclIXrx4
6QZBp1pjrrdtNXdROwTIYhf85e09fuV45aB3uHUjw8bZZl5Qh2xDYXDT1QBERhPZ0UAhRsrpuTe6
kZ5sMYU73jSNMsP5w+M6/vt6PYlUNdVbq2lu+X9fSYXWp4HJh444ZsyX1xx70UXjiMGOJrLz/RjX
wy4NQDdNVgDUZKwm6ACh/w4JegU2Ohk2nppXpQIDg7y3J+bnoxevGDrbaCGg+vcT9b02PGegHGFF
YxUMd7UMtx2gIijUj3nlF3dVGXe7t0e89tVBBuN6uSb1VH3PF5nMqzDTcWhFcThAXFDtEs1DJqNA
ExreHupaFArXWhnEUI+j9mKozLMKSUFpjexzsjNqQ51sOx0O8DCa93QOsAO2UvPg0c29Ma3X4i0h
aGXbrxKwr5LRP95bUvTXhMrtKFd2uK37Zt5VoyWjPq3T3ZDIW+v76qQCqqYEyV2Um8P5pI7dhNSR
wRnmQMHYOVUv9ig4pXsLB6cbk3ptxZC8/7+hLhlAwVxMVhYzVD9n2dExp3jHKiF5L0x3U6xgPOgB
t7zfrSujrsp5qMpyR+HPi9BUZJWpktQmPaYT/FCFeKssVrFQSvP0ccqnJgrRa98rx3AxzXTEfmiT
cp/Tzz5S3kIHQMM8KTvVbIdmkPd6Tvtdqgdv//aKu/Idzh7zIswMg8Tjd2LFpWNVRJ6y2/cUI2qG
Spbd20NdWWIM5brwcwkitE3OP3m8whmV4sIwUq850XP9BGWl+NxR7iOYLEv260vaMjEKpd9GJkaw
OB/P9FE2N9cEZkWPva/Msbtr41DsG5XYh2WxbxnQXJ1KVjKqcLTaCFDn4xmJDMLOM6yobazkMZ9L
tTUorO4G0DK/vqSJwYHDTuV04AZ2PtQCmt/vdWuuhaTmrpDe7ysEYoeSgxUh3Sg3A424G9P5qip3
kUIQBVfZgTU+wIo4H7Rt44aPBPmlB2E/bNPFMT5MYhiTrTby/OOU41hpj/2nsZiGSBRFdufERviU
lVr9rixAZtr+K+9b67GZVhEwlebpwzJgmLDRTiPo5+eBH8Vd2jonpaZwa8R1SkVKIfte4OBjTGE3
bkffmlC1qyZaJXGsRrGdvHgARWvIRW413g+fARnZHJFpLE6xocGMWgZiUBt7acd3U5g1p7CU1UKz
x+k/ap8yBejg0n9KIDm6ewnS57ks7RJZjsT2vorSmaDTITQzRKOoS32wfCnFPvVBzgIntPoAU/Ok
KjbCL7ovYVwWf+el1awgBKHLjXaz8DfXprAV+dKbf69sOhIbIObNXom+BsNmdPZvlS28ch+OoukJ
iKp1wE/k3R9jrvVHcxbWftQ2v621SvdJwYv6Es6Z9aHryas24xLvKMAscBOtaUY8xHNAWVUYt35P
RA/VYSbHxr/VhMS48Ye6/S3wDTLboGmHl7d3+LUdgB4MpzPrD12Y9b//cIiIHKGPAGAzqSzQVacJ
EbRE2nrXUTT/D3YAMnyorqIQjD7pxeaGtBYH9tBRduoJJlKZLXg9rHknETwLtzMeFly2bsTKC9+E
teRhr8QijixCCvRU5/z9bODvfa8GM2rDwo8Az4l7s0rtO5WED1DGerBomFMrM9D7cE6sXePM4dal
BnYCTC+3SVaOyEI6yzFnEg99lnaHtz/AtUOHPNhfm+90Sn5SiwrayeY7m1GcVHU04wi+5TbgbesO
5lkeF+PDkPs3MtULIvjrrKxZPpgJj+IAF9LzWalQeNDKQi6jWLI+2bbD1BUbhXCljFo2xhPnWuZt
K9uhFw9mJn9KHYedQfsg+12mqvkb19vqIck8qDpAosynZQL3bvt++yXF/e69WtJMYTmajH9qo/Vf
JpW5eAHPjXfjTa4cUFx3fXRMBVkQge78RUTAzpPVRIHF8P29n81/tKp3t1NgZvuwFfaNj3Wlqoc9
DYASAjhhFTWe8/HGHnkjf2itiMPIfij8pf82Zr0PU6PMWcrKyYsXPB/7dONCSngZ8mD6PM9V/HHU
IFbhKSftfUDj+NYXvbKK8ApCrJ7dBdnmEjPCmWDFc7VYkWxNd1f6E7pjiZnQSUq9d0Xhg7iS7Oq3
l+6V2GGzp2ijrtXzYGX9/Rg7miUYtAQgS2ctS6ha1lhy0HahN+3qG0Ndu1vRSbPB87xWDYOLfezD
Qx6WjBcEH1JGyZyoXRwQwv2xswCF23Hk13BpwnHhXlMF99No4oGi5/wPnIWmG6vuSp2FpUZGRJ91
nfSLulrejmETi5IMTIaayGLAGa7S5aQyiaa4Ocr7IchB2KdjFimBJM/b8/4zSMJj0UOBpJ5JqeWn
suLo59DUU8qKTuP53yurzz4u7iLu23gsDmElnPdFF6we9VXzEgRF/1EtqjmpTjFVKQxA1clpIzKP
W0Nr3jJnuLYl6e2tV2DuROLVK/yHE2WZwjLOa4o/RqWtgzLzR7eZDjYWr6cyyW85c1275kLzCl+T
Rvr5l2TIsGocM5ipJ0xtrCIaRvamUIs+ZGaFa2Lq8gWooWz8zoEDY0dSW25EOS65cbith9dFprXG
n2DVVkOi57LdbQtVJS6F9ChZQ082wlrPxsG+e/vLX1l4q763j4acz6/LUTwfDaK2HG0YBN5q7GfP
uCTOGCAM3bQHvSKjwsQDSLpZcuz1WN54yWuTDUCIVJU/oftdljHplaTlMLdOtAyUpOJlWiJp1sCw
46rYu0Mpotrsk32JRNikAxpYXf+9s4xbYvTXNoBDNFgFw2ikoE14HnnSsvBNbFztKIsXVKp16d33
IP6jObCqfTcE891ataYoNwVQTSfw3n5eItiQ2Jt89FZWbonCZCY+4K2pbkzSa2HlcimA3qO9AuYA
cvBFqHJi0x6FxIilbY3pUXX62JkGFI8Gy9lKwwI0LLUvZ3kMSyt8nJUZPjR28ILqgbGnBJ0/JLp1
73TQebAqRhfqkwn/yfIMiIpq7yxTfjfSMzmYZe1Fg5O9mHECdUek1ottLOl9prpiLzreVZrBeMCE
BcGBMgSJ1gJBkKbPD+99RNbspbkXY7BsZ78L4HxZ/Y3s68qpxMWKWQA1Bazz0qclWyE9deLYWIeq
IUoX23rXsLaPsF3YpQ7A9nlZbpUprg1Kmkmrka4CVdqLUwmMPmApD5OWZN71TVM8Ob1c9shlZndl
v/j3c/frrT5QsaQfMNZ525+aGLmLn9qkVluY0QnB9sl8b5tTTbkLaDfmZ87adOxBFaQVrEtoH0Me
Tp+KsPlahvm4MQTOhW/HiSsx2KHZaqGwDUMdSZfz/VEi0NDXwOUjZ8qaj4bv9QdjUC+taryDXZXN
jXvmlUSACScBABXHRdq/yIqKhGKNU0onyixR7XIluMD1pNVe2Ac3zr5rX5eUHgtxAFwruvf8zRR2
b2WnNfL8o1tszRmiRNM3KFzUxnNhlgq8ihpujHmhT/iaLq/3FpRJgXChgLMG/x+ONEHcK5OwdCIa
2d09JF66N2mXb8fJyikspssGB2KBia1BybxauqNKvVvCxVdfHEAEJ6tHacS9ePEswShUwuSPllDC
5xpqBGAW/0XCNMQVIcdfM6//fHsVXR2Swg7q5mAF6Mafv3ZuZfU0IX0DhCvtnqQ1luSTDRCXJKgj
FILmdNONYXtj7V4N7oC3V/gqrjUgO86HrRs3aworZvEWTnzUZaGokszNqQlrKJk6s5AzqYMdXwwh
gLjLg/0CpG+TdLKJIEuFOzN3vd3o+BriNx/o7Um5trW4b3go+5KCWZdYzK5cuC5XUBrd2Sp2XuN8
g+mTRKHIjHtYTuGt4LKurcvTBGC0GeCkCJD9ssqLeF7rLoX9+hGCo1VQJ/GQ493HQa0OsaP+yrxi
OhWwr59VUbfHuCIGqSGQj3ISI3I5yEJoOR7fnoVrO57eLFISNKfW5u35NxJq7CXlKzda3OY7nDCw
bG05R53vyBvzfW0Rkm/QKPLBotK0PR8pCVto2wAHI20k/oPvlgW17cU/dC7WaroT5n3iZM6NQa+9
XgD+nm9Mrwobn/NB8ZRLUuRW3cgrw2mTWVmz6aoeDrQFlebtmbz2fj8OdfF+ORDtLEFlKjJcOe7m
CWI+ukB77uw20JH6ky2CT2+PePXlYDNwdUDWmTh6/nKTNZS5bHKgD4lfbkftoi7U6gQeUHbLvvk1
2b9cvURp1m3IXFJ/OR8rc9JEQDh0KC6adL2SIbsDJ3vf50m/DVVPCKVTs8MkODg0fmlvJ9KbByln
cx+IvmNDIRQAIUAdFXcZNJrQbJIDKdRcpzeC/LXUOqSDw6UOfBRf/fxJuZgnRdF2UJWNGT9EnXyV
vdWcUqQbcLQqilMvlmFj1SlUfJsi4Nvf5EoXCU01hG7AQqyfZo0CP5wwcKxln9SJy/VhRpyvI7r3
rTl8mPpWHWAamI9mBb0dS7r/YCOvaEjCLGnaT+2rdKTeKOKSgVNB9csMknt/MsaIu2J3Y6gLe65/
jlFUOMhMbCy9vctQlgYlFIyJbVQ7eYsRA96MOkOVLTSsP9NA6scpDfOTKf2vkPsFSRMmhmIJp0O5
2OAb+51ZG7AOA5FEXeCUe7QDkWdoTFQGAhO0UjneJ5wWh8TDg6NO4xFOv3b/g/1KCsDlH4oCh9RF
5Jsbo1yQm3PX3v+0T9E12DnS1Sft4yjVJ+1AVoAaxtvL41oGsrqacSJSqBV0ss/Xh2PMfSHbkanT
fXZPB8zZVDHglcmvYWV35hw5pfu5r7zkgONJeT/UN22pr4QNIgbaQHxB+jOvvYYflmhKly8ufAKV
MsYWuFKlnlXgf8mmKrthPXHtmnk21MVeRIpo6CHCE36HHD0UK3FQv6uDzSBGqFdtuLzzXJj5VEn6
jW8VQVSKOI+qLHH2b8/7laBAN99fkULAo1ca2dm2nDqLLj5wuqjTYfClDPqXxM2MvVfU3cHvpx5P
6pkqjGcYINgc49bZv7ZnLqLn2lTGAnxVQwTVfz58Xc2pkRUULKTTm3cgUSA+2ugPSs79jRiGZe+Q
oO1GKtzH0nGarQpCDv8UDWS3mt0bk7HO+k9PQ2WHzG7Fj16eG2HqI1GY8DSWiuXdYhEqlrk2HsGz
Gxs/K6sb411bcNaqBASbG9JhcHHJ19lkNgMI+aikFwOX2iiOeRpyYjVO8R8NxYUd4BKV5EsB8jbx
ZzmiUhc1ZkzoEClRUCBPglqIfSMKrjv1chZRyPz3UBe1QzmWM10ytlFeh+kGho25s9vxVq/lWqGa
ri1m6ivchne6GMYPYr8NRhK0Wc7dV48y3Bb/omLTitA8tkNBbLQseTQRysNCGnP30KBUnfUgPtuu
XPUqMUR+ezNd3dZckRFuA52LZNRFEEunptXTetbwvB6ALdCEqaMo09iN3tte1XzL4tmF/S2Xx7FW
9TFF1eyQj8h8vv0k11YyNTqKM/T5sXu7iOG5M/ZozMBwsmRHm8Kv/Khx4mVHyTw7Gg5Z0dvjXf8a
a5ONQiXh4rIPqxwRCz3Bb1LmO9cpYVLL6Y/EGMWhn/OAi+MiH1UVh4d8WLy9jxbwcWxStNymtvic
NmN6A5d6dQKIZ7S+1/bP5fOIGeZiU7OV01whZVzp/NHplbdNSTU4OQtxI5JdHQ+AJ9gKE8LuZRxV
WY3iU92y6Bck3MLYWw5tqXWkUVvei9Tvbzk2XIsdVN64M1GPJXheLH9jHmrV1oMTmU6SnKpSjhEc
12brZ/rW2fxabLzc0atNIXmbHUBauDgk0GlKRjSkwDhSg9+ZEJ9weWynXVqKZjPIpI28mg4BSkNh
VM+kjmVfWaggxMa+MUwd0U5IdiiPImTVKXWUUlcPgQsXM0BeaF9oaUQj3YbN4NrybkyR8bOTETks
t6wPWuCyKycn2KeGr59LWJ37NJM2yBz/VmHzSo7q0mPiHUGQg2ZdP/IPCcDiBjLvURZCCQopGKR3
wshOU++gqWRFquwo8hfpfGz6pYve3j/Xlg+dLY6eAKgnt8HzkWFOhUHjpi64Vr899Kpu3yWrb09v
5zEXBdP8D7YHpRa069Ytgq7x+XgISfiZ7Wq2R+vPWzubvA1iSsBLFQq8deZ4d2+/37WZ/XG8i3jk
KHMRKRBrGFD9tOmGxtk1RvpA5bY7tu5YPPUNwi21NTc3bGGu5TfoRqCxzMWaEubF9SwVOd1TE/wL
8OTi70DI4JTP5LHBMo8vtMiLx4rVtM20n+zHPLyFYLvWncfIDriy5QvqCK8nxg9LCktZVtSsbcoI
dn7nDfK7M+l5B56xPVAEV1vlB+MmnvMKfNtk74OOvgosavOhtT1UVmY/fxy1cp7MhIv5gNHAx7e/
zNUza9Ug5dcK3bkkjFqtoS2fUWkcGRnKEgjm7uoKXUvka/Zjo5YIgEnwW5kU3t4xqOZ6vlc+m3Ha
3Dizrn0qqmJcOfxX6/OLbEgUndVNAtaXa3E/7YAdbiujcI/BEicnr/e8Qz+4X5bONPcZfhHFjcP7
WkD9cfiLlVKlopmTkKbGNLXuS8x1fLdI6oIbgHQvb8/5a9P+MqCScq+yDfDO/tF1/GFVZENuhiKt
QZ0VGCSN9owYzGjCrHZFfezhp3xIArt9QC55hX3n8yExZXpUuOxuJxmLD2Tn3ys7/xhyRTuJwkDP
nsP+3h3T5oHGFrJDpQcUPvfibYXd+sYei+4BHWPrSz+7QbSYeIXm9ap3Ior6MIWDOmg7kQ8xTd89
ggjBHmkR50GQLpxEb+t9X9r9Dq/w8UbecA2nwfyBnaWvifT3ZZ+LaXCl1YOD5BTo36cpRN4ws3wA
xgkWC4HrPAyq9092NetHUge1D1I13i8ZYs+Zg7RJ7efDjl4Zdtza96Ne9ctnPXr2c9IreXC8XFqb
LJ//WgrP3onBv9kauRbZfnyBi2VjNI1RFbxbtOR9CN02DSLAfwNaab6HVJtlvKupsB1TGSD21tqI
xk5uvB/dzr7T8La+xmg5bdoqTPamGPpV5sbfjmNTPg1ZIW9E4f/L3dUsN44b4VfhLUlVvGvJP7Iv
qbJkWfbY8notj1PZyxQkcUVYFKkBSWvkVKryGjnntIfccsxt3iRPkq8pwUuAXFEWumY2u4dUPHY1
wEaj0b9fV4n4Car5EeJHRhG6wtT6qNtbNJqzk8Z5+gF8Xs4C1UOF9bSHkJGqeWAqgn6AJwb4PiAF
sNK+9ZQCYwagos/IXy5n0+lFA/VG7b2nbHY7RxC/3fqURUDB2stqpnZUfh9arahwBXaK7RIAO2HW
OMyQFDpqhdnFwfPR7HGxaIkGSudqHPjqldDhC81+hAyoZeg3Zi24UXtYSalFerV/fPgOddiY99A6
qLMMqlY6RX4C8MNUdm+X3KMV9yMahvGAYN7Q/Ko5i+Luy3MDw8dai72ay1i5FN5JoOGgkQBegyke
Lx8RP0NRIc7sMEYpIiD2L1oJDCHI9Mcac7lCPKhRCL4v0i6YT2XZA7PlEcKOH5ABUckkvQLe6qR3
1IhVByXJaAKfIpW93KvNrFV8HxqwDg7Q24zXGP3r5vedYhrdSTQ/bZ4fL05Ou/PJYYg6uKNP7cPw
tC7WWhUJRCsxIIDh3QOpxHbtE6CenH5YIonyfKqi3vIYpaYS9TvdfQCZ9ffkgQJO5yHqd/YUMMmC
6GM7OCHQhJNgeo4ELEzA49niHKXJmJsM7JJzfM/RBQArT25QPHnyvUJSHCn1g9ifN1MEKQCe10PK
aNKTyfyHzW9VVc04Skr2kSTDwqhDsY6qAejQVbULWp/iS4kui/YcUPU3KlSTd88fgPLfBApeu5WE
Txcfp8tl7/jT/vRmCqOis1yg925/8ZSeA2zxoH+AHrRu6wQziCZhWBcPqDhcDKJHfBmJFOi3E9LT
hSf15BlIh/sxhDeLg713QRA+dQ4Rt7mcBgAh3cwSkhPr9TaWsjiCyF2DuotR/gDA3u5hi5D8gv0P
NSqmKiKKiPUhgRdgOZyA+UXhAliJKYK0qD05wmyI1vS5p+LsrokUTQ894gBuU8H+Dezbp/vTCPMB
UKU8q7mmVUyFI4SjR7tdE0rI3MJ+tjw9PV4Cl+GTUhKclU/vXg7T0d5CJb3NPK1eCTcGKRtCabAc
oEZ6gIoeqqkK4kk8iA9ai57KAoTPDw7WE8B+FRBl601UTsRZze1Zz8vJZ8M8xKWxOVv9kUb6omXK
hLYbsXMKqX7FEHgllE/32UQgFBg6k40xhOeo8Q1KXhDkQudZ/h90fBhHk/WvGxjBc4KWXNxnTBLA
fzA2sF6BQeWdl8cK7fY3mz5gNX+IhgxR74UTBw6Pv4ENT9gn5qc3gQyPkDZ6pVaMIZX56/p0XGjX
b8ewpCb6mRFifD3e4uk3v0HZLP5bH/5bTn8LEXm9JZ1AhuP8Ekk/KYymqv0DfYXKBNbCk4+hAlzb
z0M08j+lwVUr4itBop//NCrOscpFvPBLmt1V+NH429XArsJv9f0orrXmR3mnld+g//FS+kqoEUqe
84Fb669azc/qiEiMRRG5kCpfft5GaTLX6zXZRLWHCS4RYSJqUsRCimS5Eu77n+Qo1nSIKtoD9I+V
k8S22u9AYDyXdwc+Kd8jRMe+/Jj5EGJNOhcB8lxcP+B9JFN/7A1SkfqJJpdTpzS4K/UOCKCQzjub
+UqOjGNFgzxFvn9xBWxmK1Z1hJLDoW+Ns0H0EHYWzJIa+lUC/PoSlMXafAXe/vv1dlZyAt2rb0Tx
Tm24k/8H9/csSnG1U+uwj+pF9SueBNqhfouq9CwcCmuADIPCOIvGsVLGVcaD/YvXbMtbfJYBwt0a
dsOgf9p+OJHZTO8v12sw9lx3i/l/YGyumC999eJPYvSvGyxpwolwXsUPhcpMpczwFmKsygQ609gu
VfK6bvfcj2ZCTTUh4jVVnLmSvVJgg/lwHzMIHBLp9nQlQmxx3W3nxR8FJm8xSMmZ7IUsWS9U5+26
2wuhYr8KLRqmpTtxJaKRr+mQOJBX47rlnhzCoMAbo0kR4VOGk+theGyU+EuD7iYDZUvN1vPVTEQm
WQ4+wKI1uUsAU67cxdwTONGGagDUrjvdyyyCzjGYQINqnfd7NSopByCzMdBNRWjulrxSV+6+85Ul
YMgGMJAVEcbFLX3DOUBPrjvlG5E+W9JAuByufLiRaZDZpgl6xN0pD8L4WUztLTPw+EZCr2Owc5L6
0uQz9YI4MyT75M+GAImZaFqk1VBsqn/c3ZPsx+EYPNGEcrqES+y6Zcy5FpbjSzktZ7Kk2zWZfLME
uOpK9dZPA1+VZiLk/QzOtGO1EKau4HiakXq1rJ4GhqY6c+IOwyUzDJDXlHIWcwRC7mO8cubFy9MC
ruylG+3bhKlB3ZlwrjWVjIzoDdp8GEjPEb7RZIjDyOnpH3e/yYNnAYdOjTWlnHCTQR0PFv7YfDya
TQZRGyxk+rK6deaWGS70+6kCiw3jEg0uepndebyOhl3LaDKOTbeRMINcZe4RxtUIctfBNDpNLT9G
qsl0JQ6NjAfKB6idppWT5vBqBr4aWnebCjRcd1wzizoPDu9+llvM0XVc4Rrzw58NbgO/CN08DIbt
Wwf5bPySrxdaQ5sOgU6jonwftWSYBsSQsyh+DUkHUh7Ff+oSK3TGZcOvGEO56BtD6aJrLLf4EfXf
hSgx0rVGBFpvYFMipC0C0pz67pKG4HibOsu5FamiplRX/dATLwKZCSXnmla+330GTXyF4IRBlKpj
Xfd7lSjhm6YVB3Ox1496czkDOF7nd7EaWywgCCFXFlxnmEyaajr5bqmF3JXsjY9Qtpn9ymGcXel+
B6NV7y7f7DGD+fc9Sh+UQfWUw/wT2Vh6Z0rYLzGB7rjyYYAhm0KTIUYAaEv/uPsLvLamaM9edyZV
KcVIpWmuW/+zn6ReW0RG4BnPjjvlv/gzyyzmiGffxh6E7neJZ/t3qA1z33OP3EZvkA3HkhIqI+Mq
oriWQy0/ZNGwKmiM2VgNgHQwGIZnw8zrZ4khkWvqDDz663130L1/7J7/zSPhQdjXK8k/DBfAZ6FN
GrWtx4B0A+hc3eEU3+/u2gj5MvYHzbxBpS/QmJoo7AE8C5DxtDGwa2a5+DX11kjxr/W3F0pejM28
6fdr9UAqCTBG8GUMUuuN2RlzMD+CWqnJlscjFA3U/M2voSLm7Ee7dAJV8rYwrj95y5xEdZIecCol
IX8j3cR6RYBQ4rZTgETFc8PPb+TZeuvZeNs2V55hVU1KXlTlRDtPZIvQ4gNqXRwZMYizNKiqowEk
HI2SgbwjqKDf6rfx4zu6CeaOMTcTTZVorARuGKaCAk+tZMK8bY07GEUYdGKtUqG4rC/JUEC0vPcn
Mo6SLaUbMiMsQUQbP8qEgeIDlA8UGKK6f5N9sO1CbQSr5aiidgrYgLhMaKlDBwbmY9BoRfuEdviu
vp+g7zoVM5OJVT62OxP7YhIof6i3TQoY7Qk0TxDgG5CG0xbh+upfa7nb4ate67e8X4jSo48FeJbg
IpoV0L9N6Ae1y1a9R1/oLa6QtG3erALnSm9S8Wvq3+IdIwM9P1YTU7KoUcE39Ephl1texvssse4i
BgG7k334/B81lUvjZYABVEe4yMkufRkCRV9GLtA8+pss9/txEuDtSFLTj2Y44TPkDoZCPpmEa094
Jf2bQmBnCm6dKeilt+3tcg4PdBKKsZ8EWgZzN5qBEf2loMIqgyzHhoPMPjQGbxx4j5Evi3ulBmNX
JdIRyI6PzTPjKEQYKOndIHRgOJpl4/rt0gCvy6wH5KgSwHCeiXdN/zM4u9dMJSlr0FBHVx5foa4z
8i1d3aCWfAbK5tGho9qd6jsxN1VDgyNkdb1UkyXmyFikqffblQ0rr+M6Vr4hbg3CfXClvfIOKmgz
CMY1ovDToMwShnt9I+JEf3wuyATn7MqLvhiJuHRFjhi4jAzrJLZcOwArc2w5HMtns/8CIKcshMXS
vtPHDCd368+tIhLCaXE9ujuhBCr6KoOLHMboHWrDSoLMUTx6h14vOceEAfMMN3tIW1rQAxQjiDnU
huZvblgQcK8rux8CIe0oNHDdGQiLJ1nmNIZjcJCWC1M553NHnFmRqSmZhbZ0YKiA+57fvwz9CnZw
lPc9Sj+NhFmpwqHqvkP2IH72MC1EZXPvW6+bxipOs/XN1CzJdfZRDmLregDrBa+zSCSBVFhS/19Z
tWjrkKMucDBHTipcVukbGlfE8WTI8Tj0va5I0iLTVhUDv3yB8Spu1fy25togkIDVQeLnW+/1/6K4
xiogRHgXNRilOGT2c4Rty1X7IhRLgQNSMvzv3/+RTOmnnlqicRM7uBRD1ALqUzPed4RBjw9oJoCr
tDzIWaz2bih7o4mRLAKxAxArDMblwIdTMNXinnx7LkW8hL8kve+zaCzMmh+gZwFJQ++jIhS2JVvP
4+k4BgMfxBRupJwZZiIGuCOWyHB41yKTShrZUsyU3AewG4Mhcwf0Jrk3QgfMXpJkmiW5mlitwXD2
A3jaFZQZnq0bMU8Dy6xZbbv2Efh6gSVKBrkGGO0EWkElfKU28LNwgo5h4wYwiOcZ2e8GUYYL1cbE
RZgkBlkCDXLVcW2YI0ZxCof5ROPso7HUu6ObyWHhdAIxLtLkqMW99+fZMER+Jf7RQ/m+1yHvy1iE
Q+f6s3gEIwDL1K/HIIGIZPkqNiuZ6ksL6oOanRgPoulMHzHELF779/McdPTKo+IxbMxtbfn0dcTc
9x59NTaecxrw53qLzp8kGmtSQ+IJK8iVbneynKeaDF0jDq+6+zETMLQlEBMwzTIyA0UElOy8ayVT
K/7EUcjdTQMZz011zWERPeDa9xD7NSkT+JsrI3owUg3lSqjjzkSRCjGegXLSP3uzsV0WBEDjuu+1
8/nfqe+Nf3f1HEsztNDgeLyu/WhpsKKiEuTtvLiRQ9sqaHCE6+FIxGlgPC6o43dnMvZrcYGmVbqK
WR9+1kQkIzMnBHhzDtJLjLY1lHBjY7p9S/1OHuPC0MEAVOXYbmgRZbjFfTykI7u1kYW38JdTDEbU
3527RccMd7kviLJdwtPgeOb68QvpX4APmbtmEONbCRPfoMrxZORUzfcCAJR6md2d85Ua3mvLJBGZ
JpefYLn66u2K7f7zT1mEEieTMAOT7+GZmHBamLqgV9mdGwN/OQr8MPQNYW5yQAWsC91KRY8AzuTY
NxrkTA+/yYEXMCCkLuHd+Eih6l2ScAAwXP/owGyE06ysE+CsGehmYyuSzvHyPwAEU+8tZ8EBg7U9
+PzP2HuIZ59/ykF37tTnf0UjaRaGNmnQpuvbitp2aeXLMF6Uga6IXmwFDSRod8LvMQrNuuAclRGI
E0xRwuBdiMQ8TY5CBiD9Scumz2GqXQ+vizgMSr8Nk6DJ8cD+UPJBMNjE/ex+kLOhGC5MjcHRgbTS
oYPS/ab5ja5MbiM58wBjzuhzQ4GwO+Wz4dIsHWohYwjw/VOMhMLIJijqen/q68VhV3iGrpHY4v7p
xdhUnWis1X2tZqwPFgEVTb6YUseg4jCuPhXevY38x0C5G3oDET4LAM9pKaOXpcXwsPQQcPHxvBq+
arkNInuz245irTHVoRc3jCyL/nF3a+AWDFZikhk7zodIud7sO0QvzKQTJgDXbbgosD/LYNW/cvcD
VdWFG1difX82JDccK62/xFfSHKQcyfTLftpKiXSKEMZ6A5tra7OhKZh18lOvrdCsJCHuueHXFmqI
V00Tze1L/cPuVwppIYwmMHUAR30N7RZKy9QBDE4dhUXRyI/LapDmqH/siCW6U6sKIjiqVTqWdHDE
gM4x7yyyHh0O40zTrU56cBTnAZTaxrrmaJ7FkzYGVHRmekccUYpLtPYbxjUmdrrfvneQY+v8MCrD
nW5fKHIG7NAVR1qMoHYS8vhTvU3SRJhbrX/cXRfdAYYyjcmMMv0ujubwFar4tUzTJNemt/6zNDUI
jZV1NSNWq9xkIzMK1+RAUHwAXpcci3G+/Yd4iJZCveH8LeAAPXyA67viTwdyGSdVyrBZ7mt9u4m4
YtSjBEoqwN7hxudp7pVWKFWSciQO2hR/TgLvUaLTq1LJo+td83N3EX4/2LhCrUlZbxK0AT5oZa0w
rcl95x1Y7Cge14RykeIISg+EaRXlI8Sd7xmNCOhmcLrspEKTI+C9kk6YMGnw+afQny2LXMG0Yv3j
7nKCwuYUwKVYwYTZgMfPkUxffcDqFfB+fwHAn5H/B71rOtoDtJPWOmRVNv4X6hjMm8a11Z2b4sTr
//sJH5Ud8hyIjmiw+TEOpxXlwsdHSD9jePrxMfDZTk7Q5V/7zn29c1819P8Gz11NSOWZFRIcNdZt
9ORYMMUcUFZtJV7MKCdHJoPusRF646gz6MRhbFfJcHQBdEfwJcygG8d0mws4PqOASpysehmO+PSF
CKdU+V5ltrVOtf7f/dXCUHhr1yifdic7QAof4TdDNDDV0J0w9VQhfGI8340TDk/FV5neXu7+1CvV
esvuvcrszWLouF5m91N7BDLqCyYomaGj+pKZr/cMVCGw/AYfhdVgKCBwiVlsHA6HhdnG7AU7XMhh
uJK6jSsdKI5G4U5MXufvr32kaaLJH6oUGYc3mPcjE/gZTGRSxFXrcCDFd+JY22RGsIEDLv5CPkmt
HEgHcTShXgANm6AK9VA0qj/vy5Eqd8dvnC+2ZWXc+i0E3Puy1H2/cT7a2+jnGWE6bHoZX+G/CPxg
bBwKx8OAAKTRkFiGjnp7rOTSB/L5WkLzb+iPzhEECPW/GR8BiDAtFLu/GNfokhrCtdaU8ieOo8Sk
Eyi0mSJ2v/4ccwGGnd/6C68jQh94DmYIDv6uXmx3vtxKqxaQo4D8UURIxJrmRIshBnyLykiTKsed
JQb/4CNpbI6lwghyd/beyXSE2Fbl4wLgMoYFxBzJNPqEispynh7A0K6QZBBqPFIJevOqsQE4Evar
cNGlHyIp80fvLEFQNkFF5irSTDcWaTH0t3ayKDDsFODJuR/KQzyFbWpIapPDlHhAz5S5Ww60kYcM
oyiszTJI5p9xvHIVeb/IUjSCa76S6gWEvP5xd91VMjKbHB21HYJ+oKyNvrR6o7TvIyjdVgsAdphP
j/qPwyOO4TDvi0NbYZxEsfK+y9DJDnux0oxrUffwPhBtTxAFA6RjfS/R13N8qsATXR2f4teQ+Gwu
qyr+dXddV8VdvVIFpvgr+8oaNqx5OAphmv3pfwAAAP//</cx:binary>
              </cx:geoCache>
            </cx:geography>
          </cx:layoutPr>
        </cx:series>
      </cx:plotAreaRegion>
    </cx:plotArea>
    <cx:legend pos="r" align="min" overlay="0"/>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_xlchart.v5.14</cx:f>
        <cx:nf>_xlchart.v5.13</cx:nf>
      </cx:strDim>
      <cx:numDim type="colorVal">
        <cx:f>_xlchart.v5.16</cx:f>
        <cx:nf>_xlchart.v5.15</cx:nf>
      </cx:numDim>
    </cx:data>
  </cx:chartData>
  <cx:chart>
    <cx:title pos="t" align="ctr" overlay="0">
      <cx:tx>
        <cx:txData>
          <cx:v>Map of English Counties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Map of English Counties</a:t>
          </a:r>
        </a:p>
      </cx:txPr>
    </cx:title>
    <cx:plotArea>
      <cx:plotAreaRegion>
        <cx:series layoutId="regionMap" uniqueId="{5D27F2B4-81BB-403A-85E2-6FF927785A91}">
          <cx:dataId val="0"/>
          <cx:layoutPr>
            <cx:geography cultureLanguage="en-US" cultureRegion="GB" attribution="Powered by Bing">
              <cx:geoCache provider="{E9337A44-BEBE-4D9F-B70C-5C5E7DAFC167}">
                <cx:binary>5HtZc9w4svVfcfj50o2dwMT0PIBkbVKptHt5YZQlmSu4ANx//c3y0mPJPXb3F/c+3PgU4bCquCSQ
mTiZeTL1z4fpHw/l09G+mkxZuX88TL+/Truu+cdvv7mH9Mkc3RuTPdja1Z+6Nw+1+a3+9Cl7ePrt
0R7HrEp+Iwiz3x7So+2eptf/+ie8LXmqz+uHY5fV1VX/ZOfrJ9eXnfvJtT+99Or4aLIqzFxns4eO
/P5a9w8FSEyPxqWZfXr96qnqsm6+nZun318/v/n1q99evvMH+a9KWGLXP8LDHL/xMWGKSvXlR75+
VdZV8vWyh974jFGOFf56XbFv0i+OBl7wYmn/9equyrqnx1dnsN7H2ny7+U+X+nmhx8dH++Qc7Pnz
/3/hjc82/PvrqErKY/X4+tdae6j7qjtZJQED/f765UozVwdf7gjqk27W+rMyf3tu2H/988UXoN4X
33xn+5e2+NWlHzfxZIu/ZvT/xUUcpk+1ffxry3iurV/5nkCCM8a+OJf/3PfwGyIpw4zQb773zZu+
uN53q/ofcLufvu2vutx3L3n96v+iuwW1rcZjWX7T9J+e278JMegNpcRnkmH0+Qc/NzN7oxhX0hff
rKy+Cf9i5m9L+h+w8X9+1V818Lc3/N+w7i888Nmm8XdI+h/Dy9+NLuQNFZIQTF6EFTjaXGAkqPzi
Egh84ovQLzb/A9P/80r+PHj88eCzvX23tV+o5H8nBvxnaP4DH8Njd4w+R/XvQsTPr36LLS8e/Wly
8EWf28ffX2NEECWEfGfS04uemUHb40NRPZXlq1UNQbr7ZqTnzz8dXff7a0gVBEX8dIpPgC4wZ2D0
EZ76fE1SnyowNudScooZHPKqtl36OQVhQvpYMUkYwdLnr1+5uv96iVKsiCTwiE8luNG3TV/W5ZzU
1R8a+vr5VdWbyzqrOgc7lLCA5st9pxVLgkGOENTnGGGfCF/A9YfjNaQqp9v/K0+YHcbOTTpH+Sbp
8vdere4sJkdUZBuV0rN2mddoMYc5GXcqSc88kweqPSwjTfVczNfUjIfEz85Iyi97gg+uwELP2Ioo
mQXSuKtLzbEUj7nJLnmGL4aat4FNpjaoFnGsPVFpBLmXHrx9EwvNTPohXuwNKUilPeE12qXj3imu
6zI/92U8a39Gjc64c7oth7M4r0pNZFLqdHDn7fxUeGabN25DVXWuskVPJd0p2e4xHduAjsyEU9mU
2nMoCRPaMz1V7aZAqA1yw3tdqWrVxsgFpuX7aelCNuCwG/OPdplvaUZE0PJ0hYQXax7bOkql+ETK
StfFcDHlda+b+sLI4kDlsEM1inhh0g1epkNNhiRoJ1nocu42iceirGG6G5NRtyoPS5mvYuG9zfsL
h9tHmdTXpWl32Wxa3S74rWKDrtM+LDrvMOT9qknwisx+yOo4oNXHbvxIyjQa6XJWCvnez21Qj+aK
C6ZFLtdLgQ+VPXpLsm4zsom7NPCLLJy8VtdsuKwU28lBnNl2LvQgits+bS/yYWo2vOQdaCgLG8fV
eqzqw9L7umqTeIWLJXK+jaZm/ODmaZ3Q+8IHr7DRUH/Kej8U3OjcGx5qElQ1WsUmKFKsy0xtG5ye
4azQWB5UdfRMmLBDLNc58zbY3sVTHJVTE1JShk06r2Zu33m4WNdsO+P5LRVpWKWPflbrlhwT7z0T
t6TMNHVlKIsAzzSwtdF+VmrajZGVb8vhvQHhSX8u5ziqx1kPcRsmcfB9uvvsfD3UzWyzJP1ayvzx
8V/7b/XR5xT439+fiqF/fzo0T9Wry/L48ORe3ndCxj9uhMP8FSlPSPTsww/Q+A0HXoDfl4rrP1z8
i8jIsPLpz2DxbQZF3feF2Aldvj71FQzxGya5IEphAbUTwA0EuK9YeIqJgIJKch++ZwxBRfVvKPQR
xQB1PhKIMwEo+Q0KEaRJTEmAQuRTAEryd6BQ8B+g0MeYohPiEioIxi+gcEK0ToUqF91WbA6E335o
6mI/TWolbMeihKN3qIVDmIIrVwpc1rqoGDDRtC9pOLT0nVzwgRn0MZ/iOFhKkwWmbx7RnLiwLf07
l2erAg+TbodYx0ODQlQvUV06pPusNgHN0JUc20UXmNFjPI217vi8aEnmeD+ktdtMy/LQk+x+nhsT
lB6fzkcna12qKdWxSL2dq80YDY5dZYmMdZKZNpQioaEplmxj0uLc+k15XMby3AoTVUO+rPk4BMj6
QdWzKRzw0EeM43nV5thucMVaiATLEvDBNyuEZdim0tdDz7yomOs8SorOhrlr90SNRlNCd3hRb5tM
JTqf+aC7brnsRebrNod40nKr/RKzVd0VrU7H8j2TaaVNHd/lfLporQN0QKDQLiAmvYsbO+uYZlHu
sAk7ZC7G3kpQXZeFXRy3UZzPOmmrNqyWaTOxLNHK40JTm+JN07hb51oIEv68HgjbFhPfZx5vI9Xh
cjeJwYZT24xaSDbvsrjLztk8VnqZlwlihtiRyeujxNK9N7f8opFuDE3Djy2JJ00rSoOmHliYTsYL
RF+/92w16DmJizUrH1lKPiRF5kUVltXZkHlI1x7Z86JrtTP5oyiHXgtH345mvEidv876DMPiceSN
3qinnq+ZGPKwqKgXFNTYVUr9MnC+P+rKaxPtNYgENjZTUAn7McMqwkziwLCkD12H3/Vzr/MmEVpK
MUamipdACJLpru4+peik5jbVaZeHiVPR0lVKA8GzGQsBzj7vJI5TXaFyDPNMGD1l7Zlv7VXszyJo
utFp1PflxvfkuYXQfeGNpAhY2tXh0sEGfalmLZYmYDMEgNjPZJilYo/y5aaykmihyNZUSyBj0q8I
aTfWG7ygdUW48DyY6z7wR1RoZONV48lImCUaPPQwOb5NkIK4Nlfv44FRTRIRLLCrwDSe1UXqdNOI
m1jAFS6bQCE4FlM22qilKEzHsQsaVuUbVgipeZ9xzUjCNlKmB0PlQ64SE6q5zHWM5RGAoA4Jzb21
rciGe5n222I9V+PaFzWkLuMeTTEOe1qkkVLmhtZ4BSh1XzZpEixyul5c04cNzoOBJFcVb2t94odS
CEzZIDdFLjZp2eebzrjyRggm1nmWj/sCrBhBUmIC8OHyoMYi1xSxed22NJysycMYCaGHrHvvhKkP
ja0ulqndEdPfQ4FBQtNvU0L31KOJxka+9WQ2hL71987Ua5zb3dhm5zUEV29ysRa19yHjwzbPkjvI
U1hQTG7lj31k80FPyh6siXdVNz6ZUmyEGbIozcjK40vEFreqxmyB98ggKYs4wB3doYU9nRIenUBm
tZJsueqVXE9+kurMuQ/5QvsgwxHx7ksldOFNoyZNawAB5k2eVE+p394VggYlA9wzc/MQZ3mtrWnz
CHO3RSpeua68Hqx5LLLEBai+bIa40rmKdekee0N2S21DnLkNQmzXUbbP+zZIXHnbjTIwuTJamVEv
nkkiwf0ZAGpMwmWUGySqZF1XagNYE6WwtA2JuydVIN20I4EcNZ1ObvWW9zYNKaouadYGYiou/AFQ
rYVlxhPe5WRpVnJproXAViesTLUcPaqHzpjQOOPp0uYfp7x4okUVVoZHg0kCw9sq8OOF3CpFymBi
lEBa5tazN96xrNi10jzgcVlxUvlhnnbbZcq6iKbpEkBFeWwaCCN0JusG17fEYb2o7tgVsV13sdSp
6C5VkzfB4CO+S2x9bfCjKawIEwFpZ4qPVW5AkxISuKVdYdHpMs7PC1h7UKXFWpA0EnUKOqErOXQ3
w8iDpM7eMjx69x2rzDb1XRm0Xfk2ToQF2FG7SsUPYHDNWvbOH2IARiQGPfZsV/VwEhJUXDTEO+tS
HJ8lkKwHHWohVZ6mwq58DodKj0uWrEgq+C4vaK/ZmJVnDakOc1rvuJdczH66nbNGd+2waNW2d9OE
VDi59JAISCpHus1OJQog8xgByMZr1BXrYRR+wIh5P2GIwPDkBmFwTeZPx9bH14CDdYAH/zapChOO
BQ9lZlaTGz5gYld1XBQhLXseUJo5LUu0qv32ehrHuwkKIdEl+wxVQ9CYTui4MvWty7K19Uy1oRP1
Vgma/FWF2hs5AMK5xunMzFlQ1OSDby6Z1zcB6fLL2C+49ugcDmjCgJ4j1zJttl0j33ujK3UPDn7e
uXHdKcDQPH4cylXf9B5k29V2EMMurkRUzVyETSsznVq+cnm1bUZ/RWuEVsS2V2kOsAL5vhd4qvqo
er+LckQvMt4UQb0UkJdbtPUVIuFIKRiT4qhnMagu7g9q5pvKxFDfjSM5Aw8+H5TZ+AvKNB7nKBHj
JiE2sijb9u34EVRyhjov6MpEAHYNYV/4ZwmpnzAdAmqm3aIWPTbtzhvZjvVVNCflRzyqtRK+0RKb
Ox6Dv3Uo0e1cRaKfPpgea5oMcLWjUvt5cZVXdq2mJmj4wNbclWteQsbk9x9qPOxF3JwhJ0IhxiYS
CN9UmbwsEkAM1+XXfRbvMk8iyPoyFeZdpZuuusFJmwZT7TI91kWQYzMHhanuWzAvQdk6t2wnmpmF
Znpaqvl9X0isZ95u1eCtyx7UwpeLLlbndcJXfQ754sxQMHnlbY1kuY3H+pz3LVQrYvH2Ys5uMZdn
deaqddGgdYGb9yKPd9ZBKOk8d2UIkbqLy2vr+o2h7cpNPNPcUw+Jx8EjFKIaxVUbOdG029xrM+2G
XDPXHKEuwhFXCh0oyd22gbr/gBPpXfbOQIFHAY/mBNAc54e0YJeWiDOZs2I1U+HgDMp91dJ1P+BH
mud3NRwjwA0UiE6+60oC2QM32zJN9SAByVurdJ130w5wpTwnwg6h8KYQVY5ry7zQn/BVPKWlnnPh
IjTaYfX/b/31gljy0c/Krz84vmdk1umZL8UXtLSEPDWsGPMFxZJCbfO19hJvGJaKISR8ojAB2vnf
tRd/I6EMEpIq8BCBTo2ur7UXU28k5CT0REQRIiCx+Du1F3Q1viOhoJ0mkaJUMB8KQB+Ybyg1vyeh
yDhWMmGI61nkQZuNQRarIO4uEowDcMPvNPMnnBdwZz8VBpv6Xpgr1Mib5iSsKyInp7dZlgFflFz+
XMypnP0TOVDuMs4xAfbvuRzRcDun/cIhN9nPZpdk53P6qYhxEI/3A73Omk2DzlS6/YVYYCu/EwuE
HmdIgq0FkHmS+OSFWD8uzMx7SBENL1ZDTsNqkEEF5Z/mM46M5FqNzcoV7xpcAaIOoS3n/c/XcCqU
n3OKwE0qnyEKhbnCJzd8pmFMk9brsNQylztUZu+HelwNWX22eGP4c1FQ/f8giigKxLnvc8r8F8a0
A2080flYS1Wf0TENEqxu8+qIzePk31Naa5GoXzgQ/kHFAojX07kA4oFwTk/u/B1nKgbTOVETppfO
w+exEirM8q7bVDWpdjTzHhM7Q8KYqDocPbS3oy80B/cPYqTSw88V8KOufQakCajaRwgT/GItqmGd
sx1UPGkxBHL+AOXi1CaQGv7Cpi/c+UQU+9JXJ+fiioC2Xxi1Np30mjllmnrHJbvt23u/SzSF/Na5
PSv3VbGf5S6F3PjnGzxZ8Lkz+VJ+7rhDkAL+4OQB3yl7ULYv1FQyLWt3oWJ6m0AK/3MRzxHh89YU
dOIAGxUcHcFeHhmIVAU2PtUjc0GcfCphU1P7Czx4jnFfhRBfEN/3JYIq7vk+qp5iUpmKauEDq1CE
JQ5bC37LCMTq5P9hR5DMw66A5oIewQulEQPJlZxzpmfVh4v4sED2Uarzn6vtR8vAPk7NqlMjQ8LG
nu8I560lSQWW6ZuV19/V/f3P3/+jWSQQfmARSoEs9PGLs01mb6CQUdJTN+EiF60uOxJIb/mFZ/8I
IRJIPyKgrcI5UBMvHDvtuwJ5RcuA00iiju+ZG/U8Rn3hgrG5mQrt9Zu/uzGFOPR+iFCInRziueIm
BSSVl/NR9/RqKPfQzVjXU/kLIT9aRwFhCrYH7gBIV/4ipiorJsJLoIv6MkrUAZvrv78J6GhBYspB
EGQXzzchmmSYoSQYdTHcueF2TMOmWf1NEQBslDEOXTmQBInBcxG5V8wer/GkWUO1t2jehsQrv3D2
X2YuLr8gyfctsB+87IWQE8B+hy9mlH6DLAgp0MmTdVWuFG1+IeRzsH+GYr7EFIaGfC5hM+plhuPZ
jMcqi0edta5fzS3aEVvyw+wt0lvVw2TPGfRXgFby2FaJka2lkwXR46Du3SL9ezOIi2Ye0mNSyvvZ
SaB7h3QBHtYt4aCWImwXW3yMp2paEY/VwVgm732ukjMIVu7Q9r6v4TdAHb9L90PtP3YxK/Xoo3zl
q+k8xl5fAe3Q3TSJZMcsIawH+qfxDuWYEt01PQvrTolFx6NEK8+UFE6H3wFjCGW/F6ZsTN8PWd5u
UE9nDbyj0pwvQN7afr5HbVdDX4+LdZpCKOznWc3hUsT8uh3EBDR1vHCqHUnppUQmbUKjRD1qHzqJ
0c896keKH/CUE+iccmhBwK/PjV0tOUFTgnw9U36wRR3SyV6fqpFg9PClBwqaluLi5zI/9w1e2J4R
XwGYQdYAqfeLkyIHBeVhgX2tcnVh27fNCKDi2HhFm+q8aWnUj+KiKjFQCo1hIWLd5SRp4Ghx7gja
pE187lT/i+P7YxLjgyoktE0w5RwSmhcgpCrj52ZYoJW3AKdL+mvXmZ1QlacLUwQpOIzH5juzVIei
rnQyo4/wqnc/V82fmkMBuAPCU8jeXmBUh7NkGhGYozVjMPA47KGoH9skHCTeFHEZkKp4+LnIH8Lw
advfiXwRVJjIXcxbEHkil3kGjESqG/vAzbHtq1/g1w8Q/ELWC2+LU+getqftOSKNriahUzwOfzfU
gxCwIFVCIkGYeCGkKW1ZtQ2FnszghWU3hW1NAyz5+ud6+2Ev0BeDCgzybAlpknxpqsIOSVM3HtZs
8O4kZ2pXjjb7Rcz6wR8+C4GnYa4Bnxpxz4+nSwrbUw65c0qgH5DbMvBqfjUzcmaVuYihU+R7zS8g
4U82xqHkVDCDALFMnqYwvsd/ThKT+S2AHPZUUHUe9IwT+vHnysM/bAxOvzwN90CchCL7VH5/L0TZ
LmM9nzhMDKwmIP/7cOojKL6Ag8w0w6uW7VKgi1O6bZHV5kSRNLuxS6OuPwh+pfpfVA0/nAIFq0GC
QWINBoVhpOfrqeIuSfpiZrpoyoAvHw3dZdM6A76xb8Kf753Rz1DyDABfSHtxzOOul53fWqrr2gbC
uO3IUa4nVm4MAxjuyIWkj/FE98LdpY7tIeqvc2gr5UKtG3odz+Q8nrrDsMxAWtZT4Ey6XrAMeM+u
MVugY/Q2B4LOmzsPImZ83gno1iBF9pTme+DhG4288sLP2cpbqqCvvEeJUh7WBkOnraZhM6nQs3Ed
WNMH8zIfPOPdizTd9jG6dLx4aqR/aCqyUnN2L7zlQhV2Txd5P/nsIlv4ARqxlw2awjhHExQQmdwX
8bwSwxzBaMmqaaAfUsTZlvvVtZphzKUYrpCfRDNRMoDA8GkkYPwhtkDz5JsamyGsXQfdOfyYznQ3
wMJPkzZWkbPByr0TyzXjTZR5RaLLsg+lowqOvj2YIj7jrt8lagI+/2qCBobusVwPuVz5xWKDkZJ3
edxiTSajmQRtNCmUU1OcQRJiw06qfSmbq7lK7K7NkzJQyae8FgdpC7Uq/H7Qhto9burzypQbZJZD
1480jGX/OM/QZ8HLeDawB0GrYKjoGtj7w+CmTif+clMX/fuB1O9yiz0tDZTmqBtuYzZGSTbf8WFu
IMpczkhtxwF/mDxz6XD1JGza6qKvQprGgTfmoKYHv5/CMRvXC7ptBHwD4TRZep2NCDqo3oozspvN
pF1RbzI2i1UCTHxjYfTnIcfx5ZxVD12VRv5oobWO8221NArSfXWGSxL0OQXy3mZRAXkIFIu3Q2I3
dQ8NCDqcl8DkQjK8zktwIyCIWdPfsKIOGpetM24uyhOla6bVCFkcU8mqV9AStgIqylzqfqiCmBCg
sYfuWDl/JXtPZ9IGPhrOkwK2TmMMeUF6hWKyrJO6PW9NsxXGB8qfE2Cuk21XloWey/GKZ/XNZP1B
L7gtdJWXN2pMPlbcnDnX340sc9BPJYHD3Y4j/GDcLPU811to8MJ8gKRlyAh00r1+ENoiHnpjO+rc
qE2KEg65JYqWKW00cIJb2SbHReb3SePFQemzq8aO7ypSPYqOnyd9BSM+Mvkw1g78qJnsms7oE8vn
+7zzwfX728oVV3wpjEYzNHgdYAzul8esQZvWSSCN4ZYJGhRBOohb+LdLC7ReBrOvYRitOfWhZ7as
/YWen5oHqANCDTo9kEBRCU0F5YUY+sa06SPplqu6ia/b9EMDA0IF5GObGqWeZlCZsiLej3V9Rmp6
b6F5qpse9FYTd66MC8pYrlIXjwGr3fmUkQflxrfe1N6jETps/QQs0uLfIxgPWyMTL5BF4zmAYLli
TXpP402VeCJUNd7nTkReLresibe0t1ATt+vOpztL8bnn/B3ysxtHs9UM+XSCBt121SpXXg4YDJ1y
4bmo9+UN59Dpt1MfDMvQQTnwlE79jclpkCWFg84/CVDVTkGDkgvbQSaTc+jomX1a0WCwJEyXJWwS
CtMay07xWtcyKXRTFB9YUW2SetwNw0AjXNVbv0jP+vyjGtJzfyIH4qU3fYtuTGFkiBtzP9L+iXfF
riy8qxQQMlIwR6jbQgWoHTYlyve+f0PJE1OTbkroxnb43Ob9jnU8KLjU1fAYM2CMYDwmLsdghFFC
CcfcqO6xUTAphileZSk01DwzPtBiDhiD3roCn4Rq6i3q+Y2bx3OA9C2DwYDRdm9zT9xAk2MzLjB+
B7Fyv1CytqrZtr467+RR5FmUNHKlWhX5yq59QjrtlIvK4bFpaqTB/1bKUpin6E15ZzveQLxPlW4l
zOYVvu6W4X6BYB0UQ7qiomiDCY8RQPk7muOzmZdv0yU7z1l6oMxyXTX+us/yG5h7W5cea7SXio0/
ipuy5iHEK64bL4kcgf4qn6Gw9E81HrprUhe4wj94vYCarFzsyXu3Q95+StIEomEfSFHqqnBR44S/
lpO8sU5unQdx00GwiW0RGERD4fwPtubbtFFaVjBzI2kLkHBjaQmDDyhC7XGMM4g+7QGIiPfWdJq7
NsztEx15DmnWwdoqqvqjHcCj4/J9VQOQLgW0vQoYhkCeQVFW38GwnB/FrF4VCdkkMGsTLLzS3exV
mncwKJKNd15sic55t/eLYdPBn9MEmXesxZSBbLX3DTDAwIjvqHSfpsqLyhxGior0huTzurGuAYiH
2YMs0xUHMsR78Lz2wWLiNnUM/a2u7tdNwrOoLvwcGqZs0VWf6MXEZmVY/UQk09hVt63x43Wuylg3
GZylVLZ6rgQMLb7HyL5tnHPwR0Ven4KVYvzOx8s71hdbSWKYIImbjxyqj1b1uqXFlqA7a2E+EiUQ
1N7P2XId2+5eyHpVsli/u2aRny3FW+b66jKdBprBfA+4+pjMbFMU2Itk6Rfnqazvu3y4nICt13Yo
urWLp3rv14RsPebtk3TZThD9vCTmGrfQ+hP9ISXyGlp3b6khCtjWpotq3H6Allod8cofLlTm2AUp
0PVozaFM8/PFyyFDamFONJEjP2bK3AsRTzu/wv6m7tiwygxQjF095wGjHQIirUtufZi/fCxdbXcw
I9yAxsbC6tjN6dZTSR02fjJvimXqR+1NnQk8C2Q+x1P8LmEGznNm6HasVL6HWRWYp1gqeM8sVQDj
bEkSxrhLrFaxdw1ahGxWZl7QlD65MArVmmeqhfiE+zVy00dbD+/TsiGnZHgIy9ZYUCO9mipy5JAG
BKkoUEDsAuNXI6oCAoH7dGaSXV/2dtA8lW6vii7pg8m0w35MAPgLIYYLG+cw1zwPqA26oVfzyeMW
GEVocLMZGrWsPFlUgc3JFMAktll5E4w9QEeWn/H/5uhMtivVlSD6RayF6JnSnNZ9b0+07KpbkhBI
gAAJff0Lv8GdueoeH1AqM2JHltsh1ZTLu5inTxgM6SV1xRdI47lZ8w2vaSh3CF4MIKlRedBGAt9B
JvOxtkzLj6ygAHXKnG0GrHE5F808gAFc13L7i6G8nCo79HtN5pIXwJxi8hR3xXrbx9MHmYb1IFUQ
nZ1EXzOJJbxxaXenrfmcSF9pJu4Yzx5Vz1FF9ueVkQa1HYiL2x8shw29BRJkVtAEW97MThwmhnl+
TpernNAfgSage/kRFNHRiOwpM0tdTFMDD+XXt25zPTULKc9cqqNY8gaSBpoOdoI4dWDz/DdIoPdO
1B+FBBS95zUgNwxl8Skf1oqMwRfXtAnD/lr6R7BPOPOmoba7UJoehtldLY0PmUYBIfl22gWkPZtt
h5Ivj5KhKZkV7jAzgchRA9nKyotpvKc+H+GfBMuH6Vbb0mFQrTPZXTEXh2ShEMGgPAoi2xydjke8
qrHJBC6ka/Qc1lypO5Htl3QGP7wU8Lx02ABoqFYwnFWMn7CKMyCXrO2ZooctMHNFaPRf6QjeKM/c
T0QNis68v5K+w7kQB6OWP6EHrE6TwAA26uOuikr5iokYwET0hKnqBaKPrOb0i7HwJlAprmbOwL7N
c+fOrhtIvcwbbzo8w5PKFtyiE2xPLSSQgskA4xZohADP7R0oorU7yvBtnssGpPxxAoviZuDufZ/V
C+M4EeAzPI3d0SYpZqCARQDEtjuAtfcWwn3dAYU/bo9RXGtT7wDhjhlhltZuh7/1tvpyLzFuJ/1P
t22LvPE2zK+lShUYtjXMa770AFaGsbilMBWrYV6XQ6R3XDl9LgCph/4irRjfFFFnPJBTOD7AmMDh
1mnZgswvqywaXNvPgWjLzQ0n3y0Wb+9AwbjM8zHsuQjrlaf6ELC/AwqHfQwOH2WahkdCZWTbxST9
s/bonNQyfBCd2adAkeiQFDGIBLvdZwCJLmVIw0M++4d8hXhQZXBfa5Hhpllj7VgFQNHwNt7z/5zT
/Bh0fMPExklljXctuiR7jdKJXwszsbPfi/yi0iB8WwFIHNDcoVQYX+ZvYo60a0S+gY5JBt2xag3j
ApQeo5jiXJoDrBJRru5prJZD7HPo7yOLjtw63K0b28Gt+jLQYHv6cT9tJcOn3KP+c8/H7CnMSPAx
iVn/w2W/1GwfmmwWryvJX7JisgdFZ5hTPCZ1MpiyQS1UTSJQrbwL35bIm6PbBnqet1wegSY+xipJ
n0uWDzjPQ9odBwQapBzOqyfkQRP0rLRj/IM5uHiui5a7cbD5CYNgNjf4S9Bq6BQ1NyP7UfVutqeC
UQx2xZQ1+QR/u8n9gn5Q73u0VivN9ir2E38XQ/GzUvoVFfICVmk6dGOqiz86zvFTtj8toc7TNgzd
qhu5AyeuJBPbcOhkiVae9j263xzWRpOMtrxoCKiNHaXpqky4WDQkViqAWpO43zk/aToVG7SsuVyv
OoHQ4FCQaWPRWPxshIlDUVru2lwVkQRcnNrj5DBaATNO+5aW026+Ioo2/5Dn/YSrzwcMFx6ZwdYo
G1r0Pp3v66STGZgmJcdmV5y/jbKgDxh/3atNrX8SZgX+NHINjiuTI5cnvyay6QK7nkeaXrWSyTUs
yhlcbDoBvJlGtR+KwRcHt2S4/ZC4qdbM/XWlB9I9gM9NiA8+ui14wUCNDtuG48/qZPwzgvp8mnwY
nfKIkq85neO4lYSbu3HthzdpfXrqstS+sGh9ZjBZ8DUFC16cPvCuKew4tng7Gb1TC0nOhJjuNWPA
Qqe+369c7PlnsEwJ2EjgfOaO7wO+dxlCzjdaPKd+eC5za6ZqMEn3FI55AXFfizp0C70CoX9PuTY/
hrgAPkTmurkxPfOvpoyGP+lE2YLf3NqD1jnwtYSTtdltNr2vQoUP6ZLt9ahC3ibBdFXbRK+rKRng
YgwE87r9jqSpaZWh/3q9oOkqwRayPHmJLdmqFcA72Ns4P/TMQcDO3IME8qgRfImjVVSTLXwDTGtA
BR9UtXa+aNQvGm2m/obhODZmUuqQGx00IeUECk0BiaUsZiRvuhyXXJnUQD/RhOPNcilzdTrGIaaT
FR9M7A8pima1G0hFeD+LE5g42ewLrsRiQINAXASin+f6Ei9AbW1Jf+QAmHo1a3bxTE5Hw/S3CvDC
kgGv9mDA0QHUNPXau/jEXDm0fczuViMfkn4bT71x21+7Ja7NSCdwBeHV3336Nu4saoMSPHSZFn/s
hA5lirLPSAUXkYkP/Eh/yjjIPp1126nsIvofS0l2L/vlJcxKUcEkf9EJGT7A+Y+HSA7rVZllO5sc
3/LuPb1kODQILGzDtY/ldJ1Dj44ji1SjVfmf8cTXdFceHCN6onia/2w93W+yqJ9vk43YHpMvCEYh
k/8wRUH+IEgbgMYmj6xz+ynpzHihfF8OlA4/SI5MB2vC8WQMHDBBEgs3Cymvyxbb8BKDAcH9HU/J
wYBxux3T3Desw/83Z2N8Nzmx1SqZf+/6iR8QLetrHnXgjl02NsuS/gtRlBofZ8NhVuxrpzZqO7au
BzJ1vEGz8adfx6lONRCayQt5xmkFethTepkC42zrTYf4xJh7kVWdiv6IIkRuqWc0OBqN4o57W2eV
iBO8vQhHmDvBN4ToRKTUQ1EEwamk4ZLX4e5wkswU+yojuvy7w4e5bp1EHmVaIoNhWUtzNEkW+tbF
LArrabJ8b2cTg67Zo6gDaVTCd9O7P4+JjA4pnyJcgEHyyegGZTBL3kelirrfYDlDYhR/0HkUr8Uw
ZbfClMOTIMX8Moj5kvd9iWTDiCGtCAweY7eHTyI2KJ+hLrsTDmx2S8yQ9DVKIfhbEgVtCsyW3HtM
3N2JoxP9clMMa8n3Zmg97M8vz41C1cg1lCXKjC1a3DhwXfd+fsYoF73hCYV1giv7Uqzb+t1F9hFe
GbyhJPLPPl0jfGjZnfvRv42axEc76u55XQnb8dStwZAtSxClo1DFCIg5WyQ7CNR0mEkznyHLRD4h
b7KY1THirKwXMe3HpOjOuYo3lFxzM2DHxN8cHehH1gckrGi5vqVey0dqZGCqPdqih15Ym9e73SOL
1iEpm5jQt4CqPzubXtVcQs8IwWmj0R5t734R+yKvSbC/RlZJhRrcA+4P45/VTvsT7kHaNdagxY0d
VCQ2hrb2++ZrjGsY//Scvkk0t29bOtDWuS1v47jgHz3QTfj6vW4IpLtajB0SR8zmeEelCV66GWkO
XZC8Iei4fsy0sGMi+NAUNHucUydu+miHklZYJBBxsV8gKDp0u2q8zRKKTSDW6IqDczrmW/cf8H6A
6128vcL4UTeWLK8dm8ra4VI/sWLjJwzn/YH2Mvo0o4irtCesjnxaXhD3euhTNINgjLsD6d0vBpvM
7VjMSAGlwwA1sliBIfflEbPDdrajlx80W7bjHuNqYHQnfzJeXh2UXNpumNs6DBqrv+UmZodFD/EJ
bayq5sIitBTmTxjpA3ithQSRykrCjyzwRELJLoaHUkTsmHWaQTNCdHR0cIQh+WgS/p79pMDfn5sv
GO2I08ge2DlOeTRgcp6jAvh8cM+6dG6UGf2Zphn/6fb9LmDog+oMevcpQfOxVqYv+4PjKeBrHYww
rcjOUH6KVf5mfjqBWQBdcs7qmGyjbWLZf9AUGmo70krFz10Q8KYc9y6v0ArnAXRsRlTD4yW1SEX2
w1BposRz4NReM9w/NcSy5a8bw3y4JtP0+8spQKBNLPzfeVue83nHn7QQZW6LRAh+xigdI3S1c98S
hxM3O0I+tt3NLaqLyK7hzPM/FEcJyi5RfbuOmwO4X4zuBgM3YlLIHr1GFEm5bUGw7xxlWZa2mmIm
ATL3FvudnEQvMeJgyquQcj661X0WhL3oubufvPcXo0TwtI3FH3RTNq59GP4av1JyVOQomP8NUW4i
0Jl63qD/2YI3dA07dQcQOvwu1yl67xNZfEEPekJibvwo0du+62KL/o6bEd9Bp6eWrVPmTsiodH2d
p/Mjofv8WwTFO46MqHxP5L9tBjhPOght86/o3wk3ImOkyrwG7S8OTPQPIpPxZafm1ib8qtn2My/B
92Sy+4EI3Sw5gkaFpwA67PRSiiI6QFO/X7NAIQHX5wz6BNqn1QIlZ3QdH9IN0YJ4QfKiXNfhqMfw
325yXS/paloRIyjWL+pbLos48W7ra2gYa4vQw5Qil3tRhBxlvgUnZouuWcrldpjID4+z66aXuzCT
Jx5k+RMp+rQp/f4VjTnm5/2FxQnaSRPaazer9U5Fu3h28bA95g6hWr+522JJu/kgdiVby8rxN4sG
UyliGx6sjW8Z6/bakyW8Tz1aNDYjnU19Fr8iI/tYhiypo4g/jKUhDVuT+KVMA7/AZEeTWw1Jru/n
kUR3ivDtslqvFswNRAC0QhKk9nrM6iHrRbPBgsBxy3NowVsCeRHoMf0OuU2e+m5eu8qHmA7nwUk0
IAWk100m+Bowd/tTMq3rJV237mVYw6Ide/3Py4AfdjWOIIicRj10uN50+jAGUPnoYMsfPNP8yDhe
/X0iXaUMu8XCoRCZLYgmNMMJowjt1Dzk/ckz+Dal3KqEdjjOY7K36ArTczzO9DGC71hanQHM4eYR
QFtcFQFc/7xZEbuskh3xCNgW77vZSI3udD1lFMiozWNc/xLfHokuYpyvGVJjpyy2NyXNUhhJwQti
I7ISPXTQHl9EE+f6tBNq8F0HBcJXpD90K1/rdC78aS35g0NQ9TrGPntgqG8N5xMESoi9o4iCM3rI
4DXuM31as84eTDqsLWfuI8QNjqBQOLSzXU1TzPSDb6s47pNWb6XuXmQSfLoZHT0EggShw0hHcGaA
+CP8J+6iKR6OpZkuTpam2oxnVTTkZ5bYp3XsX13vvrpBXeNln5FmQx0q09fAB6eEIO+9AIwQYnmZ
8R1sTbpQzavF+KVW2zaf+WC/98m3fT5tF69APmF7DhRtHgDXIhbOBhS2Ki57JPchZlceriFA2PxJ
9EggwuzbWwwxV9eLj6gg96FKkMovUNnLvcCNs4ZH3W13HVi6c4Hieh+iJ0YgKFHIqncPIp62dtn6
6Tf6Qn5j792RIALXDHpC9nBD0gfCAaJ8IxK/RdCnxynsoHdm8pH06UeS6sekVxBT5r8W/VLbZcNj
6ViJPo7GtcQza7oJCnKRrnXSYwRXw43IE9R4xLeg35lukbgnUhoAm1LiX47SdA42ZFznQIqXUkMT
GpZkasJ9S9to9BfY6kgS5/NTZCKk9Tbvu4uZkh9Q9/tdMdEEJRahnveC/3ab0fYIKxYqqUrOC0lf
dr14hChVV7NknxCN5bfj0u8PSACY2i8mbm0AKcXLPaoHu4MMSvKN31E3lc965dGVZyaoQdmsVTQj
HweNHQEuSJ4oYZDlFx2NkEhC9Sy7iJw1grGHxUdlWg+Fw+iGZhFd7DTNV+pmfkn3EksEujJ7GdD5
NBn0h2efIyRsKNzgpFD5qVyQROrJ+pOFsHNJP47I/sApKJ1ZWjcv70W/IafVrVsr5Qr6fqM2PCIq
ESDRhF8HrRYihYXekHbRkHiE6uGz6R6v2DYKqOT9kJ1cJg0ifNuavfGdvfNOR1UULskr0r2f0crL
247O6RWqYV8x7LeAEF241hYmAPKQfZt9mG/KjPFWe+1hYHDYqj4SL/MUIwWgVXKTdFDhqi6LXFFt
KUQ9HJOhR5vo8Tm8tw98C665ZgFeXNgh7zuD7pSXnlySeBpN5RiPzlIu5SlhRNTWFdm3wza1Lx7n
Fwk5Cjp5n7gvk0S7arpopa9q2kb0O2RpKMddHWk8dLsWwAADFBwX+l/Cj924DoZyAcQI+1D2od6w
5UIly+dKLfKbgo0Q7EMNvZhskE4zTN7jlDSZT9YbG8PXIdQmZct67o+EIUzLCr6eIPeFCOUVS9WJ
kCKY5b6IdfOJF8VdJ5K5isRnp8IceXf6H0W3jRwfAIQN4fV2YnY4xUM/6Cqgboc0EE144xWabVcR
4fOT4MSdN79+qCQeboKBQvOxlN7228bPJVQDhxUVFHs6kL4/rjIxD1gKQZ8NyxyGMoLWvs9v802+
aRXv/9mdAnuc1uGJ5l12pRFL/yK6FI+VtnCfO+n2Jo34HQCjrEUBuy3LwsHYiaYbLJYa9ClIV4rF
IBYdtBxKdpe4mN84qeAqG1dCECBoDqdSAQuV0dDKeB9OiYDO6KdPFSTbow+7Zy9I+JzjhfpdljJi
CC+5eDfzlC0t3Ldc3ARRIO6yABRBgi+tjtBo41VZZHef+NBHVTmnE24vv7IDcsXZ2dFlaGaJo59N
EryJlJ/gMkfM5ciaByF9klBqmpjBwNnpi1x7pHAzyHR5aO9i1wfVmAT/sc3PVx/5rTHah1VSTrTO
RigXpCBpjQB1+hRoF5/7hUt+mWaVfJZuDTp4HiEEvY2KCsoY/UIHPp8XlUfnSGT2pghH+rlZvELz
IMo7NafrXTTv5YXZZURgDxnZhoCXvKTU4ebsupsgFva6uvwfsR37Mcn2LG3gax2wpEpCTa5uirZj
JncFpnvvf7BkoX9nRN86OuMuJ1vQH0sd7ZXCJ8VtuzisC5nQF7Rjh9UsO4ysts9ihrRmEuhq8Bg2
q2Sz7hyyYvnLSYGIb/grMmRSaQCFUj1Ch4LSgtBkEE7YEFAm0b9tGMImngp+tGv41zr7aothPSml
kegPdUyRag2K6z7Nwd2UjuUNX5xC+UcocYhwKDta8oZMRNcR0BJXFQJiR13EqMhc2AxbAeh0s1gA
PgfruWzm0KAzwFtiq2Eb1ksc/+IMIiTn3aDQJiFgZ76u+52Nwfv2g5txtlN87aE8zsmI+CsP9nZw
g790usAXNYhE3I/ADf9RZiUkTAxc0Pj6JasLldHnLNT90grp+nrD1VX39jf0vazTiGEySj77NNGv
62JUTcKo0w1fabBU0rMcXWAKeNnOuisP4xwGEGhMslSRJNiXAz33gr0EaQEAfE/01WGCgfkeohBf
8mWQF+SqortuFxCRJvuJLTz6Q25IuWPfDjcH7C36Tw4D++jD1VxhZ757v+0PszBTLSfxVMb6H8Cs
7SUSOWumON8OYYIuZDe/qrEQDxtXD1M+vMeeIVG7EMibGLAbJFT7Kun4J/A2GMJ98gfrIljDM//L
AZUotKUe0eP+xpBijrj3ln+vNjeomR2cqWSG3z06Cg3SmdNYJvYwSOOPituPSMRdmxkf3s/daxGF
6yVa0R3C5L93kmcN1ndk39uvVNIV89ikBHwF7ogvEAL9o1GBuue+C7+paYJRDQ8MilqVysneEpC9
Bk+tl99AfHBIQ4g6U44/jjiHNlW3+QSyoZxeEBBLjtEOH2eEUrDEbq/zmWGcLfxaEzfqw7bG9lnF
Or9H//e+FiK6pXYBuTDNWCOyhwgEAWIMHmIDfRSMLwHunKQNc8IjCD2bC12C+Hveiw3u95yOh3GJ
IbxzvM96G/c7ukR4vfayq5eBY2lUAfcp6vVlkwX6HEYgiQtURBKLG0Lg3cG+KW+DefroJolE1ACi
Pkg8mH7nn9Md0BYc6G9qMVUpvyGJw4B8siz7wyKvrmk5fczDZs5dBvSL2RX1UWwagQCGz4PGv6+B
j8VNn9Ejpt73nAVt4rYU5oPFkqpCPnjBeS029SSNg3Kx2bCmDgNWFY/kjut8PegS5sDg0v2+Z0MO
Mz6VLXI0Cd71+d8+mPDKlZC1Itis4nw33y5KnLIeeEOhxu09Tu18UBxQtJ4knl3anVeSotmGyzRd
fTp+YSHDueyw3sIZQngNGKx4Rb6KNXnRTXEFCMTBrpX5EfVTNy4D8RNS7f71vN9eAp+6I18GdN6o
2EBBF/s+hA7XZcE6KKwhe0054iTY9YThz4p/tMAChWzACrA2yHslDiX19lgk4RbAlymTxniPFkis
K7aUcIARE6U34w7vEDrndKHhCKkZQnCDBTbiAR+bfnrNXLVF1KIPibF4YCzZCOgzQc4BF8J0lTIb
X0rFgJ0tUTiex3APL0OHzsRlCvjBhIz8AZGEV5moBDopzW4jFQVoXuPoPZf0rx7LHyy00Giz5v6Z
6jKE9RToM7T2rUIbrv8TOcHCmQDm8wplE+5wgykae2Qi61sItedC4xbBHHGduefXNOfsmIOwP3Mm
OjBQPnwHur81kUt7LEDYbV/HO4UkO5LhyLAe5FhsAqh9Zu0/HSCSvizohiZ8pDYA+vk7hZgTmED6
EMB6ymooBOTLUL2g0+lQncpA3mGugEWJ1TJVlOBZaJLaE6BXAmxPZT+FY3B50jWvhO/kCzBgfd13
+hjqkFzWclRHhdJ4/vXsaj6XARiIwuuL54JgOYkv13NYmK9s3/LnyS5YHCM7Vq+eo+8PMWYVWGnQ
zimHiGc4DAMez+0iEW8EcbQ0MJ6Hdihx7wmlzum4rw06urwejH9NyEIuyMgNb8Fs89upUMFZJQzI
ATCGmusZwhChG+JxOrjuA4AXMvrhBqkW8Y7FJOB29jS8SGnla8DVWHOzLHVZcAwgw1beSbHgIIow
9WiNC/D9LJ2ghxT2DKPQHKANOARg+6WBU4YFcoWKXgBZzJgrBH3ben1ehYUQH624jXU56Jt9wpVs
LACDsJE4UBg2CyQm4Ic8OKhSGGeCM0o81jhhagrQ1UbIKSXBFwvD7RVMkD3uY/eEGmXaGPcxq2Hc
HoN5fJFeo1/ga3m3keAzDPmNYu64p+w2YLv4VVrvRiAIKf3dhBE7ipVQY3oHhti1Mbb7HOPNfmUk
jq4ZZMpTaNGjREkatoRA0EZBHv4Sm1ggZuYQDos7ht3M8ioNx76NIs+wuchSiNlLy8PtPcSEWm8D
eus0U0fnefArHwRgohxGks2Z53hz7qTjV2iSC3C+VBzTZP2mOTlibxd6wWVW5jQDixE6Qg829/xu
/91zF5emmQm7LSPkRv0wrkcEcBARgj6bpcH73vkHvkTPLnOIBu3ZbW6Mui1xsw82aMwcb1fmQ6j6
DMeJzQvOZ5Gyo58xmKJqz2MfQvv87gtomlvQYTPKjBGzcK8RHFSgK66iYI+SHTZYhCxk133xbvxM
1C+yKoH04tLagFyvDySS/8jITkPvTpNcvkdTvHdyPtFBdm3A51MXu2bMDHapaLR30Fxff1eEhXuH
i7CTy+2WTHMbFDiKQxzDBRxrnRV/CaBjH8BAy3r24jlIKg1Giw/DU5LLRyvWBgHBGhnmV27TA+y2
Ji6XGmG+eirLI1YmvcO7uKVJiGpuysoRBAawoyepB+myGo2nAP5hJ2y/CeR45d3/b0Is2Rg/jJYC
IC42j0QBhIkFd9AQ4/kkgzx0S1HrJDivrHAwyssHGm2vM7W434ZEfnHnQNeXY9oSsUT/Yml+X4Sg
O3YrjnjPpu80jchpg7D3W9TXGr8TNL1ehmicGBBwk17Qz47gnTfaJt2SViCCf/w40ZtAmPPOp73u
eVm2ABgSbB3bzalnxh+SYMeGI69/ljn9A7DD1J1jN1vk8Ajz9WTGHkzhxBsEysHFOOhMLvsbTPnt
CBwwHOFJpxDril9GGEoNyLsOxDdW0PAQxpYJ34YRd1qE7Y+aJe3ebWHDGJa5TeEtzOVLr75HXRw6
XPhhwFDscYPDwqtVt7BGhnnjNrx+QbdUcaFO1Ji6KKEad79bKlVJsHoEtz1uAdGKxTRi2T7N5A/o
zw885bV2UO0K7DxEmPYrHB1ojeHGgGLOGTbyeFnJHff3PNSG2bdlKn+GCFjUgFb/ZGOsKRugjbpS
8ONQ7u60wl15DvBkYK+O4k726JKgk0ITRfjkC2sPhzu4Q/lJ5fgOgZ/seKOIgVpJs8MCGwaFQN+y
ASNsOk03cyFPjK8TdLX9d8fNQUX00BX+gLhMMwJa7zFYe0bskU0sO1I4+tW4o0R6yzNAGgk0SYU9
NkwtZ4nExSvNkhSeQYxrQYsMBSOnZn3s0M685MnsXkDMZVstytVnWLYmsH+T6wdNuTgMIboailLV
yB57Hwamvn22ognCqy3ySMErKoeHAAe+okGaHaJs5weyBwRjePmh8nA4b9a84eTfhwnaouH3nQh0
QC8LRCRML9PaIlWEjqbE/p0E9hDfr16FgC8XPk3AuUaLCcj9WQnyuDLxcFq1Hr50Py71LjfXxLP4
Lxs3YIJYXIsqMgZVPLAX/Lc9lQF+l2hONbaEKX2Tifl+9jkOsqPYEYgQzF88R2yeVPMXH+JbGmEb
n7ONoORnzV/yEsyu6NNfg/UwLGDHMXfq6ICtWMuL00i2DBlENayX41OObCb2khpMfDBsdpRLX0U6
e8Ed3UI/BakH3DNYojcgnvAV4+A4mh6kkT8na3Iolv4I5hIecf6p4NErn4N+QuHBMhtgNBgYs/Fm
XSdkR8L0CajoP0rWqtT6mZPpEPTJ2azxJafkVmCzRA/HH5I2x5tfLv3LvsARnwGgkd/jthTbMcXO
rmDGi5OsJ8ch7wc4SRKdd5EKIMcQmxmWs2X6gE0al2AuH/c9OAf97mpe7G+ecPyrANNYz6W6ZCE2
qfKtZp6f8K2FwwzoPWk7OMDViAkAJAV576UAfPsJaAWCEaYNzPuPo9V/wXGjl//PqQV5VgAxVkBZ
6//H2XksV44tWfZXntUcVdDCrKoGAK6WvBSX5ARGFdBa4+t7IftZvwgmm+zqGDCNGQwCFzjCj/ve
yy8WTMOhF+6LlCVYVpdqJ654nq7YsmYKrYMgBblnQ5naEsZLkFoLQclH1JXtA+mTrepXq0Fqzpl0
RVgSLpBPrBQsZbAvhmdVZcllADlKxGoptrErNTyIMF7JORCdDDoUm50WMLWSyR3A7gTV6OQQdExd
JDlfkgXwEXJ0S8WzFmX7QarGHsjSDDWHB0TqovlSdIlL1eaqFZ5rCb/6RL7NErQv8FB7sEveRH3Q
onibNfelml3G+ldA6dErxV2nKwsvR8apS2jgYh07Ql/wRmXjTumqnUUaBTBTsExhKyrjiCLHPzVZ
tjbBCFYDC2A4mqjDzQ6hgeWEpGJyn6p33mNl6DPILcGcUyCJ1MH0CkaOn3247hH7kYpUtrEeLHmx
S6tGn6YZl0KMbxRLOYt10y60FP/TEKnrGpl3ikAM70B4lIaclV6XDiDb1lrurTFJsCNzmoveur5w
qSO5oa7vSoYmUdveA6RlWo3NJGSh0RYjU1bEWZjDs4xnfHE5uC0HohbNIlnhS2+pbNxKvjeJ4wrE
emrYUtVoHbn0NuiwbcPIHLUqXa3wL62WurU6bcMuooqDM5Hsfe4pKM4nQlHJhIYZUgyVkB11vrmA
8vducRSVheG27FKF7FJzO/XPhjE6URU6Y/ur7RlkFPyXWtS4RfhWqm+SENhVgT4hf66JbSNMwyLY
QmpSLvZLDAud41nNghT6CeH6OaTe6qZqOKMZBaw8+SJXs+eStdwE61vUiLskTd9kMiuA6Amp7fdv
XZG/YzgkdNROKUViovgMBDBRmZrbU3vnCbsIbZ3clwch2wvF2bPkR6Gu91n9JivBsjLWdbMiN6SB
6JOfjLwhibaNu9Jpmz3MZ8TeuyLfocr1MeUojR22j31QQYDmTLsRw/vWowSOglAV9l528ZGHSTi+
QmEjiR9t9Sj1N0AweUbP0YBfazj7QB2jcSHUt3GS78sCemnqav2+Ha9hsdE4JmmbCEWEdC6KwOkA
qVXKsRk2BhKLiBhoiDx7gtzF0maSEb1VR853fFScYXjp02ijKK7gdU46ORlKr2la+sp7xKuzKOFG
frPuhpWR7dAgxcWBRL6ClYd6jMlwZptCgrPQ2btIEDsWWcWEo08hHrR8T1kZvxKZuNDcFJA6rVcD
nmnNIm8tegbAWF/a6FA1l1RZwD/mlOlqHvel6OvOXGmR5EDotPNpHRv8eu7MQGCG5ChXr3g1bCjQ
ofk2ytfJvAmjVyHeyjCOhvIcCut02msqC7COeYhgRNnFiNFl1N7jpc1few3RkAiAbpPWpH5zJ8nu
xgDxQv2AX8/J/F3CwAxwcMQGfG1YavuyATd6bLtbHam4RmHtDtvSAGRufJYSLGgip9ZdwT5VmyQG
T7W4yb2DrO4nTqxF9gtjjoDMaZqOnoIEyjaGExABBCH+sEz6Dy9+rsy7sCMkYevIz165LUNuf6VE
+6BfN+UupBouDa7hveGzlONHJd/NDs/wuY9OswQhSs4IyJe6ejLS99ZPVkUwnJtExzzz1rb1C5XA
18jsHnOlrdkNkC0kb7IhoqnOEQ6XPhZU89hQptMhxlWn3vNp7rKJk2zVS/GthzfLHaLwmfVrpbbP
DVXfSd0YoMnFjgzYi2oAK4l7u6ByEDWk8aJZYUiKt17GFinKkVCY3HegHQTl1U9rW/N37JdYZq4F
+axOISUdbaJp33gl0eVyLBCLEHEpAvOso3ipkGApkYij37315G0jMGOqlT5G7oB8zhPuRNXCToHG
/AJVvKrPteLWCnF3cqsyKopsqYwnL3Un7YBnGVwksmhXFy8q+IHyQBUHNXCYB0sh89bC8BFhBQq2
5niELDEkt6L0GMuubybULg64grLBjQzyWGul2JUR0fwBZ65daDH1m4GC8VGK/KU2vLOQZcG6yajv
YEUdbkGTIs/4aFHutmgL5yJ2MCvk37TqJFi922qbKTrl03mKF7IeOK33EiIuCiocEqWThHc5G1h6
moxtpT3qxSrL5iKeO6BEHzbZ0Nq5+CpJNyblURCUbMLTgqyBbTQXKJByugQFLk/LxHtHfkPocFSk
m6l8Vo2XIrsIA/VBUiyLuDglwyaI1DmVaJfBe42nqYRvkVbbVD+nQDlj9Jn4O/u1hfC9X8sc7NJ0
D6/UqYUDWRW7RamgHeRWXnkptjQHPaYe7WCWQu9ceTw7A40sNT8jm5Zp8DBmp4qIC5Jr7q3Y0wNK
DohUA+uYywtldggvOvUmq9ZAqLXi3jMfwmYjsZGE5CQs1GAURV1CbZwJbk/hhojJ0x8mViw5XCYo
tlChDSD0xYCfKu2B9LRWXnPr0JikM245OXjyuyoRqNwXIRrYWzxitX9rtitPulendd4RL5g3+JBd
nyk32SETNtl3xYMlL/p2LUFABW0km9mqKnkckZ34xwJxibwakBuzX2fxfGChLIeubtWyi4f6S1lc
S8CV1UVU1kimq3hDWVjD+uxvxn6raocaTmt5robXlBg1V0xnIv3ZnclcdZim4Owa0DU2poqg1nJw
oQn9E6xQvFzGsDdrysW/UvTkHRLT50x3zQmbAdxKXmwbsTNY91H7aqjvtbov66tBuVAhe+PIw84f
T2PxZEKS1Z50oBRDcjfpOP3khVb71PDcJpdW+nCviTeDIPISfqWkHcT2cfQvvXatsR9NVMcag4z4
R8L23Te7pt6F7c7vD1rV2EJ1H+X7SVmhiPB1DKghsVMG0euReR0o625kbcdi6cGKLO+Neb2IdlJ8
0FRXmtZNBLRa1jMAtKPgg9IPuqwku2MBELZ7q8CBUyHdZPXRQ8RpU92tI6e41fbwvVty+Ba1Usi2
2Jkr89SYywoeLUq41kKL6MgKahGG8slkJ09y6UIChaqpoFw1/ZKKl3pca92TDz2kCh8nOj/klcL0
ZosNUcBg6lrUsCnjMttzSy06yDBbFO0xluObWnvyWOjkYsnKbho71byJy9ehXCnQYjoDjbW+Klto
/bj+BWlyp26J+NlOtFe5MzkwrKXuHFBeKZNlh+QigQAKtHainCQkbhz1q6TEL3eniWiLyl2iHVjW
yXFVSI+I6Ks0I4l01tF95kK+MMt83XQxx1l8I8061W9AUG8T+UFv12LEWUU9Kj5ynzUS/yE+JeHe
ZJBHhzzBR75SDZV2ErcDGp16cJrZdR8dyYTLJLHrTT1Hjt0qBqETNy7QzL5FWTbclRUZMgQj44L8
VTH2m9gY3Yb7VJdZdOK0LLS7YrzVGjfwXQEPVrXA1h0V69GLHI9jnxxTbYdzzBlUXo/qY8Wp01TP
coB0vKfI0+3kkqCEGATZ56XVryNJdtVYC6I7UogkHifN6Ujt0hpKW42DQ+0J5yTFVeBrDnpr5LmP
o2ace4yNkjGf8GNW821Qa5e0qh98jKVCgMam38aNssR1i6NpIUoLb97mnqAp6y2bmfUiUqlBKt8n
j63iKOpFYz1TAWkHLLIGvPIUVD07BYH+3kwmp8xXDfF1bJKteaySbVq/tuE2rnZF6HDyFpObvHiT
1V/4NeQQOFG+VpUb3AsmYlf8K9q+oqZYBo+VyZmDUFov7pF92mFw0MRLxXXC4hKJzYySsEd6UIgD
lGuCuCh0QxKwk4vQtuw2QfYc+usSF8JQLg2lWQg9IRhNKpBisSiKDjxha2LLMc3BwZLWdIewFO6F
9hCI2R1VjnXCWRNzTnyb0pTE6hiNHkvODixqKQpU+aiGaQ6mOdYrTHTVq+xvvSgBSv82CAWpthEt
L/scjVKMfRTfI0FRmAfRECD8lbB93wkzsmHJCeyQNu2LX0Scy9zZEVjinyipwWIHRFcCxZmq+axA
fWjbW430J0G7bilLBOROLbsKody4I1aZwL+r2aPPg8mRyU8Z+d2rPz5H7Z6YvuQntfPADoocU2lX
Mj7tjB0IiANTTIk5uKerKXWlbnzRSbo28nvsryQETdoDjGebyRebN0BNKp5n1buefJNmj4ico+xe
m9Za+uRR8mNCSuWDUq4VA7MN9dWgdBP0vWV1q2e7MLrE4UmQVma58sZnv77Bg5haK5F1KF4r+kLh
0BOz14K7FoU99gc7VM4ksWhD4sadYWNB7etXWXRzjgNF/kJoU1SPaHOZwCwqrpyt0PjbOk1Hxuea
HFzrTNavrL6hcJwqnGSWJcXwcE9e3qoOxfAxaMwpJxDeZdlt1UOXrvPpgC1OTPaTd2pTiYTOR1MJ
rHy7QN0IykOt7CZ1OvlevvESYVl5W3KIobakY0tjxVRkHYswOFvInnAUvUfO17DQIxI1WnE3ChdD
ObNyw/xCSc95IN0OfFao/pqySUcMZnmyUlQOZio5IF27afulP15kPMjqmQ9jmfsAYVlCksP3nURC
R8m4RIAiPinaopfRMD+U0dL3rkLYrcvmNpGMZTCdst60J7aYroPWPB6k6Cx1Vyvl3PrOe6R7C0Zd
BVelqo9QjW963dEQ9AzTsu1ljn3khrfIXVHZfnjiUz4Cu09sFJ5rFC+8lXw4hbxEaWFOB+QzxI6n
MGFRKlWF4GIf+QuWLZ4KKFMfYzaxkIEGiGxcsqJibyNbbBXXwIRt4Yzur9TmIuGX6R+a9jIx4YWI
6BL9bIhlkYkvqo+a9jiOE+AHN5D2qb9X1QejJHi+0TlJCAsoltQWxPCa6otcXrXlVjdusVTfs5P4
5qqwTga5eCWOOAmhJl3MCZ/Co5xoeeRFoRngCcjMvSCMH104vurauxCcFHHd1SdMtXzOgG3Q/+ik
vRU4fDrqAyUnaFS8gbZIA3dUT0rvZj1mtdCJNBd2i90PC86TEmX+1MIi5Qic/Wp1U47nrHUDDRSb
taz8VdFezOrSDFff28E3DwSbukKZkkbRV2opuC0ZuHH2QiVHBJLkPVdjcFf1h1FaDSYG+3XTM3s2
OV6LeKvwm73VbCFtwQnDgk9gVRRtfgnAi0vIe+KCEi6e8tE24343cJneN1aRLNr6jEcIqvigxki1
5syNMDuLhp4EkujvKMZQqtyIlb9rR6wr8WRtKBgayJu0zYBKCbHdUUmxR6fCHh8L/naJLh/k6IJo
LaQVpZLSCRJ/OZ/M/ZHalUe515DJNAUrESUutR+OY2P5KIhMeVwvQd2tzFZfKUrxGGUfFcLhQP/I
FPmt7b0bHbRMrmfAYDCyDOTTYZzqg4XhOooQE75O8xzprsKApI282PeMJGmGdH1HSJohVW//6sKV
KU0DSEHhlN2DNseq02xnsVXaXRHt6+FCxhqWOOTPCOLuI5gonLFMVoDvb+NvJEw4TdKM7DVpg2NR
Qvt0F5wzBLpEoKslDa8SghMIATvguZXDm2CcDQb391f84nODPaUqYckKV1Q+kaGmRlE42ElwE4R9
XjgDzo/05vtLfPGhFElRlLkqhTlgbqv3+6NViw66Pw117Fo4Gs2xYtdDxqWjF+g3mryvKJ99f8Ev
2Fp/XFD+84ImtQMkGi3I8wKevEHGUgMa5ONV3nZF+8PFpPm3fRo5f1zt0xPs60AOU4MiG9EPaMiE
0plGlBLRTQLXVWg5gvxUCBr6YDIrd99/0i/f3m+P9tOolepSqAyF3FCXogUgeyIDovTpbfT9ZaSZ
wPrdZ5zv47fZgW2bLiQ5T1RWaXVGRSPjEIWpw+tuBDIDJGS9dttCF/r+uvJ8/3+/rg7Cmv505EE+
oeHkMbZwCHPdluMeu3advXeUKKVsiThsMaigy1CBks7QPVp4jJvOfFHFtY5WZvBat2PVDGeuqHXT
EdSk/pkOQQTc27DRX76/03lifnOjn9nMs5HErGpEVPGUue1AxxKsOAjdg/IHouGXY1sVZdmQdJFT
zSdWrkj/psmHy4O+wmV8Bd3Z9NtNnJMjFSvn+w+lfPnaf7vYp5k75YAK2omLiQ00m5qz6JwocRJ5
3wWKi+dqCIiZNqFxLxb3Yv2UVBD0xHcyQkFarFDFIR1D5dsuDRZ9Hb1p2jkNCi2q8TbEAThDozsi
YOv6i99ot9/f/Zdz47eb/7QKGKjlEo+yPmpBVoKYwIOcP8qMH16INM/vv716XYQBCQNctdRPYzRU
5B7bJa/eIwpVZQdDyKzzw6kwcEg5Uw8oAb16hKfvVf1cEm9+/zlpsvbtDWifhoQptpmRYj5gfQWV
w04etJeR0oIGD1y8pyeXSzK+oj+asdE8Kg7iScfkJ+rb0nvNOOKEza9auMm7NQUVuzfixff39/Xi
oasyZGfDIAL9tEBW3oDPUsTrKGJqMnC2U/ipapVTnOiMPLCGJ0QylfDw+wvLX05K3YBbjfQbhM78
97+tWlOZF/nYDbx9DCWBuA+omxOA7TSTmI1zfEM7NEwJzSXB0iQJxyiIF2m4kWtqk/jB8mY9BsTX
+VJEydDWui1JOPL7ux5ht6827tiFP9zyT3c8z/7f7jgd5JpIatJskkk2NhrIa4wrWXKm4IfZ8dOV
Zl7mb1fqvLgMaigFnBFTGCii3VVXtWk2I3bM71/D1xvkb6/h0wTRM4TjgsdEtIBEnKn9c46KFHlb
RNiJMWon1HQQzAcBrSdmjQzUqACSgDaQlomS7odo5KtIT5EAwGNUNGSQ+p9uh1arXp74EvtXTKAJ
tz+uMUD7+7yBgKJuUKJAphyt1za+Cbxj3P6ikDZGP9zFl4vTv27C+jRnUW5Lfp7y+IUS1ETnp4Wb
icNT1FaN8/3j/+JKUFpUiWmgi0R5n9ZwKrGAsWlIYU9ythEkeefj7mjq8YetWvpiq+Y6Bpo3SWHV
teZV6rcBFQeqVZGxo/o8aKe81lwjFy/BmEA+6qybFB7dSM2wSqanSLxDis1BlUxkkqTrakh+uJn5
FX5akun4odLtEuarAUHnz3vpEKqQl+IVA4eBNrTQZEQLixS3+MQhu3xpu59amkg/XfLTWmPU6Oal
ud4XkO5WszdLfJQIPQrBEYs3EGYydzLlm3BuAOjDpsjdVBiOVK9i5QHVhZUgj3/8/s1/tTP98Rg+
rSbR5FshWWvmONCM1l/n0WYW/Ii7Xi3o1Xbk1JpIFlKqM3UI2br74fLy33ZGXVNm0rNBdxk49eKn
Z1I1JmjOWhdt1z0cdu6Br+6S/6T2Yfe4XO5X1/0ytfk2tXcf7speOXZib2zbXji2vbT5spm/7Fer
Bf9r7fCN6y5cx12v3fnP9/drzTPhj1FD/x1tppLrIkRexs6fowYkx6AkBoBllgTucPe4e3w8jM7j
MrcPhyV/TsvN3Z29OWwG2/5IHfvN7uxjZ7/tz/YimW97cc34snCOC2e75obX61836xt33do3693D
7ocb/us0+OcNgzqV6ciqa3PfEevTxiqoUhz7gUeDASe1H+bH+Ihixn5+fD4cTs+n093p7nLn2xff
/rh8nD/O57fz+XrdX/dP+6N95M92e7u9ub39dfP+6/394f3h4fsn+gVzmTMfsOo5MuLs92mlzRSz
1JmH80qLCYKiXUFaM1ZvNQQW6VsVnb+/3Jcr3b8u91c0+9sKVOARDD2T4U5tICQE98NFP/3QcePr
OfXbRT4tp7EWwr/I+Exp8TAUwqaMNZowwv7WdsDbYirB3QEluR2MdwgFsu4HbPSXn1GRdJ2QRgR+
+2llqxMAE0HIvtFFOegFMreYsPJhWHz/KL9czX67zKeZa/Ess3rGU6ScqybyT94cQGryqTcgO4L0
+Alu/lWQCEL9Xx/s01plSqUGVZErJtFzkz92ykaVNln+YDXPdHyLUeb51f98D/7jkp9CIM3QNC3X
uKSFBE7wCqqU0PQU64cN+Kdn+WkWoECAGzmgMptQlpXJVsKeKyVu6T/LdLCVxDvRMpffv7759fyx
MNDH+beH+fk02ichThGJT6aYdJDfTzKpFrKQ0Q/zW/rbivnpOp8mA5pzyLk+1xmjazneY5h3K/mk
T3scz1L00UX0KF1k2C6//3jqFx+PNVomODO0v/f1whttSH9FyZSMgcjagfXDB/vikG2YGnHRnBRT
Wbz+3AmsMbWKDoglGWUIChn91UsZgAHZ+uidWvkPk+2rAPmPy82f97eFK/LVYsRnRvKgOHbhkyT/
8i3RbaI7r95CXKOMcjMFB5mKoqn80HpH+mKo/HHtTwtKPBatGZgc8XXiXzssjWlf+vWTZNG0swt7
2W5bk4OB0V7LDKxy10ciEh39WW/Nhxo0wVGrGxrySkJoow3tdt+/6R9vb7793x6NbLR0uZF4NAn8
pSx/UiJ10Wk0bDLIo5O4RngMWsYecEwl1dzhIXHpwFspwXrMHqTi/vvbkb8cGLpEmMB2RrbjU4jQ
94ViteTAMSVdrWjpKcZOTtakqICEvJcaEiUAVI2FFxTZmLGZwBQGBma5q+WtTf0tiI8mQhclu61x
BRuXdFD3RX6UwZOYzYAqQf5hpnw9tH674U8zNBmK0ICXzQyVkWCJJOb9B3pWLUw4FvZaD61dhWOg
pAG5rjU/7ZVfLA8QAmkYP2fvRONz47AM76mXzafZDmzGyW90QAq59DYCErUzX9HeCzn1KF4jvRCF
qaRO2JwFHNg/PYQf7uNzzgxJqBpJIBvIRNEQXvHJecysQZrcGDACfOkpjVVrlyca5noR+wGuGPpY
R132Q8A2z6VPy/Lvz+Nzl7MqMvNwGhnMHtLqtHuSsI/o2g8z+ushakokCOmp8begG5JACC2Vhy6Y
NLEIfObrVHQ9oh/0ngO9TFlEUOp+PzG+Cov4aP+66qft22jDSR0STlw+hrcFsOnKnUzUGbUV4dxs
U5AWSjlhSdbvJAN0thBCTRoHQMPFSF1cRRf9/3NHpqaInP8sGmd+Wthkj5bmesHeZIrxS2UWpL/C
R8Tfbh+gAq3Su7jHDGX05xyPcyfDzlYGZQl04IfmQ1++9N/u49MK1qYizT8LolI0xwuapxynSUa7
Hv402b58779d59MbwMsdK1NHYNo15YZCciduhXGPJLjAozB1MYzi1YBhRe7QtCWUSHGslxAjT7p0
nPIfnv5fWYW/DfXf7uZTbCWIRgsOZL4bBNIYEBvURGGhumFiOBjOHcWkZliufB29oLczOoD6SWmL
ydJUNmO6BAVM0TpSydf5VPx/elZfLghzT0MOJvSu/JyRJHPgNT3xBUzJAfjYLgbQbSA5NVH8742Q
6uV97j+J/+x99R9/dDqr//s/+f4tL8YK8FLz6dv/PhUf2T/OycvbR/2f8z/8Pz/4339+y7/75+91
X5qXP75ZYGxpxpv2oxovH3WbNH9d0f/I55/8f/3Lf3z89VvuxuLjv/7t5T3FKw+MpArfGvn3vrcC
pUgLeLEy51D+4/cL/fMXHF9SfsHdmH384yV7/8f146X6v/77/90JV5D+XVE1ncXJkNhC6TLElKB2
3fzXv/FXpsbCRZ9JSpKyTALn91a41EUV6oeKNodk8/H9n61wNfXfjbk1JX+tkIGnJcb/pBWupGp/
S1yQxiJnMd+mzPgwPwVkU1OmQaeyhlZRvAP641rs3L1fH3qg7wip5FNODxlS7I16Gwigp/VIviTG
eBykAcsboA7/UgUCDok8sTE0U3ivPvwAewaKmgkEnx1Dmh2KdG1heki1fuavugP2VMlAD0TXd6O5
VtXkxmDfE/M9irKFgaEvR9UcgJxE1pxhsW42aVTT957ec7GMftDcAdVs+wEl+72C88Jq+WUo1XNb
Cu6VFiYkUtRWoxk4VeymxhoiXcO5Lkren8BunVAdCxTjMR/S05hAHSgxwecafNchgdQ0lqAs650v
XOUwOUT9sNTjyRGzHDb5JjSTVYogsx3DZZjhO4c1pJDELtPM7WX6oWbDrc+TiTP8ebq11nNjUYbx
Dc6PI8nEfTadzfg1yy1U0tG9igDNouwObUm0q7bEATPZKr8bCJRyhtW4CGi/XfLkZ8SpRgEwpUn2
pF+S3FyLgcTPJ4dWkxFreOBfLSC/gEEkuEhZvvCMVUe0lWN5Fcve7cVHGo/sBR8GVR9drUS5+JZ5
6KKlIlorRsL8hO1muBckjyY18l+hVF+e++QQR8gmytGGDwtcTL7zzsVoJ7sOS1v70nE3lss6u4i7
jOJTvy4wKQhEjX2369GVlnpzbpuXEN9huZK15QBFVMH/gjVKqX8V+Lc9WE1z/mzCOOUV0xIVvyeC
yKZhDIbFAU8R5NvxFc+P03cuJBhLXwnjsQ6PNfpPM3prEM3FChYkdE1PirrwRWQiYNkVGvVU4i40
rtaITDiZFnn/FPuPqbLERurg4EbWRMrGlucmQcVHaj2kxjkgYR6Yy0RrAMotKmtEj/TiDSs1cCzx
ZcSFg3Wk0kMgKIvQP2VQc01H9jFJ6jdKdlKx0lUUijczJyjynwLjuYRJry7EcDvhjqGXkdj0rk+3
c38B5LHLBSdAcN4jw4he2/IBzk+pgo6HQseRBVM8WipsJKgqTQVH+W4yor1VuTlEK0YHgsJY341T
g8COuGQ0toaKHw0pDix1EPZoY5FTy08xIyjqVhQ6F0jPBulFrfd1tzFEl+5KlHt2jUlaAPqM/wQW
x67ku7pYisobAgaDPgJS+GKUS1O+Ea2PgptuPgp/BbiHbr2kn9nGpmVZIxaj36K2Qk+m5i9aA4xF
LI5K0S0sSqZV+6jiFsD0EyrwSwBOBT24Ta3fGlXg9DR3LztgUVS5W1pvZfVO0Ke1IMcbWOlLzYpt
LV1rKNQ0VIZjIz5JFeJ4JEMbbPK3RnwyALOXW3Bw74jxzM48FbWKouYDZDReICyCYPLhKHZbCxef
mTqxgTZjzGyagFHUW6E5TfK7zgtQUk5YGQ4U22lddVWHVa09KgwA0bxtx2ek+k1/azFj5fAml/Nl
G14VvW0dRcu3GaNikneR+SR1t/K47oVVadCbSWiPZnzb1be0QxiGB+QvOEMzG0A+GgqsHQDW4Aru
gH8XGQcVraVCCZf+vk5ZIe5a5UnwMblmwAFIVvmoy1PtuWl3kvRutR6S2m2gLifpArooZMxnxU2p
XofxWvjiQmZxI72FGRMnNl23sFxckhZfbn4xpUOBT9NAdNMhN4rblTIxWLy1qqFZRLtVj6dYOVKu
g8J0YBERg7OHqdIiqNWuvoJhbf6uTndtvIiaxxxes185lnGq8icpibf0+jqoxdqCwKoLmxBvnjUd
lfZMUwl0ltIWHS9NQIplFN7XPVq2EinQLSdt7MrnRHxts3vJWirDbadvkmxjqC9RcVNYy1q64Vil
FssJy0bXueawE3E1mDw15F9tK4Iy3WUgTwt5OeCtVsB3zO0rmldkjZMPA77HRHOgu4RoXhNKNPWZ
Dh3sOcjlGFa0z14xkhAaqL6/AJbo1MG6kM8YNgPJwmXsQrhr+5vUvE3Ll0l+yU3VsfLJ8f2XuDx7
JrheeMmidkJopyPiziqHAQto8tX0t0lrLVXK5X5y9aqThPbdoCmU+qAnb526awNo19JayRdWequB
Swta0lrE9QUeFFH4qD3L0SSnEDpcKuVN2N4YUnBIAw+qxpZBYpcy7eFK0ykKE5QBrGzZO4TipYCB
sejjHoH2gNUjc0V0wn29hRHjquqi9V2zBdgnmCtdfu9xaD0Czey0pWYeY8rKE5KIqQh5oEHDyI3P
UDWsD3AmLmrz0fxlNaQuYSrgFVr1DX214sBzicFF2lFMJDhXQHF4464erhr5gD53Osbwm2hewhrS
ZB847OwYtMQl3xCooOJ7M3SX4ZL1blkPy6K+iNzeAKC9T18gy93Q9OLiUfKvGggQOurup75xmxCQ
1NskHX3D2AKghUADwt/MN/JYzX4Rb3wE/nWQaRo15UtJOUTXSSJsOSB0yzGcr0lf6rhG5g5DxRaD
HTYAGhLp/aq+p3bf3I7YQWsAEzucHhWnDAlxIs4Mem7hZHDSaO6G9wRgo30D+SEFwrIcjjwCeWBa
bHo6CVqHeGhv1eDBeIbeVy/nBXqGDVmMcB1iM8hbJk+xpkmjowtL+W0GKx96N9YMFzKZk4oWzCFU
/CkKRogPx2Eq9nXFVKXtuK00sPSgfPqrcFw2IILYEaUIlXCCHYcyuxqoj5OAUa5el+RnWHynRQrX
mKZJbCKI0eGrJGhXc6Uw4FWQZWqVZG3mWxVualD+EvD7lqiMYhsVbHfoOHgrkDhnmxIS0X5ZKMl1
VGGaCMsOgJBphecUFyijP0fqGblpZDqgxV4Aa34Yk/xrmPApZTsRKFeFeqz2XNyHC2mc+UHBJg3C
fcVuAR5z0fCaUlWHirYJp9so203hldFAeMPyZtIRsYobR5MPJYzwYbhMQ3HsJ+FaTfhaVfrVuLiZ
vIiuHWXe24m6lKuIDT7ca0O6qHss4XjH87mBVogn03AFumHmGwX3qOVVRxG8cUVIAdLbnOAJjo9+
pW5zcoEgVwkrAWkh+5vwd0r53EplwF9IdkzS243pd4hD7V59UF4y85y350RCe+vkrcOdwjeH61E4
XkC0hob0gLy5iDcAI+78ZjtUL3j17HajjKv6tepfMjpUYe/RllgateceuAS4F92dftEU2QblA1BX
eTDvghPNuxCyxtYDGAya16UoUZh7Gt71mmF7sJD+TxvxaSoW+aPvH/1+CcOtlzBeI6ep73WIyJm4
Uh6Klue69r2lN67Ddi0nIFzJ9i2D/FchAAJwpSe8YhVEEEd/4/LqhOOVGK48VDf56+R/VKh426q3
hf6BBhgVxOenXHcqYteLcaArIaDjNlqM72N4L1iL5Fdh3Q6RM1SVU4ykObWtSu8bEcTAtKHNhn7x
sPVGZWsDlJar69QtwmVMd7fwf3F3HkuSG2nWfZW22YPmgAMOYDGb0DJFRKrKDSwltNZ4+jmYYTeL
bGX8/9XMoq2bXcyKyBDun7j3XJA+y65b1wzc+kX1NR1AdDULnHoF/rtLVW9S+zxh5tEcMJPbuP9M
YenEFPXEfcFfIgun3UQEpyBtXtnRFmcXMDaOTpJDyBu3sfPxcjBUQ8DNTijyD7ywYXJqk2JZwwZp
mSHvAs96G1t7ZoZC4eNf01WOCyDaKj18hgq/JRhz3akTsKEx3tB1a9w6mrXv0/vCzratQGpcuiev
LS+UfAKrTj3BTmizpy7eB6hEZj9yEpLO7SOpZ2rgQsPvl0aKgeStT/caeNIXC2RNFw+7cSoOqX7I
yP7EIN+k82FxKRV0vY1tz8bpkvd7m8sHCFmgGNAsGcverJakpMlmVR4lmQnVu+bdDhbafFqdeNXg
kwmht7EJNJnkRiNyd3TV2VMagcaDhLtL7N3UcEp/UIhaL0NwU+l38sN5VcOlzA+G+eojSEjKV7uz
D2WHy7a772v+QkfjdVpK981WVPD7OjkAAYgTjI+XqHxLjPasqPOpHPhj4YC4I41NJhYDnmHfh819
BuNhgtHmg07FnKg9AAXFjFls+hINwnTTNahUH1D85DbfgNvYwVB1izfJjLELkf1cKiLAjxmYDt6Q
VUtBmy7bo3M0zW3+MIaYdt7b295tl+2nTwQJYaXlMi1BUe0MwMtuv1Q0QOrUNLemeiVCqwtsHC8x
1QPNab2xccs2dcJJe899bnBzww4d7H0NUEDYV6cbtyQ7YJHQNsUpqm8dvhg1umj8bD7RZ+4iNEgu
3aZXo9vg2l0qfIhnwswfLOoPt99UJBkqpKkDNxOY1Mx6L4GKae2hIFRP0n0U+tY1/FuNEkTWNY7h
8CQgwJOUhkCRvE67t+5rvhBptxlCwLUt+ViGv7TnkWUxvThmdJI9TQVIwpRXnVI+N94S+dxi2KVf
PcYWtZW1qjoNhMShmT3uOY8Ou6Pq4p0q4lM67iZdLKKvLFjqDQBl7MYFoXnC8NbYacLpY3icnqJB
v+3E3i5PDh6fnpL9h+EUd+WcPtvYt1pxG+QUL2SgetSPPbJ8941oonAgeKrHf+ZxVRgLPjgJISmY
PSb9q/eeadukAU0Bs2q50HZ2u9eR2JPt0pDg+qHlD1Z7X3mfgJGqH0ABU+hj7f1Un4V35YTXI209
JNWdmjBDB9hhAxq4tdjC9UTZwzhi7hyp1OwtX2jCAZKN3MGaAXa68CG8rGtjZ90m3oVKi5g6Y4UN
xeE1u2icU4807x2EZ1Pwum7y8NP0htu4ek96TJ2Phf8BI9JCuddegzbfpxxI8Nrr9DyEHzEMcc89
Eu4KGt4Nj3wOGUgX5s14NPTHFlbqEdLC9GZFd+lt6wcbvHpbd9fuGJ5SvnPly3e+RkcdJ1EqDu4U
vFG7m727NzDLq/T7bDQIWZ164eVAVHz7iBGH8EDc/0RAjXhb0jDVlp2rnU2PSk8/5M61GK6hDoTB
w+Scfnc4GLS+W0TGV5CQXwNKYuqjpYFmFLojcPlVi2XdCp4y+06BNRP2pupJu71K7oW2W9n+J2B8
m3+QCLo2Q3RTelwIiBGq3n6EG7iNOf4IOHOWGhBMeYhwDrmonmxwxjne2Co+AS7vKu8sJij1UUg7
J7eEtuDg2shMvht2vB8lmAP9JMeF9jlZNTR4nnZdwZbH3zpw6oviMJQNRWHhP4fT0eEy8r9A6ex6
JV6L2t/+90Dx//LwVBc6I8tZ6vDPJ6dLRrl/yb//svqq3sefJ6e//fBvY9PZFSKEICEBcQJz2r9N
TS1LORKcI8PK2WOBxCDLqyb4z/+wjF+IpdfJpjcRKNuMU/86MzV+cRS5U44x/5Wsuo0/MzNFdPTH
3ZZt2JarUBriN3AM9w8j0yrPA0AfQof4FO/q/GtANWmQV+X7JQYeqroix/I13BAjz7fdg094JCRg
ERsGDb226/rhPNr2uuHD17tcPXr7wjyoDBLCP4NFOFR8peJtOqw7wGuZ3j9p7i3xBWsrvHFA6mYE
yya0AV3pQNJYaiU2JGNdzpfHFVtlBQvZf6o8b+22BwDjeAb8k4EFNA/LbwJrHuC/vhADjO+P3eCw
s/ViHRinvNTXIu6XnXLgh1jcIAms33ZFz4hBLtgoBYE2HVaDVm/aNuD/tKuXrHuZiZlQKG9rR9v1
3isOHsLe0PDGqxbDBNdawzmhpVvUgAfIhDXDiBEsqYyqN0IdK+0c10xPu/FkRMN9E41XOLDTMq38
bqn7UM4FVCN3THZ+CjA579VhcIcnq+d8Hst92b5OUXbSkew3NiIknM8Rm5XnyQVyY1fhwUXU4IRn
MxOrfgJrMkIkpD9otkXyo4+we08PmalvkBYe4hEDtKZ2rmUsFQi7Li8wpD4G3oPtvSTYw0V6FvTS
uKc+++KUMeJu6P7iFLfiaxNiWJ/2rH6bRNzlRICHYsd9DVoYjORD2LpPhe+d4/QNLsqmarJV6eCT
DvLNEHxbI29Oqsjl+44hEOEfFOOqqx89XoyqXQgKKBmt4krbQ8bbi9bZE2eM514zl+gQbrMZKsAw
YWsNPpgu81zrVMvmFG9Fpu7Mem/1Fvl9ZIWFBGWV4aMa52nRpm+DvY9zlmV9FMhNDGEjGnCkJ7xm
me8T6F5syTziZpH7MHosTLG17Ygq1zhwYALc4NYm8WFaR8qijgHWP56S0DtGrDyNasfUxwBLo8GZ
gwG+ArrHvceVz3J2k7fgQeIiW1fMFi1m/P3egb8k5mjcgHQcGQElxJSbfvheyBW261r21fJKVu5S
w2OacHkXtXFyWoLvB4zL0znn3Vf4sjYBDBIzDQ5CQpwH/bfTrFNdqHvUTlsz+kHE1VrBsf7zJ/Y5
/KjyOv9ufr/d+v2O7H/tUmwWOf/zo/2ZndZfzuFnwmKs/vlo/9tSbf75v53uoM1Qy7oup7Ir0Pb9
7Xg3fjGE+m8ZEueqaynx01LM+EUpg+PdcY1ZrzRv6X474KWJ6NtGyQpSij/56/bu7n8Wtf+zmWRt
+Os//4U1/F0eZk39n/9hu3+nE7LZxvEspMOjGOqPWk7g+CMY64LscapJi3lXKJeVsx0ZITuaeyaB
Y0UQ8rq9B7q3SLXnVu4BI3qcjfOB/OjBB7ONcxpGB0usKveYdC/QDpkYvfC6HNris28hwalpbwSb
JKnXZrOD97X3W+vdV/7GC82jVPA+7P4p1d9c4+oJfINBve48hvwBPQXyhpSwXbsJNpB+mGqNT30N
WwABYwvIkmlefaMXXBHjSxB8yuAR+g77PWKrmFGW5wjoRtQftDa/DcvyvRDQxK1Ptpi3qk/xJfvb
iFFECURj1kDhraZks+xkY8EKQXdPupXOOWcbK4eUW+0L5K2e3GZjftuVGX0N1TensH5f5c6lMPJv
tJ0nyKofYdzejqnsGCiFMBGKrV8HLclQMehgBqdxN+5Vp7YZiGYp4ltiq4+xdxXVJgXfUOTdugDR
2fvQqhShjF74lFCa2jHe+ZYis7wDordDtXTTONrZEI9+XW299qKbMNfi5laAv42CYw+JgO55Mdju
UyeInOsNSE95ckkhPvpND7L4hqC9cwEwntjhbWoU4N2samH1YJAIWd5LoqgG33zOYjLhonDvO94H
2SRXrZI7MBgvwolfS8S5M1P1iOsG903nAzKjocsyxjzJyghciAD10muxF44KL4Yov6OIQNIxfRIs
PJe5k1IVWxeuhnMblDdWKI6ZVoarwBBbp4OKjfG5YN+TAhi2KYkzABqZgnTbWVBqra/QouUtW5cp
NxwpBSgQI7paaRZDu1LjSZMzuxB5rrPr1QEDlu5l0otrZgBVsa2thdGaYBbSdcH/1JYG8GPkMBVn
YptZFJVdcuhkdR4Dj7m4bnz1LuQPsxRX9F1gaCvgRSZDd/JJogSCELdj4BfHdmKtQBRMtjZ9B4qE
cQX4ferq6jrqDVMMMd1VnpYsCiKn7QF4mOsSnWUbtAk6FKvUnUDwYnRda/PQxQkHFF09+6nhTY/y
62h3H1hhlkVUDgvqL0oho4augF3B5pKjZJBNZcI+sFOS4ePsxnRltHH7K/aKlHIi3thxt/V9VoFx
pDEFteJjq0MTLMrHxodvbfsfBEjvrHbcSeJVuqr5aFX2XrbW2p2mi1WSKDDB1G1MJCgpGwanGuiR
fIakObtwGYFIJx5tQceSpxEpI3IDnmqZEASTqOkoyXSCDmzWx5w3VhYQB5v0OjCwY2rBPjcK2juv
Et8tnOlayy+5lhzyQj+QTlp0xI3n8ltGLiVmpt6mVnv0/Oiu6h8rnVoMoQxLwIEtPhTuqJbIUVIl
VjpdHz9iFOqpm/pdmUqUhy0IyWE41rli6quLFZjLLRETl8owUUPLcB/IfNawuC6o4XfPZeud9OEj
xdCmYGBfeKTBEbm8t5KzpUGBa428WnSD17FjIK0Y48GSz0MBSlpn+xWrN4ISseoRy9dqWydcMvVu
5No3xrfAeIjN/CKN/Iui997rnBtHbPRKbo3qvhXdvf1dCgfLEnEwROVtpA6zlBVXUEdfNYQF3eac
GBJQ5PT1qbkL/UMk6sNkjdtKsY8D5iNDxj8myUsfvTa8uPNQDtl36MSnsrRhLd0Mpsmmm/oCIV/d
DRtLvbb2hxzL73ToNsgR1+GPJnruo8fwhzXcu5n2VXo0rLn3SuprtA8a5xi7BmQ5HVIvHKDCH58a
DVxp0Xu8uCp+NTHL1CNzi+aiN19gwFnIjGfjibQvmOdLZ3gg/QamaaEhyti0xEHHR+ZxdXePm6uc
FpDFADgVD2RZ8GLhPQhJgr5iRVvXU/7c6pDUzM++F2uYw8j2nVunZxljZCVjruSHHMrbyABmko79
m+4MT56ePmZ1uCGOaRuV5ZeqolXJptssd5wjLxNfrCb03obWfJFkoTcsvfk6s67p4XqkfJp8mCHS
vSY1mBvT39a64j0dd037QRToXvAyxyNgUX05ohslZnTjQB1yydlbjEP4pnJ0B8j5SnXKZIhNztQB
3sV4J2FFVEQDpjW4IdUfqpav0yZkRJTL2/Itd++m4s2oT4U8dg4hJoXAG9GAqWHywVB7y/hoZWh+
T3MxnD18oZHQzl1Focv+twnyXUjK1MmBltROq7qPvshB3jgEelTuJWu2qdmChOhOFk+nmpFMHZEO
zk1Hy6bl6M4aKHVxydwL9QloOeCHC03gQbLuPaIK/HMfAqEJGPBHZ5c1TBCx6km6XU+yl2LxRbjm
OmKE5oJlsElTPAzFhm8j70EvF2TtrgsWoiwYGjaWq8kAMQJBxw0WyItWGf8NIh7QcIfwUMA5NZle
A2eEU+wS4gJMasz1Rd3UG6NeknmyjlnsJUaGDLsfayImBwoCRmnVMZ71qmAzw0ePKXKPFgAk9VrH
JVgyOE24qnv5GRv6Phb+O/mRNp9qn1QCDpZJEhNm7hPhrhuMlsLTvwikuY70Kxwp925pdOBV5MqE
qOfsiI1jkA4pCTHNqD7TVFu75N+UD0ms3aQuPVlx7PFcK08dxlJZW1FrDfILqPVhxSIoITgO0Mba
6YtNRa+jyWEdB7Cr8iHbWBUblzgDxcRQb6wEMYEOAEe7v+SoJBlVrsMS2odvWnfZaP0YVbJVJok3
Oqle4cCGjlRQNkFfXFzrqM0f4sFZeVPHGz+CSWqn50Drv+iPdoQyQIHN5Sook7s8bQkjBWdCXDAE
FctYEZp5IidrKWYCE9Tx0Mn7JWl2R7Jsj77N5NArH6a2/0Q4NnPjTfAN0ObAclhFXzNQQKXkafWP
xvIuRPUCc2xqajTuA6N3llWhAaMDSJZ4sC75GBjdS53kR1gdp8Jp7omOWxhWXS0dYzq4TkfxNjro
rTgYSrMmBHLM9r2pvaTKXbfIrjrjWDfZYexPU18xcQw3Fem8E0KLCnDX1H8a5sBuOW+f7WG4BuUw
k/uNhTUH9dmpVp6lB5Jo4rsgE+oH0sXp0hnVc5pGbLqDPWlWOwNVts/5sXNYcplFeh5979S7rCq7
7FGT7mr0QPjpeic3ktpTqe6tTgp74fEerCXXeaJzlQUEZ3U26mJnH1f1Ay9ClDz3hlzlikl8uzVZ
KJveRrQLC3IfwgfjMzWIRSv3iMNJbC8JXPLgojotydgK/J77rbeEH+N0IhNhqxPdRLCfmcGWRPql
6ew/8vUwPhC79W5m9RXM3RSHzx6RQGuNJS5a+a8IWWXutJe5XktQShUOOI4/32b+L1NV6g69yr9q
HU9fIQLR5quqg7D6+rl3/PVHf+0aBe2fqevMBE18lmQvuIz+fpsKAlc30YBjBZK2IVAE/zQVtG06
ekkMmG4ZkmndT20jJmFrts6ijqWn/DN9o/oHc0GB89+0BXpKZYt5AvmzgWMieiqBKyBALCKR84IX
8hcJvTNg6bAPASVByMt78pqY2rUzk5NVAxqOmGRo012aRp82+xidUB5ia14KzITLtHbBapfeToZi
2c/koUicspEo1qJxH8kFfUoS77uM3f1UMW4fgenqkfwiZPAStCQYEuoiPIctI1Oq2Lg3ah1kk9oH
JgSCmkq4qdk6G92B6L5tnxMeP0G5V+l4a9XtTWRr90ntHspA7C2rQ54FJWgUG3syiWK2uSJJftvq
aEIeZG2/q8rS6ftKgM6Xuk6NBaJY7uNhK6GhwQvLqPpYjueM8EgaZOhPDFTFFkBK+AJ9c4joJlsU
N+1zUGtbjXf0SfQzi9PfuYmDSm9YO+waVNs9GOPJzOvx0A7hWY/FTi/6tetq96FbX4ySSSMOrYqN
WRbTWZWCLMI4Q0dJ6sJor2y9JHtKeJuuC45Nb1481Cit8Fek551xLey9Pl9GJrKr+s2prYtODPBQ
PCs339sNcaJmA4deo6JzIAd+VLxy5JXdZ56FhE880jC+ueRyjB1ZE4Sxj6Z4y4f4k/o66btNrOiu
GfMSUfQ23z9aPBwy9Nit065NpCtx8+qyFkWktiIlZcEw4KGP1KHXyQOqyFTPqqFHgMAOSbAmHL4r
BrNk+k6IT1DQdJV1NpMxX2m9+0Rs49UxqTPimAAFw33iaF1mpUYXQ8FCQI3DtJ4/ld2Z8ANjGUfi
xql2KblfIPNTybKt+JGCYizSctEO8VojJo5qgUmi6p8kAhifkOpBsJJEFdSk6Y+BVs7ndfCjAalG
i7iXcMtT2In7Flxi3Dsro+H5aMK6kvG2IDjn245edcs6xE53EhNZgyiJ3Iic0DRvVhErJ9r2ZzX7
VlwNfR/59AHNgpaeY1U/TIm5K+zk1WJQHJnBvSBDzDesY0VvnfnxxUybXSNBoU/o3nsvPYnUOZgp
EhXXJA0n7s+JoESbaEbRKb0rGiloVXc1+1VUzujNpm3jpY8NlZEfs8tlVHRo4UoXtbM2A77TUe0+
UNPfZKydFrXl3sfzkIddNhkILIJtnx1SpyIimFHqaNYrt9jK9ZIfQocrNsGOtAxCmyvT+bJgcA6F
ftbil4jdfGRaN2aIMiFOx4tbVweVOs+5Djui3IxUVkvC98gW0SA0DsJbxqMNEr5ZVll46izvzpb2
XYz+BoD+OulbnvVU3JM9wN3Ykwdk+OFGBrPQTeS7Lm3TDRkSpIVU3dJm6i0DNm/WGCOpLUNrJ6iJ
OxtrnE80QM383h6A0KfBMjWCa22op3Bo7gYk4UBTxXPRNPoq9/hQdoJCI2mR6cWB9N9TG+xyHgEx
FTB2W9HeD2TYLkv4sTlLhiUvWkGj/CVsuGuBPT46qGcTT3sq4IV6cXRHitdFjoywuw5jngX0yCmL
g1446LgQvMr8KS9YPuQK3V6co7wAY+en1lpmEH8LFgAJiPWMdKdsdK+Tx5oDRcSQizXBvgEpUpCM
BeRL1vqE0r85VnYWeVovR5U9IF9/tHJxM2rJexulySrTC1b6rAJPrKc3ueM+pClMi3TM2I8iJa76
EFnAe6NY1o7sydlJ7DkHvDC3zpUtiK9EGkvkEek69XdeNHq4gP00466HL4MiXmBHZAn5ZBWo4pM4
eKAK/MorgHTBkO4TvEZb0U1HT4v3PYK7VH5UguA4amIreafwaCndqk8GQiT0xGiHW8UqZ3DlqY/L
x6juXzJ0KEannwe7R5Bb8f0gPZcsKU9+pEWVHeypINei3kRec3HQfCMbHbaxRUKvO1rvUWOQ++fa
66TiSpJICeCar+piLuUnIrba1D2PTebdJWiHeZkuugaButcjZ11IvV76Bg2NrZSDLtq9d8gnRSxD
sRTfI/lHvG53KE7hz0QVHPO+AE7MOj9u92SOLkU/k20lCMTQ3jQVLlW/jS+GLr5n6WaFslehoN/F
AXqMsUQmQaZ5txjz6FMkDGlQQbKNkrQc+nfmipuM5O405SX3XNIGRUOVh9TMa/XDVEZHbcyAuyLs
tBFVCKyDk1nAsg9OpvQecodWgwktE4DgrjQiogddsPfgqbUezoqmjwfk0PXeHZxDHEGPtCMSn0zx
wJJmHQXNiQzJs9Tg7OmVeK6gtk2pvav4bRIjfva6emvI5JOw6ItjK2YSYpdM+p2ZlTEge/Mqddp8
1c9CI4dcI6NICKUM+kXspEdJXn2A1vriImHU22qFLpwZtnEcKVDWU6vGhZ3TgYdm/9gbaDb8EWi6
sSER9VEFJZaJTi70ya23cYF7IivzZaUjpoihRiv1Y6q9UyCDfehOXJ7+J9E4UCP95JwB6Mx0cXK8
atcaXcEtj5Oh6XREfISQsTwk4KNguuXM3zJ0JPWY3KZZQ4pIdTQnKClTqH11wZfe+Xz57QPG1FtR
WBQpvhYvG917HYSiSyIcuhPDR6e6o57Mf08T3ksyY5HTp2gMzPBK6qvihCQbEtmOCfd2aicEAHg/
HFabnlc+VvNwkp6wnXMelMnQ0VX1IYmSN44O8L0FkbGmhaJCJlhu8Qx3dXdjZtaD22XeTW8qaNhW
SpyR9R1joSJT5BgUIbk5DaHJNqJvWZIiMLo6w3qGoVqTnG3S0tpE3MZZtlaJ8WqixtBq4pQbQrmR
UjX2IhX+J76AgxGS3pxH0xLe1tKaTGeh3EgHoW6sSYi+icGINhj4NUfsOFaYOMit6ei7qFY7NcjV
NIUObORCjeZC2epWjZOzcsbAJrjBCbFehy92LVW6ppVCcZYWGnDopKUD7DWifjQaMPRQ9I96tIIs
hfyVu7ZCHhuL5z/f0Pyf3JuZAA2o///5xmxJHnP/liQ/Nzy//tCvDY/5i47GwJ41EPQ1hiNpo37t
d6xf5jaDbGdboQBzhMMK66/9jvgFl99sEBPzjwj5m3fMdH9hpSZxj/ETJLDToPyJPdnfEU8UrsFZ
BmEqgyc4P4Wfu53aj6tWWiOzOg7mMoLgTCN8D+TsiO7hxmMiiQN0/dNL9A92c39PYVC2dNjzcaSD
OcPV+PsHzXGaaMVIvp/U3mCmYpSxm3ncwB1Sc8mfMzhwziGAqPuvH3hu3X7n8VS84DymzYbOAZbx
h8c1Ul12zkis3+i2yPxeJ1MsE/ffeDVnOsYfHmQ2aro2Lj2HE+MPjvugbWKhxSVDIExBoNlNBp1j
jw+LbPTiOgCNbnf/+tean/YfHhEHPNCNWWXDA//Butq5XDjukLCpyOsb15MPPpKV/4eHIOFEKeCq
yHP+8BDkzSIjzHiIttho7WPePv3rv/8fvDOuLZD8CLr++aP4+0+EQZCy1HvU4qNe3UQo7pLGWDra
9G+s5n//3jgCKyYf9tmr6c4jjZ8/7dn/P612NjH//r2Zi2HdNHTHdPmff/g0ZF7jU9xwgsdFwh3w
jrgtZKcIcbH9d5Z2w57Pkr97NIKmdJbowjTZev/+9/Oa1mnsskI8i5dBQwzXWwjIBzOhaLFAjxo3
jvz0BnlW9WOAxmTEMEU5wSvubgt5CVRwr2UlDGjyE0DdL+uUXEdUeVZrsoGlE86foxRZ7thwR3be
qSFAdhYcn5G2nJWivhBzpk5kbrQpW7aZ9ukI2HR5ih1wYL5aDO5KqzxKEbDi4zRCANeeVBDsW0/c
BYn8nIrq3tDHrTuGT0qbbty4OsvJeRps8waI0K1mDXcFHgEvEgMFReicY9J8VEfCQlZuigLvI4mn
e8vOLoRzn4u4uxc2c3ODTj/W7e/eoO/uvApLxJyJkpJij9I8aPTPYJSHrNY2ThdcKtc4dpVzrtV0
QTs2Y1m/k6RdOTWTzaSpbl2g1U1ebBixHHx3toqgs5kjHHRn20UOK8iJtBppvEQgqMmFhBdAVb0s
5ii7gUUCZqpV47hYuIr7MfOrQ0npxUL+O8rVrQP6k9ikFv6rrM46ZvIsJbAVcVnT9nLlOe0nu3JS
M6f+2Jkf7Dfog+Q2UNZtV7Oq9O3pmsftD4KYXqJK1zDIzcrWBua+2VNzj49WRx6cP96NRFH1nf46
aOkd7EZ2RAGhQG22koG31KBbd96HzaaKpcd2Eg8F7qGOA8xHQDt701wN2a2JjoiasI7ZvJij2vio
prBZyf6D5Ou7Mcw+mixY06MQxEVAUTax+OW4ouYDEB5JtfCqkJF/sUJf8ND51S5vCVGT3SmJBAxk
tY1Imm1JGjEL3DZ0hQWi4dBKGc7Ogeksa9lWmK6/Id2+Y7/mfycMH1rw/Z5BM1N2zVvGgmlWYodO
RX/QnfyYX116rFLmiYNnTFs/L09lWuwV6vp2soy1Ev6+SSgax6S/t8L8OlR0NJNO4Z5FydXtWZtY
6bGu28feJGGjZPhS6w1SEf0jrRFij2O+Jx8PJI0jk5VpVMyJWsIP6BGY7JT9Ikpd0taQlXsdCcw0
0tBo3L1T+m+TEz35heaRPG7eFxWdnpF9qsY6+S1jxsjxX/u85nNUDNUWAeO3GY1PUWPz6W8fsjq+
tyacKwK08VRzzOjt9EkdvCtrvGwl/8pQRxmx7+qB/xyCGINXl57zJvpR6Cy2RnPa2pM8eXS4osFQ
Pgw4d2uJ96RxtZVexytZtGunnkjUYJ0RvBaKjDZOvl0uAhS+XA1m7J37PD8auXyahH8NZAKblJ2e
SzOeMMsMsC8vmf4RW2N8uHUPIr1kUIgqEsjJQk32k4hSdkVwYFYJ5KQlZcTGLIIn6e0yX1MrN9fP
lMlrjVGfWXh72ZJ92ZbbxkaoLvFw1fZB2OG1luFmbFlgMj+kK9wgmGSrN3cQiilISwCZRVdNJGCL
t61r9q76CjB1pZFchj6yQK1gRQ4Wlzg2/6aitK8ickz0lAhJ3HCVgW5uWmFW2DAOOrgWc1HHJzQv
ZhscZzs/7w9d18m1njF3jGeDzLvbBScbO75BinqL0iKNU6KsivSpl+2X1cQHFmf3AWfkmlE52iVS
7kTZ7RIRnW37Ko0v0x0WRYJ9u9FPVdQeTFA+MS7ZrPv0GPRJJkQe1o5+GrcO3/LUbT4LhIYLKJib
MGjJNk37DxmPZEEq3AZ8JBHjPovWutasjDjU96YVLfuqeY40da1VscN95bETrs7EoW8rt9iXtnsi
B09F4donwcUtXQKqMMUYGHVqt14n3WdRIG/l47dxK1ltAjI5HqsGJyqKC3dROj4xhDYci+5pComk
jLtgIxW5JYPerznMX2SkH0creQ6m8MRY8FaalYUV1t62YXSN7YBMAZPFLIE+dq+uCd0gNxa0nNn2
xWhNWONmLpyX2SQeC2yYdYzngCX9Kkmmav7w7ruo/PYDn/uwXTp0mBnBvEWt7K0zONeqdva1xs1Z
c914wF9SIVeqtl+r3NoHBVblzGVOIktOhGvF9IYU87Uo33oPo2Jc4h0xflRpgzOhXEXVl+xBKDXL
6Mm4EBWecDgu6jxcZ+1b1fHhZpqY5RyprKKI1PTZuWq4PcL8sfNwLHqEpcW+sfMzctEmZmdeimHA
rZt1nyGHT6Ijpy6hserOC9HhAxF3fF8tQu0tJ6OcZ+Oegdsw4Sgs9DL195BhDKcnteLgauARKqq6
4Mw3l/Es52BEZPqPmlZ+VLpR72buCjNorFW+FRL0YEfLOKcRzhC4TinendTMvwyHqJ86I43C9raR
C0aBFrrGd48SIFPbHh+uqJ6Luq4/iGhs2akHnv5i69OL2cZ7x0AuGrnj1S0+pM/mtSM0wZ2DtuM9
8q+qIsUYRZw+/RjD6dIl5sWqyZRAofxyMddmhqI69LHpTS4D+7o4xxqangQwGHrXBBiyBZwAazdG
IAO9H7UAs84HBckASgBvIiPfRTw0pNIAoV+37hexLuuSVD4vya5ONT62SFqEzxbRkejyGu9YZizX
5YRQ0Ens+BQ4+VMTEZVCUUsahFGuKuXdRWRKtaiXNZ/xupZs9MFSWKgDRZJuuS/QoJH5fvaDaT9w
H+PGIJuwFNtYkUpmOBezLvBEXpC38IvM01TLmw4NPIyUSPtF6DvwaLEOT9aXLaDxCgfTCfhYRnt+
U+9BU91XmvaUYyWOfPGpDfEjlKiHtMmfHeLYstw/84ZWN44xoNCNxkUw2Jc+0m8hgT+LsryEDaYi
d9BXTqfeuhD9TVgjBsyCrR04JzNDLqB37Q77+nIayRYbYnZc40yxd7OYVU1RIecJ7E9TUXaN2lcA
+77lOlygJz3Giclm3GXIVsXTe6FxW3bsQKANdu/o9KL/4u48lmNH0iv8KnoAYQI+gW1VoXyxDE2R
3CDoLrxLeDy9PvTMSDPdilZMaCUtetPNvrwsApm/Oec7S80ldmEIGHvpLtUQmypEIF+Rb+3c3mCr
TxSUmFkOQV++TAWaexpbci9wSssW0RJhtPiijI8JszY29/Ch1dxZu4FOXFIBsHq7+432HLThKZ71
IwYvbW4rDQCEkvgjAv4GcQ9z5naV+IVT6t7ow9EOGN1mSv5s6BW2rfFOHoq/UDN0inn0wTgHx4/z
4GbFYxoMDIasN7LaMfBV7IVmgFZKqjDf9Raq8imlhjKy7jgkRAuXgN8mgAmuUr7JRl6qID30bf8+
qeYx5wsrsoZVJ+IwF2+BKLcEIK55T5ah3ixJjTU2CLuRYIUbY97/iGEnRnNnoSPU3GYb6M2XbxEq
meuorVFmqNWOwwlpfBu/VKhMw3xaVV2/Fv1X0pXrEaG1I5WNaWJqmpUayKheag1BiXsf7Xpl8Kvs
yQYdxYumflRMv7u6fBsRwFcpiIUGp5wChUBTQ2+S2n0wknavV6l67Ed8rb6tLNI8+dXwgQN5+wpa
8qaSwP8Jk4ywJbZRSfWtqdVPo8Lspy6A9dCvukB4w+CgfIzqj3bsi13eTts6ZFyR466ENHKxi/wT
UcZLEkcLQ/K3MfLm1GjTmQnsNlJw5pZWl9CMU4Mm+Ro/w7ualNeUcEG9jd/SkOveaskgI75PJPdo
JIVynPajxYia6GqDy0cp421JtEvtoikYsNQV9byEi262HiI5Kcdj1thHM2g/rc6/NxUfVmc6L/oo
KCG1W2l/VY0+MgmcMdItKpWM2x/STsqCOMrfgrRdd37LPspRXeaMwAZc0pGYoxydoTs0GUrJNhj7
N9p8zsJIf21kPS2NNL0JC1v6nGXuq7hKuUAWaEUvkeWsq5K6C4fVumdEGsbjeg459wmhc7EQ10V2
EZl7zfuW5PRpl5AZD4pgY08XrIpw+RFUABlnU6k6L5rfs7Z+7DjWS616HJQKMlfwauEmcW3WAihF
FprzK9Qrr82Z9He2/9yixHXDL84ibparG4ebHDYQVTOCDI0lpnijqm/e/Cw4TXnl5WGH5qMIGVqL
F58IG21qzoFAqDN94tDzChZdOj/HLNAKIQZRtntWW9e8VQ2Ps3MTIti7Qi6csWGAbf3EmCA6mbxI
OPvorG9WNn07/PbcBEuMzOyzWkQr1W6PsTMubLTURBVeTf6nmB1dTQKUzqXoO9GVtc7CLYZrR/hW
Vd71hI6oHV/CAMF3+BX27zRwqHfMT0sZthmNhxY35z61NoIYTru5KRM5uwMLudInaw9OAhTXm0Jc
USZIpColNbe77Er/2OZkfSA4ZOtE5rvk2aWw+0mLfFuF8ZMsglU+MqUvUK3nfgr+7+8J8zraOCfq
D9MYDohS6yPJX16lJAc1Mq4B+rDR4lCuAkr9dKWW8jSwQ8uS4NKwtyfmcaOzTbYx/JT9XfCA6aXP
Nk8aS8XVf0XolEOzJa+qXLQCDgIeKa65U4+XepAIdSd0ihlXsqNAKULw3KM8Y/zmURPg0cdUZStb
tW0f6rSFmhjuBlKfaoqOSE255tFT9ZxOTRI+B2q8Fn4NWUKeZeUjPs4KlOKplwKq9HFqRYOvU6OA
LtADOCiNP5DxMQfzVIdwbnpMV/NyA1YHaT2sSL0h43PscvkeZsbJ15Mjm/cVhr/PVjyB5koxQZPx
ULjrrJHPUGmmz7EA+RPkzdNQMOHIbJSofrIJK7EYGKmbNaoo047GBWnvmObtp3YKPavx14HsGLg0
+osWIQY3DGVT1um2c6cdLzt3frrBx7grTfGWA+/JJ+EVToPhe/jBst0upV0e27aiZlCJmG6CXz4a
WLcoHkOtWiscQTUOXMGuKXKWxar9Lhb9ucg7kCIi8twmfRqbofckV2bRVOGC2QI+IjgICnpT32y3
wzx4UAC8JPirHSui5qypE1XSrAAmaOZekS5RfMpOSQE9hs74Mmkh+LWqXEo33+NPAkffLYMp3PLp
qZmkATLR1DFlKjXkAIiL2TVGHkLUMYvXneS2K8f0WvbFNzX9Iuei46loqMVUAqnYY9+YRa+GXnku
KV0Y165NkCx8qivk/8g4Sa3QtGSpIYB2lfFGfJmnGMUIhrB9kYmxNwMJ+Ki55Np9tKrIQxm/MeZE
NSce3k3MZmaB/tmIyTxT24SMRz6HKNnoBVq0HEMXdBAr7DdBigAGE1WIEa9ohj1QUIB61UPFnlxx
u7Xhu17V/pCZjtK15GETtE3Ug85HyZsUjfndKv0Vcbt9qj/mPJdKSg3fKPCrjKWDVyDOm+cKVORY
/6L2XPqVeuhsEogLbdXYGlmrCQrmqi8d9IRIcDqAWLXZsWELAYINWwP3PAqAc5OTgAaIXw41gvnR
oTsg4s8K3WU0wGgDp4Uih66W24VNawsnLVjxhxFsRpwlEWDbXmW4bqXGvkgAedY61mvrkeH1rVST
q+EaF7Vmq4ixtyHr3NzW1PdZMna0kdGDNgexqbZ2apDxWAWCdsJ3QxzvORYZwJyZgZtRK28EN+Cx
6I4+IDfHbRBluItptLxxhrexXSgm3CHsiceK81PHztH4W79Xb70LQqwwOBt1A5U805+o5e8Hkajy
d1hqSGCh/CaxySqDG8qsVW2iXuiAdyE8F2l9KuClLkaKoQfN6dGk6NaLBkalC9gL1+m3y4JbV4ZH
cJbGsgqax6l/F8AFYurzsf3V9jNupYDwTu5nGX1V5pcGakSSPC2K9xryVWz2VyLm6LxqNPKS3pVw
ZLfxmkk/06pcIg0GUGZG6VYoCkOdwivM/L1yprUzMg2ox0OoWcBTELVvVB8wR9B/dWXxnYUYu8nJ
zfoGGWeg/tT47fTHwcR13z75yiGukdv01UnJj0qJ90R/Ver6mNdfOlmN5HHWzSbG/x57mv4milny
u09wsbbNMeZVsPBvFwfVXgUMaAzUwO1rDwYF15GT79TouQV+xHihMJWjn98CSGg0EHRoO039aeWr
1l8TphyxfJ+Xq85wmaEVWC8JrQXxc6zKbqmS5Nkf2/EelTurWZrWLu7Jr7qUmD7w1kI1fmgoSAUf
Ic3lgA9rgn7GCed85O4jkBV9BgwwJZxWXRbvDIAtZG5nPE5w+CYCoozvOaoPTAAqg2bbDRuRH0DX
J+WJWZnBXAc+nRPCC2DzCuPHRiMncSu6hB6mUtA2YII9Bir4VLfH5u7sEItm7qfICPRcjYXr9TwC
Y31r45NsbpnhDdiSYHNZPn8vw952Dm5TElwjLuYJdzl/PH8z4WyniGbPvNOtc2MvI+drRKftXKP4
U0n2OvX+UF0iCuUJNQEnMBQ9PpLCQHjAo697Yry1xWdP74lYyQTRVK8VdH9p/jSi9i3qF2a3SM8O
KY9mSPOeiGM1HtSa6EhPI3m1e7TdXWi96s4TM6whJwr4XUu5VdVlUR5KriuUYU5+Br+H2Ek3ERaj
pM9/MaVRIM7ABQBK6ICLGM6pspJAbkgP7X98Mrmdp6irFhZ3R3Hxqz3rbx+8R3yEqNJUh6iiUUWD
7X8xdteTV4PoSwb+JHrHZ4f3Lk4veaatbfMssu82gOAcDpcmRa9lfbVt/cGK6TN2ulfEJmzMSYXV
0y9dEAMXFjGiZIimivPQBO7GLj1bnns/gFC9SzA/9Vry6DOoWw1x9M7NBGntvUFBNZnwv8aFCkej
/zAFmyMiikHYQ7X2bFgcdQUZQ53ThdFdYz9SfFxM1kkxPoM5FDs4AOZZRsodHMeiMzIUK7t4OjZY
XHN3PaJNMSpWkwrvWedQLNG5A8baa4X26BOdABQxkRsbLMgwjFtfeUL2CjQHXO8NA6usL7UBHnJc
pumjyVNR5mtjPGPjm6yTzex7gks1rmz1ZportTrZAqLbKSrCtYJpS4HJwTAo3DuzqogI8UdVe6X6
DbD4NtqJuVA+EBboaTFV5KGChhkgdEbrB4ZjYFjUoQeJg7U1fHOU5eEWlxISoWU/PNJDbvP+BzWX
1nZ4EFqcDjrCmy9LnhW3X7XWborPBUQ2ovLsEDzZB+MUkjnbNUO6NHoquMKy8yT20noFzZOTaNwX
q6F8yYddPmDlUD81DW5LhXq14xqGukMEsGhuNhCfbI3VBchg6n/7DMba+sHQrlP1boqPMr8pg0em
EWS+pDynwy7EFq0wcarC75pxFq0+LJl9Zl+yaW0lyzZl1t9v3fJi9ls9Ihc6I3mcgZ9ymniTWiaG
1klvdeBUzCiXSJjs+BC7/pLFgs9nJ2iEAuBi+bTOwpcxP0sKr6zlrdlwq7MuXMDdAoyEQBzsFC66
zrzmcuty8JXPvvMSNTuNqyTqkJ4hSXUbfyVMudKiVY8bhJLJt18mTiwdalexDZIcsR9LspCvqhYD
axmruhfuqXF2sfuoiK2vf5sapcpzGbG0epQ5FsFHB5Cf9mxO26KjYnCurKVWAa8cLgde2PTYlS+u
PkPRNKR5kn2Tk29kxccRk/n5UEpGQ5vBxN3JuZrA78ap3199JHXc45H9QU9T2V4ub6qx7UnwTHau
hf5mPc7C3b1pneoA/chFDp8ZpWphIMWPd213mYDXMK6KkRY+yGrnYFZpXWa5W6V/C4s98zvQak7N
5OxXBuawuwbxe26vnAlXRbZlScj+h5vBfY7bT2F+1+axqu+w/FK6cFLkh0MwnsfyzTFPsfVm+6jf
0qeJVEWYrRbR9DW9YKFt7OHZUq+DovJL+JWREKy2r2Nw6617jRZwmqBsCW9Uf1Iu8L45NPUhag9B
f7IkQAP5DMl9gsOqbAObbQS9BIqHMHnlvQ6NbTdytjNv95WTXT2L+byID1pyspANEZWSjLtY4GAw
xrXZp8OaOL1f3OWPGlS1sDfiTVRRcQ/vBtvConcelL48BC63rl7iLsS6U3PbZMTAuwJQnaQzwYXS
+FwUqtgQwccSTTurM0PJoeCyym2lA0ftg5NbtV4tnaXP8iLqrKfaTrmkBPDF4ssYxL7TeSua4sga
D/kPgzvT2GuNe1OSBABBi21u/iknhde12NgOaw3bOoqyfy1F+xqnchNCTsoxZ1i9+QMLdzky/mWC
KrirCI5nogefwoaFlmpf9mhtqR2AOmoXwl5RMfu4yX5zqfhXJSpyNJkURApxxhprF+CvbsIrIIZy
ZU6gE2W9MRoWiEHF5DorH4Gb8jtEN0vqEeRKMAXRVH5pKOBYhoitZUXcKTUANXNvNeFxRO6gkSqD
xHyfS5KXU6VadlZ4TrR8b/n93aqsk1CNQx5URGeLna5TlS/LR+tIInZbrDt3183NPhtG6ZyJRpeM
AkzHa90VPEfdeDZSTpSzQ0HFgOAWl2/FxCV6t+xbpt5qMsS7t6C91TJ6nTSKAmlwylLpRBrq61L3
athPSZUfsWG3YFlJECvbh0RPrrX15nPf6OWaC9YRB9O5JtXnUPFxgK2APg6somoZWrKLV8hwn7p1
CsQwtT518GesPrTuEhYlocxr7LmwRDZufEyYOydKukrifpPOKd1PlkrQenVIrRO3K3HqEqfxSCeB
h9G2LzYpo4VSeE5VbJsugV8Js5UIX5y7vbpP9Re73aoxPaP5gP2sCLc9m3YwmBjnOGviU5Gy2t2Q
+kkU+uPAtqAeaMvpY+OHqcecuBzqXT2X8LPik3ToZqXHqx5PUjA84RxYGNamIjQPbfXY7xIxrhDM
oKPO43MsnxRQHuMjrkJEmkqAds1j0xqX25Go2jmpWU/WablVgXMYOtbmV5nTQ5gXHSlsxvhS7Q56
RW1IKQgq89ZC3Y3IXRdbeGFjpq5ojIhWpcdcu0MFSiM8Iem9pJm+FQFAR0aoQ/w6WuLSs1fTRLQM
OD27Zh9iKMhk/RIwxlTCkjiIfdJgR+fR6dDracwRqTbe8mBjt9QU7gfJNiC4l3362hpLgwUG14qJ
GT7krhMBd5bjL7iw6biODknuFShpGh0YbTo/U4pT8rON9ok8lNGyi49qyub1Szd/DcWarCp0CFvT
uCLOJ80XPXppIXdtuC9fJXOtuaexMdCxCY/Ck6XeJN8nKvHtQ1QphsWIFUsdwKJRS8fRKgpOyrTK
wEd2oOjeo2BbVYd8qNbCaDyl55DxHVIwU+4mFW7Kxp24+R2HljL3iJGKKuVZaU+hmj+Vo75N6flX
ZpQ8ZuNPAqPUyn1O/oMkPXN20oXHEk2nBrWvZXsg5Kce7P0YoGH1NSgl+Btmf3O5gaJbHOPkGaW8
wXsQD6EXMPCX8ZMyqyjQbne40NuPAJOopLUED1uFnslsuXOQ2Uw4JsJbG6EabV/a9nFOrqd3sl1S
nbmya31lUFGPB0rGKbHXZv4a8MEUKOGmHHTMPRjf4/ZIa1XxldZloJBxMGO2iK/ZGlEIoKvgFTPg
nI3ZZsrYjIwfNkSWRv8G36llcAZfAm46Xr7EuTahJ/k8JTZS/ZrlryOJWPmzBckqe/NH6vKONuzF
AJsCeZ296SKsyJWfiauPdn6I4lsSnRVt41Qbf3wP6uso6Gg2KudQssX+a3DYJpQ8cblUlaPLYjgy
LswkY6VbJYDUBMHm9aeuQi7gdC0+qDBL+crSixeYQ2UFUHrimbBHeAzvdbdGpzO5v/L62taHzKCh
ZP63j6OjAehUnsrhZ7B4p5YhYbFYfzAOZtsCSml0U9Pj5J/bTGPA9tNIhZPvEJo7xXghFXkyp3PA
ONUnW1b6ex2ojbUGOdC4kJsnmEZsKzwdgb3qvzLogBTNRJO10hPQX4EvmQqMJPOM/r/I9gM/K94k
y9hlICS6It0YJv2xyUTOtq5wZoLxprOgMy/8MK5zDH1irxk2BYx8tb09n5KsHIlZtLxe35rFSxWv
A/+uRN22ah5TTazDCTqQA5aNg7mbFv14AqGmdXek0mP7ze8R2CfTepJkmQ6OK8e+9ja8DUkZvm57
DMXQGow9icue9H98wJnjJqZS6UxlC0SO30oxnCN+iaTcTCeXy760zlHKoVRhcomSYxx4HFt8Kp2z
DNRnSUnK5DhbGTLdRIL2JvMAQggDxpL5oPf33DzEyi8nODXtbeKFhzdUh4if4cE6vPiqCdjqdRwn
xBgrRMg4eE3zBaf9MFxtGjrFQ3mZqoAr7xk3qr5pq70tHm1/eOYmCZxN6Z7F2FEIxDSkl5ItCbdj
6aePvssWaEJhsDK03DkqyvjTReOnzeXPEl/ddvUZ+zY/Z8g1GPx02tENUZ1DKmd7vACx3IWWl4Wr
0Twb/QoAqNGyHLZWyKkW/eDR1mv9kmEgaG0CWegqTXJxL6RChla+7V2McZuyvTny1gz3wEfHtkWS
ogFQpwLLbNAWMCGZhLK749p8SJktwJ4bwyfZn0ZtgzW1SLZNz9uzK3Ruqz2WiJAsOVK5WzS9IUNu
9CNlW9xCC1xwYd2SEousaTQji6X+MPBtepAesa5S6bA1CkG0mklWIH5DPW5zzA09kzw1OMTx+5TD
3JREQo0kICeTu4tySMAMmnYDy4GutR+MDJxnphxDELAIyTCuMysN462SARiFXBmmwXoekJDA61m+
6Q0CiFgYblSX3IL5hlTH6lVReeVzZxnW3cZp7Y1hlK9x/iPNmPf9Jzf0r7b3rzZqr8LO0WcRMYso
3UaXaw8svIo4hrz+Oc3vSIdQh0UPA8o/V3/OssR/Ekn+plmEIWQIQrUd4/fpZaXZ1LLBcBEyWXPG
d0NZDgQwGOH/IP/8g8rU0U3abNtEPg2FSJ3loV8ftygPIAhp/y50WyZaJoxFb4JtQSnGUJRBzZ//
MH9QfP72TVyQcoZQEeT+Tiqbt4amw4ww0OyzNEFywnVEU+aYZIBxJP35N/uDoNV18NISGGShCTct
83ffzCw7UwyJZrKsfRDNg+ROY/cB6H+A3KEfJZaEP/+Gf/gIf/cNf/cRTo1hMBHgG/bKsSiXQ/Lq
Z9f/1bf4vWRWqytFguwzF10GL4HZkA7VF3XG//CTaP/dj6JZmsEjZwlbVefMnX94GnIQcHQQBhM2
nPqGf7CwxjI+ybo720c78vRqg7GH6TnD7+cYbRzzFUz5f/1r/EuUyP+X3om/4iDVP2VJPoU///Z3
nuTit/ShIv8tlYdRxs8/eir+6w/7Tx+5qtkqfm9VtXQdJbSYjRp/M1aof9FNPBegyUydL7P55x+d
FaDHDIdwN1UzbDHnIv/dSa6SyuPomhCCCuFf81VofPnvDjXb4YTR2S6bJm+nqf/z45VExpS6Msa4
5legm91iUetIAH11mfXKLSLafa0ozhbV5ZMyzxgDyUoapB9bG9/ZDpZ/APliKMO+1PNTZL1G1MJt
45nZyofPjSLB/rLbaCXahubLcH78VCOcs9YhV89KqOhTMPbJAV+zwqQgGdKdWShYW8PmQ69e7AB+
s4EFCnYJRCMmCy9Kn72ZWIzYPa6MQR7hkzHBx3hsdm/O9GSngOTHcq9L8+Rgk55jyo7WrNlvFQPV
SbvtM+VQtUxitIpoLAMCrx+Dks68pu/O/kCdjwYhAN+T5KgFA3fvW9xRWrLvgubAWnfh56B22cVy
ZVueA3867cpvw6ieer/6TEfc0o25nEpI3eTA2HX1lpvJSo2ypzTjU/Ubkn7MpxKGpoPTUASw3yII
uK5xQ707//dqURTdW0eNPpqFV1sXE0do3vRnbMFeMIMr1qmC4mrIvixs6mlnHIV9qFWIn1P4TAmI
b57GvNC1paSp1ethkwaskXsH3cHYANIHfu0X46cWlR5flDf+3E4zBGJqQwGSoNFTZs73S8RBo7oc
KQZY3RBeGw7tejcxURJDRMxQhAn9jN5qbyG21Shyk1rsBL6Iqe/2clDXcea/j2oCvfwBEoDB+PdR
UMFnHJeKWp/yThgs21ZhtykmTUPAn3fbwnljaDaRggGZjTCLUDIXDPv0nE7Dp1MwWtfplBVAVtIm
vaB3978d7P/SUfd/jHuBSeTPT7Dz8KuQ33+AXvzt//vPw8rBAAbulgMJTAWsCoqGv51V2l84gmBe
kPeHC4x//uuk0rGOOUjkTGEZJmnZ/E9/P6m0v3CmmKoAUfFXUu6/5AH7LcfxnwowofGHAd6Y6Ytc
4PNZ9g9XIblnipVqPnIKLXhLOQy2rWQLFMfTux3zQMa6vCBz/pkMg1n2wHTRSp4dJ9kmmrpJeb4M
ksDSieLYHd0MIiBz2abdBYFWrcyqfOqVnj12+FpnSvcWFeNOztx5KyVjp+jrQ+n6Z18ZD7ISM52A
hQ2YnuMIATEqmzuqrn0zinfgE3iP5ci/ND9ErN/N1LlITYb7EnDEQlG0L6kkn2EK4sBCdRzQh8XO
tyQsGX2f/V32TPojqzrbhnW3ECmHiiUXvonS31HuRhRJL3Wm+T0FldUZ6KzKBEd2WX+ONZ2Z4z64
zEfUAOCpjwwerSS4CfEGS495We+hNT/UidJh7oA/ZcMsd5O9HYFYmLCQI8xniQ5JaJ315g6zHdtN
lkg0rv64LIX6kGopIAoB3Kc/akEOy6YO8ZMkJ0zADHr89rFEJrcqaYqGRn6bcfpauS5JETruYSV5
F2ZziQfEH07eX/MR9UbiWl6EyTmXyt7Pm7PvOl9mEb3Zwr/7k54ubA3FfJ3vSeVGXQk6yPB1g5WK
S4DA4B5lFN3cqHmwq2ST+Gq9MFiz8oDgMFGyuwhp2LAQsFb+ilHXbTSn/NTdaRP1wwFB0gey8O1g
ZHsFR4DN2r/lJsPWA6xiJHMoV3fQv4ZVbSNpkL/R3eozOEP0R0j33UIimzXvhtV/DrbxXGFX9yZ/
TqRCVCAUbim6r8/cZGPvig/bDh8x/spl4YrVGCf33MFPWHTpg0ybV5BXW0VLFVTatbvMGqTTXZQ9
aGhU59jpVYT8ch01Kvk0gsioNiN/zOoT1Ru0/HlCclk6OteHpjwbHf1VUJ+RSa7ogq5dEz0jwnpt
NNdHNpYRpTbGAWvx5OoP3GCRht4ld/ZMvU9y3lTJgClfGm7avgHjfoddVCGqcZnBTaMnS/h3JOBw
c6K4KqYV48QjPKXjWLJ573AI53hJdoPA1pOaDFOMM/jidW2IB8MgYyZheBLa7oE13UNuwb8bMji/
Znayk+BFqM9qlB+dyX9N4o4YJ+TycUlgElnL8yJFvg2gI+4N5Lc4m2kZWUNiRqE9O220Nfz2pdLQ
rkOKX/kJj06twG+pMUDgfSdNiJG5EG+6PgB6tFTM5wNRZiFdJPcqK4MtcwwPfRAadxhoTO6mWxFY
EDTd1LMm5zmxqpWgWbeH9yCYHqrBheGOkGg14aJG876q2vagD8j88wDFACB/hNXxuYXHWEcpf9lS
sKOIgks+MOGaBycuUqIDhwi0UZcgnQwN5pvRi3qtQglbIPSU61zOlFUNvktJXkqNNmSM+iX7PyTG
ZoHdHmkh8qPcQm3kOjslYxKboZdHGMWQPFKSbTrDA9r+SVTVs9oUNw0lO1XA3RXE+MUQLSLON72R
p/lEi5OQKIZhHSnVOuZsRQ1CcB5kCjXxax4K5hrdiDRE8UHU2igXHXXh/0aeKxBEaIyuxyy8Ruj9
tZz8UTs+pVqAb8EtN9JHCg5ARdLl15yrDQsFKapDxo8w2sPSJlppPdrKo1+RDdUb3pgmhDEGG7eM
nHUfM70Ac/IBBIhw2xL1ucPKB7HPZzAFBW1QVCHBmRATsjIbGfPxZw4sZQ1G8lry5ijOLnWnJwvW
K4EMXYQiNfhQw3FThOl7V+8YBayFgxkdRg9o6oe+FXuAP7LNz516IRP4DgBxSFjBzS59B7JCHSBl
RtFOCiHqLSBM6VdKKM6sYSk8pByPeI7Y7fbPATQmR2FfkvHiSuWT7pQv4VMMP8jG9TISdHHjQI5k
a1jde9Ca01ts9JA6M7iEBbkDeoccW67tMb9Rke8t+dLV8IchNKrsNMEAnKM29YJRfarVYNM4GHlF
cO5kv9ZH/w3OHsqdebOYn+E86oQwUsYNbvsxMrkbiaqy2DCkgm11taxJqXBNNmNDBV2A5uEYFDjH
+LeJJKLcHH/cDCJZJl7MqHqQ0o7XLdrMzop/iv7HLUs+JS26lZMkNLAp0CplsFrqact666VwiGvQ
FeeE1yFFcuw0i1IO2UppSUpD8qOk+sgdlhxqHHkI5DZGlKMvbvjs5tH4ENQXvUGJq9jPwhnXfecQ
9MIf4jqMnAqGlcmgvmSp3M7LdAl61hDAmZIevlpSuw+lr0P0ayyowng+TmmUsi4lMdzx32LN2E22
n68HaBpuiJSjG1ovMlNCj9TK/vL9STuYiLuhG4profT33rIk5B37W6Fih82KPIv9BeLfCJgJeeVd
j0BlNAq2rK44QNK6xTGqlpBma9MaRIj0ZvXgi4JgHV520C4X1WSwJB3q5irQ1B3ol3M35savQmOg
DyoqUsRrRziS2/l4xT6TWsOWqKx5K9e5XrPtgWfMTnpAzUbeHvC6J58TV5jjthIljiDQqji2ks5H
o/Rus7GYkpnoF2ut1+qMMGtNvw4yvLSVvOb0MPjDSUqZ82rGYZuXzXMURx8K0CLB0l2GzsSuMbmX
CQPuiOywXlPAHBpTvKppadeQSd8bs7rKrrkEEFl4FK1mzXYl/NBLQMtTyPQCttlPWcTNukWJDEr+
oiJI8EV4laBTJly+i9Apt2asenWvfPYlR2pMmjRaQdUBC8Z0q10hSYULaF4D7UclhtLFxypruTMr
cav1KL9I9K1NO5x6KC/IMKDpqWhTks7aAtAtmYtWb27Gp+HHP4NAUxf58m00Oi/jWRztxLOJU82w
7E4jicYy/Eon+KBmv7aIBllMnFxqYr3kVrRzZlFtHNzVnNsm0M+JzZBTlM8V37NQo9c2y9HkNjRU
AWrwtlSeRc57NoZbV2cZprt0sR1Jp5CjNl1UeYIZ7UhpVkC3BFP/yaWA3BdpfodFbqGVhBEltjd1
h+yLQKbP3nEfu1plNVWab40RnVPcr40gFs1RueSGcNcwjLbqbB2SOlQ020i+hm71qNUpi5rupS7Y
0fvaQ+4qW5epr2+iWtbbmfQm1exQGf5NmpISUvXnvTwZc3HEhA008EZTsmkVEYgrEUGGuGj3DviQ
OPyqxw42CPqkjvWSaPV1GZWPtQ0MyTe7YiMD60GLmqc41Vm6GWyVKLYBB5Nr4eT2zS6CQ04qaRvb
H10avMoCItLAjd2N2rdday5LQAV0F9wRD2Xam9LV2BZJO6vtZqWp03uDE63iwV8AanmvWyif0XhN
6uADVTpmd7IN96IffmwZsdPNw+xslITnjWq0zKPoccxIoRtw5BEOqp1FzB+adE1CXRahYgT5BlWm
lws1jndjzjK+6Ji7jbF47dWGNdWQhqs4KaBbUdpCeaSVkO5Hw7ACpTw2lyCe2Dcr7uThkUMjxdLa
UGfFMw+xbuDhBVX7UE4w31D+QNTSQI1TZn7EbfbYJWKnjpO1aEMk5nFRe7bvn+FLxasizLM1cKQZ
IYyp16E78IOmWKtaUm9Kq5BbyhttKyZsEgmzoQX6M66sxN1nGAYfHB/+sF+xMK1pr+1xP6bWOulQ
W1jmc61SpIOWSSMTxfI7MM7t4ORrzU4elf6Xq1QKsNPKK6rugMdro7iEQ/wHe2eyGzt2ZutXuag5
E9zsObiTYPSdmoiQQpoQ0pHEzb5vn/5+TNvptAt1gZwaBbgMo5BSHsWhNve//rW+FbAzGSHcAjSG
oD4iVFa8X1Hs4cW08a8i/fZDdz1Ayl74goRG3yoet9tDlxMQryS0UL7eVF77+byZC4VTjIN/feT/
j1Q3/9GIgDX9T+r23Gf+LzXjm+r7Ayjm/zl9ZL/k98zH/LOq+S/f5O9agfjNVWlUoEzcNhjuZ3bK
35UC7TdUb1ND8fxdLaBh4Z9Sgf7bLGIL+ust3bZckw3KP6QC/TfEUY07p8AEr+vmX6sah8fx77qm
Df8DUIdwXIP/+e9aQWXSK5klcNHTYaWmO/duvSVMVIhzgnVKQhRq0SgPoqVnrpwy19OsGnx6HhfL
GTEFuODOrld3WYTbB50zJuQOSq/3M4TrPdRYpFJlzQy/64FLxtobNBUiHP4mT+k1PwxhfB65lYCi
LYbkS5Twm10VR3/p9j6IZ3aphtN+hwkOCKpzUw27NjpK5qVpe7TNjgszp95k8HKuBRtdVFpyi+U9
w/3ZE3IaXPJaRn7I1RiPBPmKEJ/NEF3jidQQ6NEPF1L1so9ac9kE8Wnw452l11c3VCX+Yq75RlOe
JZ6umCK5lN91v8XFJICuJSpeI6TL9sf2+cGobaXm/bGN87PGWl/Tt+QRzxNBbdCoDz0/FuJjGlb1
Qg411o7kCTLdtlMKfEDzsjydZwp4esbGTNR9MDrhKm3KTRk7h2TiZRYlNLuARtybDJDCDapFnQzG
omJyh4QGcSHkc21swIFhi/JqG8pjU2OSdgp5NzIfgEBXKHDiCabGBVVoNIAgXoYzZavoFr5JyUQZ
fZqama4bNQjQctpjnfQY4uLPJC21bRMY3TILE7keSod2VwWGXmjjgdXMKmQiSnmdRbhSAyN/7Yr4
oy6AInQttsjSzDEhYl7pLeWbxNK6FBLvbkxGqVPLR2UqLqrUyVhyDTQCgyrB7hwEZr03azBxBr47
glY4xpvplnVq59UOhpy08yFCtPqjG7vzzpybjOw/Wt5rxAnGJ6WkCLbTg6Xvqj+pqGkNtLG2pBWu
xVZZhhozb6lD8TKwbOUKWFdfG++Tq2nblgET+Nc84KhlRFSjwsRFk12MFYetdbDXylvylVifZfSk
MLfQ8GFlCgC0T+KooKgfJn06Eq32QsLepv8ieaxYu1tZgWCgGUstvDpSHEyl3nXsg5UWiWpsioc6
snadE7DwpdSgzsc5sULBkJ9H3qhZnisxH2bKhWpVPHnmala/R0ILg9iMzVayoXcvLaPN6O6GlD3B
ysGcgSbEt5neUQApM1jTGGzwSTGtKv2+t2ePIb3MIP9IyJkS+SQedkWCMc1u3kL5NumPEXRmwLS5
+Ci5baS4wJ2NGdAAQgFSbDB94x9p6nLh+xf+uyGOPcEGdKxDbFtnt6FMEahiThvdHHTKjlCNKNIm
y2SVR5sQYIGkjT0/6Yxr6VOmXl0aHJHJBiGITX624/cFb2h2lOpzp7yJvofObmZeWRFvp5qvc365
3CRzZRPPCJOuWPY1EbQAy3dlefbIDZV1BgkZjo95kJ073vGuD5JS0gCvD4+5BKVDC1X07hMySvnY
ajqZiYX4rzXWeLdaY9l1MY/zJ8zMdU+tSfbQgrCe82703bXps8BnhJaGHkPcoDoEE0/oaXKsH8eo
PhKZJOdeqE9ONn6kTExeSIIbcwEgWa5J3P/PMC7gVHDs5T8GtJwoJJYJ20146uR4HT9lgjEknG0V
+JQWCmiLXJBGyWjT4ESta0/J1ip09JKCVDbstXGjXcy170iHXLficQsFBrud2EzDrauf5fzdh3uR
76epOCcwBpSxC5dTOr2qQEuMQSNXC+mvNLABrgxVufTgPhCIoisnO34IK2/xvfPv6GLt0Q7teIGR
lgwuI36j3mxjOmfipplyBYT9x3KzZyekgJJSY1E1j3MkG1BgGGrYT5qD1eGgYGSNrM9OKptxtAVS
T+lFYbXVe31nENTo4/An8lv+VOqH60/tUWlrkCNDRGeb4FWEj741rIOSHdyieZMVyQi/QDuE8roJ
JkALsgWpkKwM6Bsc5Drpspgq+3UQuDs1JYcNO2a4jvTJ0G/LDZLDTXUKD6Y0A98TBArJIQ3gnsaS
kQRCsglQAIgHly9FdC0whqo/lkaHFTE3Z89fC5qd8aq16dZsuotTc162c9u4dVTy79LxL870leIb
99tHCYvelr1n08oWPHNz/j39WOtso4DcVBuzAvzknwvshaXEAx9lW181OM7p98qeOvvZTvkVxNOv
4MoKKsjIVN1Q8lslFx5937V3KDQkX0S4C/KjzyiXNwYJGsHmaFgRyDIOLjYVzfXpimUWLYDvMgu3
OzPf1+2peaFDO3aOengtYZ/ajHoMOW+VseOtLAUPB71p1b4iaVVuHNKZSrTMvm14NW/Id7U40kTU
wwDJEG5QLxWDswadKTo5DiWnHOjli9lw/Lrq+AK5AP8b6hqV39W58cMtBt2jFa61Y8nKtaUUty1f
STuYLT/FODKQX6R9LRtGPAUTvQxONAV5882gC41tT7dTspQUokQY51Pc/BXpKPtRyd+NbNoKV56G
OYxQeYpJoJ85P3JGD4vPoi4cSKTs+jRKt1VkCjPwxgFXLKgHxSDr7A74mEiIVx8DJQMO69s+Gem/
pOFUOxKsUPZRvGcxMScZiE/baXFk1GgAEQETWZbXdrRYKRqr1KLaNnzBMMQD42FkynVzqVkbBTqn
Wi4t9gJNyIOGMonogbRLPD6aq4V/6Rk8oUnuOkV5SyeBIDK+wtk6mRpdEJQje6rI1MVUYIPn4/cn
f5FQEVu79nyUl+vOxkHuKo3rYfXm108UW/aadMMMn6rdt/BLGdwMrSgfm0Zy4LTm3u/Dex5ZW9Jc
67a0v3EW/3RCX7duuym5TCQJujhV7HHo3KzMtlG8oR2ZWCwYne56Jnmxy3GVFTTIAszxkj47pL0a
MYqFdPYJAA+NwpLNK3hlsKuIrqOtVouZ69To/So39VNIbZ+07Mc2wFFquP1rnfvkUjCUMvKACrHL
WyeD4siGehny7dE+z1HPQAXiw8WtJ4DyBGuLmqcIYY38LH/DXbSmK5hAybxL1W7RbLLSdxo7qwiY
bRPY5N4ZU1l0m/6eFwb2Pj4wquaSjzT/KqfNDDeKnuiTrsUtzyv+XMu+2jT6uRvVreOgUnZDcLbt
ilQbLfI8jwvu/B+NjIkLB1fK1jwQXli+6VSqkXTZWIXha+VEpHG2znhK9V2AO5hTqopfRfrp0FfL
UG29AuDxujrjhC95afHi7SkS23YAi5SOcwcqU3sFoeWkuSexEzifjqhICWC57wh1cN8eN3p7xH1t
6qsOZFmT8gfDIFCxj5ak1N8FARL4WKxfrGqHB1CNnkqSofUuH4/z9X5JMXXfYxfggCK+oXOXhCjQ
FMugeawrXPko1QLWDPE+fV+S2E3bR3t4ctuTM3KkG2fe7ovK2SZkmEPSR3gbM6z0hnl1zIXVKRsf
qy8agN35tEW+Y8talP6TyScjiBiZ5i1VLoXdP7dJuiubbxcBHFOsEXgmrPio2NQEkwwKp5z24LP5
H4ev3N+FhOiE4h/U9NvKv+uQX0RT7MBtWP6rWgBDv43aw8DOLhnFUjN5vmOWUyEQb97pU/gj8+eK
rGDMx8T6d5VFOLO0zwGgsY9KX7gvkqDIWD1rDZlOSq8lydqOV8YuG2OIxjTKKAc32cX1XVXene6n
sxkp5rNEr5eDmYJ4L4yHnn9nC7xi0vS9JCoQi/BrSltCOyBudLt+sHP9PhB8RgjXNmbTkMesJeZ3
8gxqy6sDw4PvY3Ggi7Ktjo5aspsoNthneFPxwEjjRyY+1sJyrVv9TsVGYsGp8Dug2Z1NKln1omwf
Kt0tjRUcpQrVJ/j8Nq4FjoFERZcGV6q7TvzOFf21uxfkqz76+F4aH2p1gArHYyq98EmTngoiBzyQ
Jlakigv8KcOmDtiTcRNc8S6tGB78ARTNgVtoAJmCLjtQCHaAX3/ZN485O9lyWScUymxHutDlqoy3
ypulLG11PZzydA33id7I6S3hNoK9f7SefE7AeAmSD8n8SYQbgA4Dno1oWteYhofVfPdyV2aAWQlI
7H+yE0J3hYYW8T+jcFd1/T38Wd34+1f8TdcQv2nubLbCF4nXgLZdZJM/3FqqgJY6W7l0/hHcmQKv
1D9AuNpvmKgs06Fm0uRh+hMI1xS/mSoSCUOjYRh/VdkAn/bvwgZzBs0jMxZU19DR/80EkUutT4qS
QyCuie7qveK/DJnawp7SgnYjwBnJoM33DNd2ck2DGZWrVysIH/IQDSpVYL4RP0s/flSigCWFaV3U
yHx30vrkU3eU5xgK6ExvEq5iYXRSreLD1lhSxhTOadVwK/KKl2t5SmJxmXTkVSdM78CFgIXFidh0
gt1r3llEFrPqMqT+LdWNVZlw/SzjHtafqnixJBTIQjOQioC7hFfKDNe+D3B2YNuwYUh9TYzsk0KS
5JiPxCXqUb9ZJXQmz4YjyMTvdbFjkMMiPwPlZiYx2CT5Gkm/jut/xmk//1YGsCnqkKJhN1gWHD9d
LukHC/KPTKGWIBPDStPSt2yc3gFEbLPQeTIqcptRN0DVs9aZHZ5iErwL0ccIRll9szGCi9K+kG86
t3X8COe/2NoCJ//QTfc0/ka13Clqd7M5icwRsHgIl6WX9kbpW4gOAu4Pi2WknMl8cftmZzTsgC0Y
e8xh7BeiOiHOMK2IQ/yizwhvhCq2hgF5iaoULVP2oRXeB32kCSmalq0Nm86Sur4f3e7BYUnu6bRz
5AzLepoXewxe5UZDNF0LZw6LxriiSbVUlJXHSXPtYe5rrFKUvqfonYg52Sk+Rt6UiLRs3V5bQynW
vWnvdcP8VcW94mV10+0CzX6kDHHHN+QjZXe90MduB96d2GaC4JCN4GFKhp0gjU9Rqn/VXEXxkZz9
TnLjraAwVKPVe4kel4fYlE+yDz8NrghGZa+IYe8gmZ61QeODCaKnxsf2ZSoRbhcKNfDAqGPBekBG
ICHjH2twDvztbKRWUEw8W+U1n4xdqB+7wSTUKsxblzi8TvAs8D6t+00YG98R+M4NkE3cO+RWyNUi
XISeK6zHNtFIlhD6QPYhHg38AWAueVAy01J2+0EXj530v8Kasnhfjg0Pbfppmk65DvBMLPvRZwaq
uj2xlnAR5NlP6/IOqPP+rNNTPFDBk7dKv2lU+y7a3gvq+lx3lKiZxGzM2FU2buCuOp1I25QC26ki
giJqmyxLjbRMqd51FgNlje08j5SrA/6N8H3rLugIXw5EgScW+868aykNmIxmW74FkV3AjCrddSNG
iBBD2NE7UaEqEa+OxPTo8A/2Fc93VaE5ObTNSS3qya76y9CYjhR20QKnK0+RYMVp+IgBdsvrC2O/
qo/AlcQ6y0MajwXkg+orquUhpwuUuj3W+2GzNcfiNs09hKPvntI0+1XYSIZh4qwFcDeYn1s4fXtz
ym6JTobYHLAsWWs3ouxK6dkjU2uxYG2RUlFK2Hey+P8lJRGAye2gLGXLNIh+hmCWwDAGAcn1k/C5
ymFJIl6Gewcc6MaKuKUAW/uFwjhvFPOh8MyiWTdSnHKZhis/xCpUEhxJ0gHAVg3Xyh6bHVBRedSL
fngm4fQTR2PkUWRTb5IUacaNrVObdANiJntA6SjhgwAptxaEVXpzTD3HwU6ipSZ//sxxw2PRZvW1
52o5qHAN/YKa6o6wfE3P2qIPi0eifKvMrr6TSf9QVJd3/rgNnYFwu/toyvpqYUPtyq9UsfACKBvG
hb3hgxKa6iklANa9xDzPTkw2QWNwGZsOz0KNmcPajb7BxUlDSFB3ijJsKpXlPUEqoJpRSbrFpBWy
34+D8+OwPp5q3SfeoLFYrKl2Czmaml6FgTwwwtEgA0vtMGSK15fJCcws54oye0dchHSVR4HY13jn
VN3HCO+8Q1eJ8tNx2zMKyzphLUE97tDA4kQpntykE/QfuHQluBmeNsscl1QK7mIVEiwn+z4oyYRO
sngwaqzCVBcJmuRdWBQ44GM1+3HYwK2Kkvu4bQ+XogVPbGqvZoQXwQbwNioevhWSTtG+pUQXt+y9
IwDPoPSLNR3R9Mhisa2y2hvfxt5iN2BrnxgfX9NGgX9rP/WEpnseWqy89WZwaUwE9daTedZ6Gw8Y
IgaJ8zEcg0NhfmValW5kblbIRZSPmNGwEcE4kotz6rnGSM3YdzfTUWqO5cUtXoKhLX9KcwQwkLn8
3sr4MVVdIFNsh2NiIXhF2neDDiyQb5iKjOWUA6hp8+zqtyo1cOFWC4CfWu6XbXSXdkSG6Nzi7GT2
Q5WDddbSnOxij1YouILHxmSTlLdxbQUkcURFRCvXyZRNw1FYAJNNhSILP1aWOAI2UYuWCJRsn+b1
m2y0W16VEI5hzfWKcqSell21Mpd02kTeqkTBK5WAsKR0L8vJofeO8x7wMwUlOF4jR8BozHrYt33w
DcXxxfLVfUX18mSShqo6Qsi1P24yNXoQvg/q1fkJw+FFMaJtrUhkHr2/Tt14aFotWep1sVEnYvVz
EZnIES1a/akF8Ljs43EnoVBAsIwX8HlDj6rcQ0GBkyhhL5rBrk6SgyGbfdENlFqkq6CcLSj6EO/V
EBzGQGhQ+nxWNhXUHkCIcxaIc+5aJ4khS2+yE+0x5NwfY6hrFFy0q4zQ6GKoaio1ka5kV3OCuVs3
rE6hP2D5Ghdj0a+xIiHPVR1F89M1Dc1V4KBuYCQClAxgr8xoTfUt2CkfvWHfjWBeevKXCVPpqgF2
0av+mDjJYXAwbsup+1GLYevzEu8IHjACfZg+f30xB3sjaQhqLeVUwazKAy4UZasd2WOv0nb8bpvs
mqUgjygwy0JW+nb3XnQUtmni023CEz4hLx5QBrFuL/qSkdloH9y4fR4086RyT+k7cTZ5y1u8PxGj
DdijLY+lNa+RXX7zPLB8Zw1dozOKFznzvWzF/GSffo9SgkUx1EJjxiZlmVwGdX8lMbQ20uBeTsM6
IIGAERLxmXa22kBfLRDGsP0FWrjp9Q5CEXOU2TzUovXAnR1xyrA1cQuKRNor5B6WSHH22hgt/Uyu
fGNOBepXPvRVhRsyfm1Mx1ij5x5Ko/xOqeBaCBFuJ2yxOf/oRurOj14ClhneKR7iGFf4MAyX8JXv
X+Mu94LAiNYJJRkLnXZLsA6eqwfrgvWDX8y6rxuCw3au0lKrY+7SO02MAAJMc/QD3IA6ULilamdX
2Afvo1YdgOBlG9PV+kMUYsXXRFg+UIUFg7Viqwh3lgcpXBrq8O1UNoI46C+jRbcJDN4nukxe4G/v
A3M0Fyive9+ahke1Dp6mRkVPD4d73mNZjQqNZENAZ0ZuOHdd85NlobaIVKFXdem6ta2A0C7AarNa
+qokVT1P4kGyNSeI8Y4Ddwsa4eRebBN2j86uqcZThl0LAGaVyXdHafGiYTnlPcSKtZY7R1d5WY7n
PlGIHLsFO7LEeoSNUKzaQc2WTTSN1MfOAwQp9Diidxd6wnsfqAMXQ9x1SpFstYZXUx12GxmO1x4w
TEiG1/B5TACO4gVaDNgxfAcjERx+UVdkINXuu7PsbWuVQPm0eJnpCn3QGhQg7C604mxq5IRu/gG4
czdOEawMt3wF+pktElccKrY92McvDTpQP87QbYO9VOgujUbfY+maq8r8ZTPpl1Z2j2NXX6Ko3tmV
s/FdaxG1zo+WUI6dyJVQlAPsH2TOOFl1LhC1gleIIJlNtl9W05H95zaD7qM39qVsktnrtfHn+HKg
0aMDdnsoXzurfxQDYm9SX3WneXExTfnFuGqbAyj9tVKIbRrxGYIvh7jgFjyTiWMvXN1CM2jwcMdY
Aj1ovHj0AsddO0YQEVmBC8+C0jlXqpGsWqX1hAWmQQdYyq3hQQJP9W2knqm8k7nYNCTyxgn9fVCa
dRzDr8qy4d2FctxV+GJ8e5Ml1nKCd7oJOpHQ6JiJtd0NTIH1eMHNA+u/j+AJx9dW5DGilflT28nj
kCfb0BVPbS/PSvYJQHvYTl10bxoVtMxcwQDzLTQNFtR9wztcrXdxW+SrAvmqUXp8gtUG5fLJCd0Z
aYPBpjSx6koR31UYcJbb/di0GEm7ebcK40mJuXxYLuvOfNjj2iGbrQku6zlITIzh1ETtFRsUuXQS
8zkMFTqnQADzISx60f7Spy84Y8dcTB90rr1phLHO6hTs+OCzfR5OYs3bdjwajQIrBz0qaUndVAZV
W2nwHOYDs+n0HmjuuXGZwtWEd8fEtLh00yk72kLq30UqtTcx4xo1R6kB5c5X1JK5bcqSe+Y4j5ll
5ItitNeRmVxZE3l1MAA4j3dlNW7S0L+7PsImHrWCEys3c2xzmJ8IfwvQmJZGKEcdvab0rWVYOvsw
wLHKnpPXXsEfr2kNrq2gvphQoaKzBrfO5hAxwo4alJfoRQQDwlUcPxYtH7/fzHfVmMYK7NOhor8p
RdXOyhsuaXGxJnzluaW91yGOtXQ0jcNfF6P+Iz06phBEZv5nxWrRAhzP8AKn/y2/87cv/SO+g9GF
nA0FO6qOBoX35Q/xSvw2J2csF+kA4Uh19T+ZcpCuHCqfVL6AfR1unn+acsjvOHMLDU06EP7mOtu/
0OFkz//+fw1QY/nBGkQzD99TF+rcEPSn/A4Qnazv8pbq8DxMPeIsNpgMfhWmSXIndt7K1l71cXUT
E8cP6fBjHeavwe+E1Hw3zjtvPN5TUbAh/Zhc8wyX/qJXyocUAbv6DLJTrVuGV7A2Tko4BMgJwGIr
Y5lZ6duotL8KHVN0Gq/qxCL+N0LAsjIPRvNicuynkftHz5GziEexgmmUU6OHbB9w3TYTvndH//Pg
TPdwIiEQt8GXnU4X7MUUbxTtOhKiOUu8sUk2UQcrb2VNsaeoyellg4YnYhq92E8brxhNpDBc0DB3
C6XUMCgFj3kpbj1BGLVormSOLrUBhl/pWHs33xl5llGyj7fH9Huakn0dqhcUx42mzZfQIjiXgqy8
S4NOAuvEgC/QGRuehYc66I/5ALohkMQqos2gW56U5jYMs6+6s3HW5bzdCN8puXbP1JeS2j0vZwGO
gSAvt20ZfUCxzz20rK+2Y7cAMzxooldd1S48hWLZGiCRhqBblwA7tMy5JJIO7wwfY42pP7d9kgsW
eM4CGZxt2zLC7YTZEW9J2MSnOOBE0nYhsrZW1NtGqREAzf2QXV3hrt0U/UVNfw1DBmsTw+SisNp1
wzKG/MuRwjOfnp/6yQHbW2nWE3zIC6PGuDFLUPOWClGrDgDCsS/QC5b5iQSYoV9x2bzYNOOyIfay
Nly1oX4Zco2FlIVjQLmVwbhuJb2Cg+ppbLIXVFsumg7PdWJcfbVxV+HUMU+xBlzK0KjXpVEfa5PV
UY6JX0vqG08f04EmV32HKKpT5ONilV2y/MUU4pDZAu9w1Rpz36nDux3huWp9vrxvEW6mqd+merac
gvCJikWcNa6ZHZO2g/KiaCct5EJDP666AgnzONoEzo1egy1ubOKgpvmdxguqb7FSMvOPXMnrqYFE
DHutlhq4drDL/Ok+hwnzug3RWeNfx3OyysyMGhVJppdf4KfC/C7qnl2YBIM24kiY2dX7IBTnojeK
dZ6kjyEwnV1gkEyZOmsfIO7WQ/6UZeEbe5poa/a0liTmawXIHZ5q0FJ7EK+kClAmRVAtKTtgEVXv
dCyguht/TqF+b2JcLFGhvnTWQCiANSDZKYDbetwRhynGj6qjJ7apzK2pGq9dFl/iqHhiq8mKymcC
hcnyPQlu3rHvPEfA/4BJcC2128mjxJj8hZu5+1hMFpYxm9Mm/1CH+rmUovEcshR4lMRjkwKnSCir
782cfIRv/PBTrLhEaGvFGeb/G9iQE79RbGJXzXDSlOykyO5pLLKvLKmfCTTcYsZxIdgoR9Y3XPoz
qRYYepW/qcfQfiB2tmnnmC03DYTwUdmkAtJZw0idhSRwSbbFgw+GppSfTEXPMYHbhWo66jukMBIA
dUJ5jgtUsBx7Ty0MATJHUtnk446wm9ZZZxLslNWX57ymk0qSsYqn9EnzKX7VRPyslYLrL+bHmvaA
kNHfC1wu3lZCIsM8hz7PzGB/RWazocAaxO3v4g0X5Q6Pfymf0aMW/J4bYATNJ11LDsCwz5Xp85Sp
3ZcKnc7BW+61ssJLAaU0CM3LWE/fFH6zU03EMSyt59JOX8tAngzKPoPYB4EzbhWFlFA0tXQmmd+5
Xr2Jhn1vkVPlkbsxgkpj74IR13Eh8lXJ92e2QByIHCdimdcva+p/KDD7kGVGXMT5cnp1nevKRQC8
RfT3JbRnIG+0PXy6oTLgLu/aJVESJkFmTZ0hmp23VNGMqVCR9S1v1BfaMJ6aiWt15uSnzEneY+mv
tcaK11mHGG/LozZnNTPiQLnKzEDry6tIpl8x1vd2wqJWDAzjRrgzkJpApS5HcmL+HBgbIwloRRnP
Y/RukSiLSJaRab8JkmaGZFIryZ7pgaRqYI6juSBf0ya7y/IaYX5XR26serYNk466C8t+64ow8Ko6
XlVE3eqqGY/unH5jLFkWcx6OWOZLjfrWq+GpizN/raciIIOFdGxxWuQsQSgr61QpFhKLIgarbqsm
zl0QxbPU22i7tylITj1BvXRO7DV9fQ6I8IUBbEuNiAkthueUkJ+wxAO9GWg16T2dU4AtccAyZUFb
4++kveIQEBiM9Hil6w202YiTgUihMpItdOeUYau+cPFf+66ybuYUYocnh6brUy2svT3nFP3WWE0E
F7nYB144ZxnRJ/yFaZd3OwluGnHHidhjRr3NVIi1X7m3cs5FEsPYjgQlrTkxyRVA96o5RYkLB9R6
bgdrLLbqcp6cyBmdkzl92c85TFvjdjDa5hb4wT0X0TmdM5uNGV+jllnWBvJPCNQk2dmU5kdK0lMl
8Vm3oUIlNF4ZxaF5aY6F9uRD7aT9pAfsFd4y7TqTuedoea2T9qEkWVr9HjGdw6as86j7wJbUTKOy
TPIcy7275XH4CGM2canY4OT67Ewt3oTKpzGnW7ueeH9ZvPZz7jUioBcX3FhsIrGkvM4E9Z87orIg
UfA6zelZDokMirDyqyZYaxKw5R3FVJBLULnhW6AAQ0+JlthucJBkc+Uc0q20YGmT2g3n+K5FjpcY
87tighAre2erk/R1tfwrx+GDGyFZMoFcOMFyVg/xKZ1jwmaenMDIc6vDEhNEv3LyxHh0Ro/ohmC8
M6Z1RupYDMSPCecxbcyyhMk4kTXRnr3twjCB48/hZTWWh9ToKJ/WtjUyTjWpS62PlmKOPXPYHm1y
0GGprvKi/lTngHRLUjqZI9PxHJ6OUgeLDHlqrSLQNwesWeZ9YUt+HZ38oWFlyMbJ+irnULZef5Gs
fHKdeh3MoW3dGj96mf8QFgQ/mURyzwD+qOvTqyTxzdlF/lfjjkkWvJ5YVJENt3rKwMiKR7Mdupzj
4zCCDyhFRM/KgzEHzF32JNvRcn/1wfjm58q9LzW51SfiEnXpXBrIe/SCgfhNP5xOoRsC6YRDN8Rk
ouPZcR3fWtWxA2LLyTmT4vSi59G5UQhLal3LMTWVTubZBIYw/Og/6qhAq+2CXQlDrbTtW2KN8DRC
LNUiwruj5/RqFBo5QrOtVqoAxVHVyM3BMuWsmab86gTG59Dh7lPinHewlabLtMDpRcMJ1lfgtP87
/o27r//7X6Zl/3/hM95H+lmFXwHgrrDCwPGdsTn701f+bfpTfzPFDHDht8ASuqYh2/4x/Km/AW6Y
2Q3zeEjxqqvhGfincQGPDGWsf1T4/nP6YzBUuSo683/4IsAOf2H646b436Y/UhgWVAnh2MAirH9j
MlkoSDJpMC50in8xEBYlpd5NyDvaKNdTlW7JV8FBRMEiWAnBXlun+lx9hVhZZJHXNGQjDUCA8Fvu
qS4oap8VzmzWOlkY3MdZ/WQ18OQrPu2bCKP9CFXGRirVkEwN26V5g6wimh9B31lX5R3/3SC0EkRY
jbPy2lAQ5VEuUD6Esy5rzAqtPWu1EEcOHeKtwxu4qhl80qExl8Jsjz454GxWfINZ+x1nERgx2J1V
4QYB2UEmTkC5asjG8awfK4oerWO6MPmaazAX5P2uNc+qsxa9a4jQAWI0oUIdKEKLgdV+K4J4m82a
dYV43VkNJSIRGEIuUcbU3PABPZCr4/1Cq/y82wkMDkzMKw9Gqm/sgWRVWn5WFHVHg9gltCZkGYWc
mX6I8ELHPbbnjqtQr7Nic2brFwmFYJZG1WBe8vIXYEtjT34LKEvxqDFXY+zS9kGDuwEEx9IdlQdz
RkSHomTnUlbELgp8GYoT/1LrajkZ/PhZgc8wctJTpKvWiucYqjbgmiTaunZB3Yv+0XY1XAhnyyWN
vAtFSUOCdaTkwh2L+Fc8TJaXzCv22EIbHPJTEyS7zCEvOVoqom+3tUqDBB+rkUylm0dYeDhA5SX5
Oq+hfivDre3Yw4ECjPRqk8+HnqPsrSxYS93e5SbqeQsSdF6+FToB1ORE+phKdIRqy8HbiZMByT0s
tsrggp6k1j7Dr+xE45kwHSoYvQ9q61AVUHVvCArgNaJoSTfUT+7jniuzSWxdbMK9k93cFBa52lBq
VmnAMEN25b2V3QIhIWzHEtiE4yJ3tLn27A+ZWI690nj/j73zWq5cObP0E+EETMLdbm9pNk2RvEGQ
xaqEt5lwT98fNGqdI/V0R+hyJvpKoZBoahPI/M1a35oC8Zkvx7gtgd4HVZ5umbrt5oq73qzTd8uj
TMlUva1StMcTLkEOZKbqFVZ/RuJ1WLzORvBsm6SIREN10HN5MstyF3b5JcVw0FNLQQxyWe26hA84
9sQjEYU/40CioqQ0xvEyKPmQ4S6oIanGbFbazDtXuj9n1Quv+2FKq+3kyI+W21Smzs/ayJJDVo+n
uGKBP2lcrj0Ix/QpqKeT7AU2poxG1RUW/Af+f7vYLignjQpdSZBbW5/cATzG4BTLjUmIY1DhpHGX
rBDHQnvSdSTdsV08eqb7YhbNpWOfDVpw5XbJzfL0l1XZ/jfbEsTkXlyvB8lAZqAmoEEoOgR1Qf5i
ZgbvikIkMVCxmDiT8pH0LRaXP3Qpw09BZ35QDNa2XkuUn2Y5F5U285s+fIhKiu/JkFdhFPWqNNLv
oQbcHOTMdyZtv3fOIkrtCcPq+y45D8Nc7xsbS5fspotlZcFrFkZ4ND2kQYko9qkcbqE0H4uFxxd3
rNBDbx2M/Z3IFTbweIQ1QZ/rVExu6Stf0rR9Ta2vwZyeLZ2Xu9qNv6a5+oIpsckEgKXIKR+rPPwq
4BUbXvuz09h6aKyZP4+XTjDliZt2K2dnO5s24Tci/9a81bYfP6Wu8djNA19n6xdfWGQPN9Z1Lorn
1I32YyOwnTLEQXHKG7XHf00Gc5Dx7BAt0ARgAoKUVbMrlmal9nuE2QEgztBqf6s0UftpQOrTogSx
TNwrArvb2AHpSsx1ZhMWg5djn5TMbDQhVbr8lILs2S4TjyK3DBgkLxbypxb1Q8Yza1rk1rRlYd9H
Zl+sfZwZk2Pu/bwqDpapWJEG/J/SgZAVQaKsAQlkzRJ/4y3hj2BsX42OXixwcURUNZOrvuWg7er2
ZDbz41SV+7hggFhhLrK74uqP6U+mCUuGHNaPeqzp/cBo0tf4pvGCaiF4qzRbnpWRkMuJPttKnvPI
UUejp+eXccx0sQx/B0k6HsyYQjQe3F1DmUvPpW8OdnSArPEjAW1nk5jOTdGyxiWD8pwM+SUCf9sI
rjsxUjwm/q6p+MtIm7TBKDBvkfSeEOOfzUpv7ZjUpUxPiDsIm/JTdilVcxoJQszClBzaCE2+sSpm
457Bgdo3xvCS9KwhEkv9GHk/cVNFgSQtEo+BqlJc+wOxUGSjhUxpxARYw0LVMzgME9JKHL0xeu5s
4iUMC0hojRxIFsT3DWJ4h4T+0Ot4O5Hhu5bG8NoEaPQjBj2ZnV6NWr6yMlwXY7cPTDrjXtKUBtb9
nFu/QiP7ITz5iebqVudtuYsRWpBy99EFzMH62PtgEYdyXWjGIRgAPf06BJ0+jub408AtiDMHp0JA
UoeR98cya7nY+ls5+SVskIbkouw09CT/tcglHKTxCHcZEdIyszqprCfmJvQsHTd5izujzxgMzk6M
sZHgF9LIVq1TyZ2lLc43u9oZNtLotH7JKSw0T5uxONlkmIoTsB3jMBfoGCe/eLEM8gtETRRS1xXP
sZ7xcGH3Qc6/5eoa2OKT4CgycpWnDuYQWigGeAme+5jtSrgTo7klEMgQHee/eEyZcl7yOLk63jjs
Cg9xtZgEi//iMMSYv9tCIeeYSfv1GPa8NCzGNl4TTPu+LM66Ka6gVr0VIw3rKbAafoPkTfYzGz9v
bSWYTEXOVDMV2Vk7+mREuEUN5lGi1Zd2XhoqRNuyH7F2uNgfKqyPrlGjMbGHaeWr4DYIxjJMP9fS
m89Fbx31MGIL1ZgmyVagFHplGnFkJcCjESQmxprsws7zswhQYNT+NyFwA8vU4RfRkvO6D5fuxGBF
FmJrytVJm0F4THucAjrVj0nrwjGuNeBhJCeVTkmfwFfQsC1l2TwqvIZM0RIdvXTF/NtIvbucyMVx
oQ2GkkPClxzxMX61jP9GGYj0PATguIlH5w57HsHc/ViC8R7Tg226OF9dBoGYVhzbm3cMr+vtPDnT
aYiNXxOCRgJqlCBT2NoYeUOPWzA2Gmrawo6RXwNiJH1pvco96piKKq9R3uHFBHqFjMfeFox4BsVQ
WYWbBdZg2w3T0oQcrXFnqnGDFgF5ID5lECKtyg6Ejnz2GqZ/3s3cj7X5wPKaWrBkK8D9dTdMwYXv
efMUg8vQJrMubzZyzlq+s5w21ThFu2kGRFAkj4kizrqtiw2bj28BmwNBalbvvXok6qzlpfpV99TJ
ogHIY3p2eg6ZaK8tu+1eGJsQqVnC9dD04XPh8nDXwt8MQ3gnsY2TJmbe/29f+Lfu7k/XPY3Uf78d
vP5qu19Tl3z/U2v4T1/89/2g/Qf82EXAbnti6fnov/4ubXf+sNGnu0ByMHO7oI3/0h86f4AHdhzz
79r1ZXH4p2UfsZoDOtgPPQdUnP3v9IcsAv+1P/SJCmc1aToeHaIn/qU/lJ3nUBSycesC5ACkmZQz
8PpPFDSfNgF4YW0fq0wDq7Mxdoo2ec7S6sklydbp9qahX+a4h/VW9BismMI73rGZyp0wWLq79lfL
sgRtCe2MV5v+U2l+TQ14F3cyCMogWZZwZdoGcuySzHq0GoNhShPBJ5ms8TExi1sv0TaMkovP7TFR
peXeEOPGGkbOylMAo+O9CeLnZnKudiQfClsQANaHJNsiZAl+L4bvB1xlMVQZLaNHkY3bNvBWDQq2
CcOHjlbt/Cvsv9uAVXyHd7IbsEESA+ogyqhmLz4nQJV29GRrr++uGSEKU08ceWwMhwirpOnkZ534
cMqQpDhuihy6dyhS5E9bevd9ipIbqjz7G4bJI6ZPVDz7ZnZBluSoq5ba35nY8ecSrW3gvWadBiVY
xuVOmxpAHAlGrPEsZpljkh9tPmfKyJJtonDMVdto9kri1WvuGM+xgjuifn1lMbxVvXMNpIEXQWCI
WcR5/vtQXXRQPhRAwBJiNWICa3t7ehgA4ZD++JiGNrNFaW6nJn42NcFYTrWP2gEFcE73gsfaIHC7
LPmeaNUG8KEsmTZ5Z3052v4xThO5HN27qFnfGardU+Dje56OYkqPcUjAWLrDmwc9KdAUfU6Hc0bf
Ell9dXN+7ME0bIaa/U8U5vQbi6evwtwnceOIxe1XwikvFv+fwAiYQLQjwJmhPRbB2B2RUOc7KsC9
74udi/i7x1Io6QTLxWKI1ZDR/Ukv3sPBjFD8DvgRrcWZmGFRTJWBsww3weJdrPM6xMOOnzESOBsV
Fke3RqmP5bEUBCZggSTNkiIbU6S1uACWrFQ0Xz/oTWh1jfcYG6XgZvKbpD8FlCC0PrcM31Jg02BN
Dr68IsfZSkuyK+V86pFV1S4BrE0NPLOMHwLBv4dhzQVe7spq0M33D1qX24AQAd/IK+z7oodYgYTJ
N+nKpngQB7MOHyrJpnK0sIsppIZW2Wym0i+37JdeC3b/aHdIFy4NKC/TxLSnS629ap18mUd7O0+l
0zpu4B9hI9yk87yvZMIWjBSNnELXD0jsFdFXoV7ScTgxlnhtxgYP7Bw8qISyxI65srWTv6cyO0UE
xRXMxg+dF/4oqvCX0KbatsJuqQiCe38Q6d5edFQqbXbjNDz5CIaLoCN9WmOOrtipuerW0ksKS194
sNZNauxVkj+YJpNpjApqxJNFHNFNMuBuTX1CXv/eWaAvrAVNWbI4EH53iSyk0KNIsSwSyAQzn1AY
74DQEWeMXa88YtjqeomJ9VzAyBUrg9wuNwxm1v7kfyL/vFcWh5rHM7luaNMhQ9nBpQkB6GcsSUu7
to64L1iw6/mqK/mRULWsGgVXgQLyERQE9RrLMTc4lD5TnkJizihiq3ppA8P5EPbMnMCP7ltVFGvD
Q0o5a5Edp56dYzqKepsUCGYpVAfU5s57SfLtAoChUULo3zqPEbCOdU0nmfhjDjBAbc2SszTnmQJm
ThTF0mNnQ5ytnRI1BDuQtUPKysDMyp1Ra6C4OpNWurWVhTdSC30XS15hHg/5WEWp851Ztr9pcuc4
GfVFcAOQcmP1a975S+HjDfUwgLrZtBc0vq5P7slsm6Q8lv6PriaRa6GzWaP6Lj1Uu7a8H2d34y01
vpsyVNT9W9kHJ4tenSoezASyKLO4ZGwk7meXQD46NUrwoYqebECwLJRwg8v50jGCp+9nomPgO6+B
fTlu7OIi6fcokJki8lb4Tldd+M2uLrutDRQ53PvLmVq70z233Y6wcXz8GkF4z6ufJ3QgdRgA6qro
NcVTHWLHYCe5xyvVbj2Fw79J6BBqbUqM2zaRSHlCGgMKg6Qwf/QmSzo0v4QhFGT91FV8qpNsK7V1
F5rFqkN6wl1wsBDdNA7kqgIRd/BVxjH9tTzAmTlVFfO3LH8wCPwUvvE8dfItz76xh20HN9yGib+X
qfZ2Osh+oWnF+m6vUrIcQOHS2zOMyZdNFT2AxoKryfX0RXyXt+5bOwVnHOgrzGo0xdGYbGSWgafw
PRS/BkK+1NuzQ371B0loo0s3XEakhXOkIfXkoDMj5h4dA7VYR2Ctslki8Ae4Oe6CZggVuMICZTOf
GX0UinnlMYSNnv26uXdbYocSsWWKu28ZtFVSvnnz/Gq7eEYcZ/CeahLwdpo8s31TkU5S+nWfrv/9
EvX/MaD0ArL3Avt/XEy8V23213XEn1/zD0EaOh0e9pAZg+/bmBz+LDkxWtpYItlLmKFlOk74F6C0
+AMhWrBoxbzAccN/LjnZRiA+Ni2b/50h/79TckKD+i8lp/DYmZjUw/xI211CMv4iSJsNvJ4VrH1E
AGox9FQrCMj4/yJGl/TtzdEaFqXreAaWeOgjcpjkTOcXp0y9SG872E722+rz7wHSFBGO6docM3LS
lnTlcITshwSaovZkLJabCDgjITdkPcP3exPBzZ6xtbG6q7C0lw3IjszYzYSbdRSHdIjQrAl7KsHx
z9uqA2Z5K4lqQVa3ywT4PQb7BexD0V/i3jnlvCUtK92O9S+oxRP+HGb98a2W2MQZcLFzherQvjI0
pdqLeV2tL3rK7VQUW2uc1nnAxiU6Bi7VTqe4tFH3R8apBpHCKYQZqj+68g5P1N6znsdoz6B4W6nX
sLpvI71ztAWQgOw3BPG1Fd+7y+hDf/m1fozr4qEbMBHCBjb0STGYH3z4cV151vkhLh7dnIuhp6MN
rE2ug/WgQuLhuFFgY3jOe20kG2OINwOAmFD9ILUVmz39vHqJfLQFLRoxhIbnXH5EEtoD7UFkJydv
cfehwalIxeustw6Ji88nxJLj0Dk4P4r6GPpgEnJr1+OVl+57R9bUPCH/oWFOBwtN1gCDKfkQFtll
HK8oX3/ivhcrFspiHej0qvuQdna6Sfz6ZjMyQ8tOKnsEJv4MtICe4hA7z6E2XvKi/ikGcd8Sldgl
pHw7gMaITE6c8DhV+R3aYj4uIz7XafocmAcXyFcFcxhB0NeUya1CWT5ozbpebj3Pf3OyvT/LxwYp
Vqaf5SC3GZLGcPZvTjT0uAn02XLIgEsXvJTRDqc4HzZV/dVl3kYN42UyBOaIBPJ0JE95Wj774y+H
iJ5Z8y9Nw2s0PrdOstawSHG9cdqS59bs9YwNLIFo0cLehkFq8Qe1+NtVI61asHb5gTMJr94Hyb4D
mrlhLNYJiVkDuLRSsYTCDYhCyMMhRtascu/moDsxS2H91oq7Zl7yFRIcTuCyfhiuC17HOTA6hkEa
v7Q1qGc06xXo7/wOrf7BHPxNAtXGTnGbRrG9lgpACUHeqdo0VrSN0HkBSePXUP69nQ3o+z4C9xiE
AXld9T5nJM77WGi0CqG0V+x66AmamBgliNeZ3rQh2CDm8JHxZtUXiAaj4GmLon3r5nDKmPDHJN7z
TJr+fc/EqEZyM/grTYZSacM/8lsiVd8rMiJKfA2xv7UJiYnJPzTFsAdo6uGeGvp+M6Hhnwt7Hbts
llg8OW736BTebemcamymCwGYwTWj8iyW0Cz3Qxziqmz3XfoCMmvVLqLr8NlVi26L8vUlxMcR36I1
WLsMyFRI43I/2zCuKFUCvN/6PtDLhfoRJuoKlXoVxgcD37YsdzYhWv0p4yUiWrc5FeohX0ir7D4E
heA1gQMqBcTSXcScLwtnABg/4OMilMhXQuenvriLxC9vKG8WJkY0AVL757bzb1XfHWqGy2GyG/P5
gISBee1vzWFoYS+t8XgYVn9tG1TsPoScyd+0NUN8tXV8oj7NtRuZx7oYNwN5h35/U7Z9Uaa79jxK
MEAPDpM1XLFruyKVyUYYVvgkQbOZdCBK9iVFXRWzXeuYHfp7jcc6xrbF878F5bka6gwpBZImXAQy
yl9gna9K55Ht21OG+yuDu5bQ8+c+RD5xYjUbTwjydXMXNA4B9o7cK4GvIOudW4Wq1A9RYU4jWrug
XVt0prayHxmFiZkauEgPWCsxFeFQq+K7iITBCtXN2J+Ntlyp8gdS7HMmmpssfuMZHdMztA6wl9D4
QFGNKttVYbuRHhUwpfB3mPORMH2wO5+QbewHsQCI1f10FAIsIzsbXvNQYZHyS5wpASIa4tApcVYB
ss0eReqwGElx31f84rIPzyxANxL+EYvT3eTote8+z1xWbfq7d79aZFphQ2BT558mmxYfPde/XyX9
f6nvdwir+B+RFE/q8/f/NZ7j71/593IKjgTgTH/R8KPF9/0/BR72H8I3fdgTTM882w/Bav6nvIPR
nu3Z1j8KMMqs/xzf8VW2YxMrhRjfxjAQ/Du1lGUG/yUezXcspne8VqaP/sRb1P9/KaYiMTkeaFob
h5bBCjoIb0ReS6yGHOYlKYZz47n7ZAxOtdu+2gGYuEV0GJ77H1ziYQl+a62apyrhBmpoboCZw5t/
GGyTjTVCAQHRvu6A+2OPNnrnyEiE81KoQxsZq153T12ZfuU2t3n5q1jQCDlLXlzkW83O26njLZ5w
DuYN5w4pCMPUbeqegipPBuqxCMU6CpNuZ4XvuOVSH8JivDGz8M350VnVFV3uXT4O33nMqTWE34Uo
Nz0sDRNZvlQXU10RQsUQ4ottjkIW0cfAOfSzIJy4ZlXUhe5qhPBXZHshIV8LlqNlxerOuWuvS9Pj
NtA3ePu4ttAn8IO5SDQh6q3CpKU5b30Z3HUQEom0tb4mIhSZWl5yoRGh1Cv9K4y7Hc39zhTyV6v1
fuzqA0Y6vP3ysffCq+H1AITmq2NI6JDK27hGse8ZxK0aM7m4kAOINfzoLEKbLll5Kwysx9vMf2Fp
juGzOEXGwDRBnDpiB03OsKTPPkLjufUKat76SR7cin1yk+afpdODZRKnGr7EPPtHJRDVZtNqHt+y
0Tk29oefBBAtHtvgV8l0LJyZyuwRmjwV0n2YRvQlQ8WfZMmGlt1q1s1u0uJttOSXAcdtDIe3xKe0
AKMDafhXZi2Ft2bkaD6oqX91VPsZdg1u1CC4trq7L9rq3WEO1c26IvEwuKfL3dZevi1IK4WKcNfO
1Y+0HreDcXXTh+4+Qf7wHFSH7nl+MMiv+gRiqNh+RgcmtaDm8QIWgI2yTXipwL4eKBiJleSR4NPv
mWuCTToz2tPPukVDGrur+lp65UNmq7s5fXDDSw0VlI3bhwpTHBQGT5HVmK8eoxm/97oNE9BdGEdn
nOcpYejvcUHcVlIZv7Dqk98CcEMC13ORwF+slGU+q3sVfTjlfRjCUrSMTw3/ajoxID8U8zFGmdkH
19mbHtzpzquDjRG0f5M+gTba+emMw8+6GooMy8Sk1dGIGfPTXIFuRZMKuGxL6DzX6GgeYLleR4pq
L2IKzROozP6xcB7tFpmRCSkxuHOr+Zap7HezCMJVjcGEqRBcAmPdxvMR8Cs50hg6YrXKCWCl+DCq
C4QNvSUnYtgom2lcniNrhOB6RDWa7ToeorGSL9qPGYk5nwrlPPNVC6EAifRNUtabLHouRPFQpOY+
C3pz01beQVVwSItDZrB9DFxKpBjoAWldwNMZBVtluEHg6e+S2LyLbPHdd7lJjVd6nzYKyzBzP0Tb
Y5Spgec6P5OkveVNegsj+8HWlFJlE76JYUi2tWLyVCO4X/cyuSsQTZCErT+DrvLXXetdYcHhesHf
a/5edmIrTEQ3vHMIaUzr7E2pdYSAdaik+YMR2Tq0obiklIN0UZxKZC9XYHWFsRjqTVyCuQsDtKHa
LszmAD3iN68DCFOPDPJcGlA0bdslwwFlsx7lLa94V4aIYZjy0rPZdGfluITI1BVS0dQkX108VkO6
r3yWpyBDz7FVfsadPoHYZdmdstMVrrGLUOIpkwbZM+ND0HwrwD1r8DLfEeR0yJIb15qOkxsw/E7O
tAbURmjljfwrL92nQGP2cNWjqcmNm2KONn711RhgBWE5GzU1pCH7oRfyiQHBl+EZIFtM8pABGBPl
3pmnkWqb3845shL91ZCnCg9HlQiITfAWzgmb/E74FaBUAGnOeGj48XHDAB2ywqj0qTS6c2nfHOxP
JM1J5pLpkVBIlsGw4Zpw7xJfCwINES2KD33SiMJ0oZ/9EFk0WQmDn9+R/oul3tw4DmVfmCL8mJLm
UQw0hGMWpHs1xe0esU0Flr777tNsWTatTAebWmwewiL+0fucbw1KZUUX4af9YzoPp34CII+6cd8m
/Q4cEq8Dg7Few8sIcb0SVZ7b90NPEBvAtYhZCSxC/e4vATalwnQJjuenbMGpk4f65XnqGls4+Cv/
wmT07PfIian390YmrmU3v/c+5DyJAi+Z1DlaIg/8ZoG1Jpe0CE8lirxcwZV16mffKN68aeYkH7Jq
F0TtjP7XvFLTv1ARgo0pRlA2kbNOu4j7zbtzWBoYlQlEn8smWeD1sTAZos0PcBGuJVqAAMYrVubX
FqyAgrM9gIidCBUcGxIiHKgFE0ulutoo1I6kCX55QM9aw0Aglu28uXnP/A4oYvXelc5+GKcPpyUA
rsTzpSYyPRp6QInOOaq677lpvsrBva+9mkYkVKuhC29WOFyRiS4Xh/geAiaWsph2eYqOuwQGas7q
Cb3klmS8XemaT1nrH+yuO1hjc62498zOvU/rgMSkGpSzPWxCs/2N/IHsObv9NYVk/8TxjRttL/Bb
261aVif7ybPf3Igf3AuCOMKT2TdbM8ovJupLc7R2Ho3jnKSHqC2OxH8xXKi8PaZH2hjvTXjtbgyi
u6zJD0FtvEx0Pzl/mI0U9YV7neGoH+IWjzdA3+8nqyc+0OKksKD9+vak9omjfy2EJ2rJN4QYx8JZ
1jucxq3ob9KpN2mUkuFXrAcI191QE8Bn7JF1HAbtXaFV/GYu+oXH+dW3VI4PmOhvQgwOyMr3U7AZ
5n3hLUSLJr4XNSqtNnROgrWPUTg3qdqPNIGu02qyecaoe6omcI6Gnp6EORHzIrt546v2oVKES3NL
PHRV+Q2n/RA3wctQYFLrS7F2Y7XEPtzxi/2WnX9Xmc2+qpynTnZHN8m3DJvVymv00c4WD1BsnjqL
RioLpicrbPc1Cy5LqDse0MOE/QXOGb3etI5GHv06EoeGrsjsqUvqZXBAx2xBWx79Z4MPzgBz6aMI
wQoW5unzQGUQsUXiODomRYN7sfsZUBYCWmc9x2ZsNmJWCTWvnMarQ24DszCT4UqQsPfyCEdvhQ9p
EbGdB0gHTke/JNoTaz+8MQ9KOoMf7VjvXR/wziL2d5zxloXdTbRVfxCmj6huhg3Z5tSVjUWqi25b
ec1qLtUqqBA8swRseXrj4obMmVlZdGUUP7Tjp+fWJNS5GC9MGGnUnt6zxB7Oo8AeigNvAY4hNbHZ
FvsltNmmqInFCe4b6bH8c11go4pcbiqDmb0VS6v9LJwXXw5nNJTbgZgX07W+Oi33psnOjVjfCn1y
4gDNgY0xQ54kqN2ZUXMm8zUnL30BPnhZtJcZAZxMldzJGjDO698NZ6XW864o/Z9uutg8GFpaZANb
ITMZn7TxhG8bR0R2tCS7ECZaXTtffiVBAVl5rMhE49pnb2jTBvPX2QpUalHtt5vQ5SIFyrke2Q5s
gvk3q4KjRBgFiPMaKP8RAhPPZ54wKTKds1dF767fX/iHbaoc4oKhgzucXw+NMR6UXwfbdqRmXmhQ
gNYy8or4zDG5Vb+BziJPL+jjOTIYT7mXcOqvvfWzTA2om4HaKqd7aPDTV7NGUswYLx4eB4530nc2
bt3uG/M3XqMSZWW6diqe6yGUFyLjXvuwV1czNY5YjdZmm/UbNHwkvc9PqfpSUGbSGo4XEOophmpH
wKGevylyAUdaAHvs8TIXgw+Xrb56jLdWDlhTRKfvWcIizE1wXy4GqrQxUP+wgmY1TkEK3NJFKNkW
0KNiA2q3J/rXyCkgUHXLYLEkUQzYARI1hHhMVCOt7yqnZmRjd+AOih3xVRuBMHdouRKQHjDk4nnC
R8kAIptwmw7zca4pZEz7hsu9w+wJYt0dkBb4WjPMUBVCcrv9bm3shDJEHAxXW4nnTKqrMuyQCW3F
vNzsOyhO/Gvi+rW3KY6tuOMm6sEhxGn3QwbIVPM8/+GWDFuj+aAD4oxQd6Zl+OB24jHsepA0UR2v
hT+furC9VRxRNS5aI4bZXs2PsW5589z23tYuPG1qz6KvKQ1rsn1aSQ9a80EVXXQQUDpHExEdkgbC
Gcl7M04QqnQabh02AqGyTnKsPtj5v4WJtaO8OFRT8uj2zMAkuYdx9OCzlkwzuUGPdh0rbxm+u/Sv
qNp1CiGrImfPrXdMzEaagOY+m82fto3FKqzMhzGuz0wMt0q1NxMUbR76OwWAA73dQn1Cjor469a6
zPrcHNvvvPGWRDdKZGwlL4FfPHcT4nq78pJnOzcKsmHG98LjtbVwVtMsCGwiDN34RjaysrV2mg81
0fXxCcLrr/NybcblkxHZu36OTtk0nrMUDXomazbc2OM3uCOY2i43mJHE16iSB1LoUfbCnlw7sQxA
iSB0D8FENr0IaM6wbwQ1i8ZUlh+6j79dHAoHG0QFskjUbRmXNA8nOGk/OWvFx2+rxNuObPNWZhvd
69lFApyu7YkMLum6B/7Y73FTORsdfFe4vlcuYNeqxIJqGj04Jw5HEeIxDZMk3rmzOISOklShvr/1
59bZRLLGjuhrQUSDt4W7C1klLEq0PBmm76YmTy80IcEPFrHqefIBlzllZkcYmsFlAN7525jib9tX
KctyixepCDaZK8CwVNbNH0gQCzvqFj0VD30DY5DMvehtBLvGy0CMXwYzwNoRtmBswiA7xRLiI6aU
SqAMiDp1N6Hyoz6V3v+m4/wfA5XN5g+G638vrnuKW/Y5/+q7+vuX/UNWxxSN2dvyvVz0a8tc7E9d
neO6OK9sz0cmx/P652DO/gNQxxLuHSJ74z//Qt2w/8AFY7u824z5HMH+89/wXVn237Aa/xSbG8Cm
hVznhZ6NuO9vWI6/DOZiZnaj1jgjImWaG8sKJyrsQK2HLs5YV8SfkUIxLwXcU8QBdTserMB4m4b5
arBSdMP+ZTSjc5mI66SRIY/C3pZR0GwynyKvDD9GlxioGLIOACe5r+G0rWKtNqm3SArMbdFUG4TQ
jKm6prrPFRECEYJlOT0NegzXmYcymlPnxRrrn4mdn0G6oxX2roOHWDhuzVtodk+9Irsq1UQIWJeM
GdGYpTfKuGcgaNadb0UPBHp/0g18z+yUuKCddwsKCFUILnmkRXEaH7piePOkcfHLYhuSKaDemcOr
6pEB2viW9k+9cYjYBfVpSdDgWOzEHG3jvN91ZrUX0YxdfwR01fri4kfuZXIYBcAUudeoPfSUfLdU
nwWZCJ7nYr0CqMBF/pJVi91egWtrLJsaXaU3GaToVYIFnw2MhF2D7qB4oArO8xpgOOgJxjgDR1Hp
IdQzexyoLFFAm+Tza230PznsqJCwvZth/VI7RLoy0PnQYVYBGmuuABgShIz0jmkwPghgis1y+NSc
Qv5yHPmcS/5yQMWlWyOes/eGbQcbt1Tj1kshq1Kts/JZDjnUUD5jIaxj03IEYmOQJ8GpGOsq3kmT
Qr1ajkwzHrc0AtHO4zStl2M1an8lyzHrhkjxcv9A85ytbE7iQvoHi5M5T9EEOcth3S/HdqyzcxhL
xH51dw2Wo91aDnnlptlBce4Ta/auJI01VmfmacvlkJTNsIm5L5B/B/uMUclapLEFGFEeZBpfvRpn
wLxcOOGAXy9fLqH8b9dRMZ8H7idp2IQHZE/TcnFlY6W2ernMoqJilsb11mD1wMGy0Pu5+zLuwJK7
MCj6d2e5HAvMCs9quTBDbk6Zytdykbp7/Vuswx/Cll9xYH62Lha7EfdAlI/WtmR9lBrZQ89ALzdp
mFVRPsD0/TQ0qHyMYNa6MRftV4YeFKfdJmN+vORsAFYNr9wMR7fr3keWr60nj0Xb7VQQ7VwENk4B
ilITE0XPL/HBxeEDW9K3OWogmSGa1IC6Lq6Zvua2c6knTZtFvFxDeEuPKu3cFPwZVYv8IZ0DJN40
nC0ud+JL15nVMsL4jU2QHbXyaBYXdoQHf60xg02IffkpWcLhqtp5cvv2KzVh+dRudLAq6AVT25F4
WxZwdtGvrSe3lOsxN65G1y7oRZguQaEQFQUOA7P0x2yaPwgsSreNyQrNtbi14UROFb16AyFEqw8W
/JcK7dHaVEhZg1F9Ni5WJ6/PbmWGyybKf1il/x/snclyI0mWZX+lf8BC1FRt3GIGCAIgAA7OjQnp
JG2eZ/v6OhZZWZKR1V0iseyWTpFcZIQ7kwQBNX333XsuVy8pZxhYBTXN2Y6QBkUeX0q9fhBzRV8Q
I9WDlcehSNKc1lxVj8vB6A9JmX1wZL2PNl1RbVSQJ9MBvhO7Gmvy9FEoH+2+wPYx7ktgBJ2oj2DX
dkke/gCHPFhmx0Ihzo+FYZ66ALXIjukfMjXxoFAQI8H8GYXqUkDYWjDTnymc2bu9eHCreDvZ5UcP
FV8h/0HI3zjqoI3UJcVheLHN59gVEDTw3Ys6JhpicJst9rJxeJMWEQ05+aGlMozPMy+e9qb5P2OF
UTaPD2WV/nRNc3NkslNQ7Hgtk11d47igPFVnCu6YOxfWWFA11a7Kqr1qUp0tNLOsTnfARt68IGdj
zxrDjtw3c/B/jVhEfOGvBgFdhfwjkRIsc2X12xt5tAzbxPH2eiE/etnzPhD5gTqSNyegmiEgy9sJ
LvHi6Oq8k7AVb3K9P47I1cswZUrKnV3BWUbyr9jDeeWXE3Ippqd4qw8bk47WuVXomVj8ideuzpqD
GYA37/rM5u2A6WXK31TDDJ7bPv0vWnF1OmDcitSfPwRbT/6UMrx37ncS9PvG7ylK1L2lDf51QhNr
p7ZAjeKO7+n2nSDjmU8FUcNCf5qidu1i+SgYD2K/vZqMCxPiPTUneGQtRgkt1S7SqnHTAsks9Z3F
yDH02Yza4Tmjitfoz6nEyfmY5ahhOFFeFKOLmg+vNAi1jRkwLScMODaDThPWD6ShNsrylrJpv9J5
InLm2ciapyQ5z0u6w8KgUcZVE9VOaHxuGa2imIjsPGpZ6iFk9PKLZoX9CUs8J2aYbyAU0t3UNWtZ
9KfKyNZYCK2F3mJFCOfJjmUzeMv0K4TVyoVABxTCFNggGBE6R/8IF7RvFmxfmBi7uVI8kemnGEnK
NIyVBuMlfBbIwAycSqN4dJhHUEbRYp5Ji0R+8UxcpjLcQDa8VCmTPVUvCBlAMt08O1MgiyslJfaC
+z2soqVWzNf3kF+TyLpTnch40fn5U0BF8Ri3F2sS2IrEtovEyabypPV9HJrJCWfglWrSaamGELqK
FcH1Q630yuEej4SMqWE5hMlICtXxt1ohd0PJCgawcLdsXecD7MYirNi86RL1kMHjM8JtGw4RIml7
c3HdhPhlKLM9mSHIJT3/FGS3a/Gg2XLlq+6J4m5vXwvrwcePjySEnxSRdwrCJwdhLk6BZnnhsxWY
rxjB3vibz53s36CGb1XefyT8YUDbtHrU8NJMYLjTiB8hsJAEhhNwRbY+YGm4sYXUPMfBMs0lsaG4
9/jdx3w2CnIUgrbp2P7hebMeJBewwQKllacow4n/qlh6rdwQTdPEANYiA2Gc7V71svhlZhZEcVzJ
6yKiF9egkHMEfRmEP3ZmskyI+XTTO+Vqwbl1g3uoJqC2w6NfImmW4pX85jvGgpe8x+vthdtmGl4G
01yy8QjoJmE+rzMtO6d5hISb6QllGJCho5q8UihftCyh43zu2J78mjr2jwkYMbcutbbH7Fg2gnpq
J9nFXkGDmcH+Kh9vHYcMiXpAuCJKx1WU6TvdrBTze/6gBv029e4508wPo9IIQ5hfKIOAi4eajCQP
OgbEdsv9PcYJFRTbziqYBYeLOVgbeocumUOCsvKzBfkHpD5p/clHX1KR/ewWcbew4SJluc2ljNkW
phb9jDrrA98kO8reN8brhCVjwb1nBbqYKtTyoY5QjdrstXDdlT6KU0KXNVf3NY0UK7+gZpbG8+cE
qcWqhntZeb+GoUTLUOe8a8WKUUQsCAJuArNyl52m7ANOqYDBV3ugzLmYyXo/Rkq0usKgNabjcbA8
famhjc5b8XvW2XDcBphYg0+MLBcnTJp3Tb6ppLDoL0F8w5fI83e8eYO3N+rIQKZvrrZL3r8padUr
O6qe9AotwoEel/icCVow+AuDmL4Z0IZYHOIi3EstxbgrkZ/7HOsceVfE66o4l7G9opl36xWhMQf4
ydCrjdlTVoeTKEC2yNkUltO0s4z2eQ7Ir/Rg5J1JKJfg0CqLiF/w+FhJ+Da5V4UwgGrQoAF+cLII
UbMD44wmAhBcqx2u0CAlOGRx2ZRvURnjgAmnbCbTkeGZCiJD4r2OzW3eFu3Cxr+e2PJjRAUFN+iu
EZY3GVEF2TVbu2xXTBAucUbrd1kEqwxeedfHAD/DgybaJw/21ojTc2G65RuZvEfufTQZtS3cB7Ek
m3yCbkRvC3n01dTWe8uO94Rj76yBco6G/OIPLt8mGoDEXwXxJ11bY/00Os2uTvTHOqYvzCgvHgVp
EFffMs09JZa3pSTk1fa1dSZBNE/yVIzxbsb3W3p7oq+THf94JJ99UW70bGbTMh3LC63117geeOI3
+qXEiydr7zsq7XtciGvQUVBEfPgRGf/klSReVMGXpgfBbMaDTRuSGba/FWh93Jf9SUDZjueTNA0u
Ri4IS+lbfkkpz7LUXvo22e8BibrXSlbWhMdlXf2IjnPcr4xHt48oJRj6J9Ptr2miIZ5q62iIX7rA
PCOifldhcOdo6Ulpeo80jeysBAAZbsYHzQm+tfmGEBecCV66cSXrwCbPv4as2E/UfrsYP5b+qIOA
yORO6fB2KdcKqEFrd5pxEyyUrOR360nssyPvEqvcadR/z4fkAcjw0phSWNbsA2rWeGzJ+GN+uQKt
dpzM4r0P+X+ILIAVLNChC2sfAvjujwyrz2ACyduga9J8sq4CQelWzatFEvtcJP7vUXdZfAqHPpHq
gGiUrg0LF0whQ/qaw7Wfu7ADSkUGINunFJAuZKr2WZXVJInQiOOJ4yCafk+Z5A6lWEUnzq5uRuBC
xLmXVZZ0jwU7AlzzASsPt2ZzM61TzJ+Wqj5pWFq5SfGUJVz7eTs3CK3cYdw4C1cZgSMVFM+pAL1B
Qxm+5WDfQsYcTeRus2H7o9sTh5qLMQ6b5zTPhH73HOoJkeEGD2IWvIJ6/PGceYsCgWWD2dOG114b
z4k52CsnCz3e1bT/jVEKN0CjndKozXtOOH4tSwn0YdCcI7BbYlWTA2muby9tiZ9lChjAPC9fCT/9
7SGFEXe8s0M7uYV9m2S0TQtKNBNcltMcSQhMvNEBwd6YGrujNg6/A0EhgOV+GsJwcEWHLTYC6qmI
IdDEUB5quBhJ0H2bJLQ1jshgZhzkkf1ie612EAnlLlGydHO2f22nY4VteYWnHDGWf79tBv65FFV6
cXN0pfoLtN2WTysB3Jn317TABezJzje1H16KoVcrEcU1yRUTGWFsFoy2e2isoLViHLSzXXTMCFBr
L5FtnAP6rcYu4nivv0RVjgfLzl4s0yS5FM5TIbclEmSWpLhx8tLnLC3lumpzHJ1OyIW5/eLmsC89
SgxqruxBEy0HBoqlRoWbbquXjIVqbpsU+mnDKzR+SjSoUTT0p7ZFrW00os11uKVzjsMs/7NLYRPm
bKoLBqyiwuwkfukZXwt4H9HMqBrXjszVJphC88HPpnntU2wxtT2lMC3kYN1i5ztq3a2rvIOU9Hgq
5IYhYrOd6jjPDewwPubltiZ60xXtskEf5Siql70qkh+P8asA7rfgYkFjKvsVkiin3iYaYw93q9Gg
BPbehxg5MxylzqqJgKPo4dXSbCYaLfuoaZ6lNXUpQ7rAPGDd/A+M6TqXJrctKBSUPXEvftKyGfJV
IFJ2jkjrJpkl2U7gP8tsFTHtshK6kZE1llHvEnWbiLoE76PKnzky7zltCmzmnjxhkjH9in2YcJFm
v+VzVaNnbzz9xwR0CCDFhMnuw3MVwI3QmSKCSbob84/WQfYRiouQit3fpefzbdLr5PScAN0qqM+U
qVnNKQuuYrrWYhtY26p4V0GzzNKzVay4Zqy8MV916adLU4PPHaUesSSz3RgB7Sf6ewgMpxW/WEgu
24z0PHTVsf8qM95GCW6c/+/w/EtUGzfl/6Qmv9Ks/r/m1Mx/U5T/Gdf+8wv8l91TdxFrUYl1Ba6J
BPZ/6cryDz6UqNCwTaSFqmv/C81Z/YHKC9DL4KEPsPmv4RkTtZmCM/4a19m/F55xaGT/N5qzzRQp
dWEKxzAItc557n+RlQVgpbz0WIDB0aOfKkatdMk1vEwe+lyvlxEuQQ9SUBh9+NJsode5xT4lMrht
JOFk2qMfGrPA68ShuGNSo2DYT9zLhLuMGnaCL1BxqR48zL7Llm1I3P8qGw/7mxFg7aMCeQm8kL4m
Mqy9BNlhK7xi0bIHL7aCG0lHhDrVPgcqqzowBxkOBqodwqbjg5YvOydIF9Q3N/o3ZINrqGs/cgTj
Z2ePTdLTg1LiPZpac5fESFxWsO0UYWOvcA9mVKyAvf4mA/MVaOmnBFZNK91CAPYffHqbck8cRdi9
Wik+j7ok1OD5tMjY7JwwJGnDoY/bh9Tr9sq3v4DGr01MHCvaPXNyvyMSipJRw0K9WDj4WVYVdbdN
lr3q9vDaQ13RIKkRpfNpNU4bvDnF52SMHEOEUiEtjM6tuqgAZGrSs54Cxj5xpXHRrFK2U2qZRhZo
4fLYuhnj8ZDh/wvOkKV+B1nTb5Xo2dva8tAUimSG0/kv3ciXIe5LtpnngTEwlXfuplKsruWEG28k
CEL87uoF05rF4MaZ8jXltTMXhzut90LaFtgFpDPb1srZZsEdofFR8zv8h1l15ugFiooCyDPnCJqC
pDtbXAalzr3lHsIcV4Jr56TXsAgfm2LTUWwHzZvQb94c++iholDb5Mgf2/Z1UiA7OyKgIO9vFFkt
hdVTF9ZsI2VvLYjOTr4wy/TL02vagbD9tyMrMz+1Hn1RyccummMZnK6VyE5B37NrpA3AmXVA7Pym
LDYWsemmxb+aWM/TYC9dMp1DaS9C98MPtuGcGk7TfWHfkRtUfTMCKGeANggldmIh28fMBa8zHYVe
7bBubcy0oejHqV+bIWAIk+1G9xnJyOV4Y/ad1w4wUK/ZRdG5pyTS1O2d06Skmk4V2QFLhnsDQwjY
E/5LknhCycY6O0015ejsQFjEFt1Gc/G8WDeI3O9aNB5NS9ElnFG1MNxhgh9YdX+H1nfgJ0flp89h
or0UCa2z2CUUXJyyrk6FgWkHYZGm5g6ONbZNbiJe014B5O4y2UBRf6w1a5+JDIsWpURJ96xyb+n0
O8SWqN+OcNr8oaVbrHrJu/7AbMKT9XdXmHc7qc5V/60bNt4mbVck3jliarxUBr+3nG32vMyFe30h
0DGlA3bh5KUNx2PoqblmdARjK7CrpcFmsoqvtCq3poGzhNinmgBGVL1ZMbbtoe4eoq75SZ3gHJoB
TSv3EVNEB5pK597SKBa55c6qMazQpMOl1a2AM7VacqewC5IAmHRmQMbNMUMmiYx1VBhrlrnE+zCc
qM8kPnYFP/FsdvJNtFz5BAJ09PSDndvnsou2Kun3InV3Vfpu8XOmm8GNrlVTr+II2b/+HXnA1OgM
l8E1Zr0S1FsCxYtaZzk8+AcTA4f4MMfHvn6pS53ybi5xKTX0rOfpq/btZtPGlBWxts69s+RKnVsJ
sVZU9oaO7IbLZqtf4M2c5cXyJ5z30WqoHuxyS1PNusqqbqGB0bH6fIWv4kAh3lEHXdh5LXVbAmsJ
8V8WRGmqCG9PtDK2907PrhG4De6z9V15GqZaX2yTEMNQAM0BQVHWdC8GRyrduLfk0b7wvw1/+PJd
/S3OnisxnuHfRLPo+p7hX/eaZB1jy7UGY40D7KqGYuMHJMBcil6QH/lUGkvbuxvuuHSnT9L+8Ar4
cMViEeCIZqgZmuTixPns1isPVVZo9F717Bme/ApT20dSA9TRH3wctbHdU7zszOpN57IHaM2JUjSq
9pImIZhZLmk4Xk1aclIuhdBY31YTR09WNtu+PQTc6Tm8pvpCJoEymyY953F4K2JjXU+0eGDUWEaq
+/GKRzcsPqvEJrhPaRyjhgu0uKNEuaFjKW0XQ4BCVwxH/KHDn58Aa93UO+HDAUSnxWQ0uasc1kiT
cPTQBKxr7hr4zjPtVD8zDt3k3Rgp+r399AqZb64Fb5eBZj4xvZhesiX8pesTcmH62CcVB1DJgzb9
pc9RuQC8QeFRLFPxvXma/VQ5MAILr14OIaKFFUnk13xL+RV+YI4UfmUg7HcFpKJ0NojRedsNcLux
3R1KiftHAHVOuII/msNLB3G9xf1ox86mqVKXtWlGNpQVn6PvSy6vBSEMr0EIHurmkJkx/2Ks1npW
PKTmsNLozqya8GQL8ena3R7w9oo7BJboiGCddPYZTrnhoUO37ob80PHFVHzUu4uTsYninVKv56OB
7tATyItry7F9CjywnVHCSAQfzcr6FdIwJnOU0ZyJ96WO+F2IftPmHQ7n+CeKb3qPZUySDtQ1+nSw
L/nrkl8iBw3liKtoNH/nSKTKtJbNWwznq93Fioapmxbqqy7u0XCGhVba73kqCJ7MJiL4Zkg3mvGc
d5/F9BK31d6e6RclfXX09TFeA8OC6GRPvzv57tZ4fXh+gZ7Bta8xw7dba5S7Xkm+6705+T+6+yk6
ouygUNdtsFKYnVS6BMv21EhxDBo2ePgyN45PbZlfP3uVt+R+9Vo4yU9reuex4vCjLTpgDA8f/Z53
U1W++6ZVLty+fq4aXJPMhu/AxXZ25q8TXb/UjqTsgsm1taLz1HFp8JP2qYnE3p27tu1HO3zJuvco
58ZEVPA1AhhRqQM9mxt9AlkBMpstu4rz3WCRlFTXaFxDX1zKqNr3cyZQZ/dXT/6j11S7jpSrrO58
BpV5qxkY9UeX1eVSr8WxoXNzoczuoacJCyE3ejc8vyM1ixneNJpNYGugKojkEcsky9z1oXZw9N5B
OoTMWmohT6TaYtkxxU5/rAd1mOzpZLGQXjpGumpngGDhH1SxIXt1LbPuy2RAjSeP3mbdfhSm++pZ
hk9n0fQ+iPiOLnBRfXKvGzzb4oXv1lFrWb356ruxzI0McTjscUuiuaHZFR/hdPSyPeho9yfvN9S0
teUdyUCwbmi41/KMcZemCVHj0NSX+mabLI6XERQa+9JG5zJgH+OtXNaTXGMonK7k3VB8cKF7u8Qq
De+KmLiQsbWTv0lwDPVnQDGlL49TtlYuk3HENSs5DPU1lFhB49diXFn2c4s7RJUnSCqdFZzc+hij
MSwx7u4HMkAgwlJh7ri2n01m4KAOVwUfbpA5XYazNRQGfePZW2gOb0lgLcty2nhIf9gH+X3F7R61
ZiVjjxM6LO6BxCniQ1tJ6+HJS/AwJ6Q0l8jbP1anfBIC6QPTxxMXz3pVBv0HTU4pHgBklda8JJ2X
EcROmk3kAaOBWvas+yRxck52o4a4pAHJO5hTRx+ZPI2EglBYYV122a0V5UXF7HYIq7Pa7ZINsdpv
6N8jGJx836LasEmd0TJ2+qEpOmiiLNh1tMIuWSuEFAIKE3BFVcFcp/siJVHPU9BgREF32YV2/BmL
YW8kLdl8zBxMY+lGjvN6f/47CrjFImiMCFGVxlbR5+leGvMTU7BjHLmbj0N9+/uj9/9lCAqerBJT
1P/ZnPUACftf+RP/+Rf+MT7rf9Bxq5x5RDbIY5sz2uEfrizxB2kSFr78x2QaVhQckVT8Z16Sv8eR
TiDSsfFyKZuh9p95SfEHpArcXBSjgbAGTPF3bFm8I/4yPtu4JZnppTIdW2Inlv/uynLKscyzgWWR
JDLHbclXBEzC/RjFv/w0IdjUpWybY8e7sOEagMnMb/JIuKu+FGwgTDvZuma3TqqgO8VFRAZmTBFI
jS7mUo5d6soGXFBhiPt/a7Gtq6ZherQTqDhy/HaLfCEAFpQsWbNC7fwCsYs+HHo8PPMhjdo7LwIl
4PnP1NKKkaa1fBSu9VO4yWHu8s19MAAVx81QReZCNEzXVl7KTeBygwnckm4ycjiV3qsFmie8qXb4
6aAgRtVExh6bCopBLK23fqhfWtjBLdGE1hq+BpfyniQFIhMmLIMKCwJY1IXHxAo+VNshQVob7pOb
xAgfwZcsdfTUoXPWcVTtxj7mkTIuGsPeSDffRKM4R53GT5INOERYwlQy6LmuRNaupFBiUSPlLmVc
XsOGEmbFDWzN9d7kGc1sqwdgtKH8nG26U94ni2WcDMEuL8NWTFvdw8teFd6DX7KCg0R8Kgptr1PI
oxzgtLr8yDFB9+QAho7G31j46OsiV0utTemadou17MCQJnb64sv2RugN1n8YrK3Oo1naWTVciCKH
nbQBtbWL1hK30mD7tyTiWgaIe0l1E8fmtBs4QotgxnAVrIp5ljjekaQFBW9zleWjDT+6FeOtRC0N
erUPwGlMor/BmkTujjcjA6/pflLP+OA2PQNwcDd53yy5yy4ckT2ypCWzi1ku1cFl6BCKsAFYowJm
d3Mi2MthteikfIzxQDtdtBvD+GRZiDU0m5OUaxTFnymogtypqVuCRt071iHhiy2KMsV3wY58EeT+
QwlwbhHQwbkzQCRtRGsue1DCgOA+Jdf4Kmc5UlnRMSZerHiNcF+ox5Zky4n2rHIrknC4QG3GF8Qy
HNOg+2nLaalN1YoWqeDBqsxDhrNkrN272zTI7+N+zMQvjFdnzZ5LQ3PiknUe3swpvcVm+poO5i+n
BibgBs4xF8ygngtrle4Dhyof1bYbiOjFOPGT2oRJoRyzbJnaaxPIyxAn514ZxBdGuUV4f7XHsX70
FEbBZkzVS4W2fQlSBPvAxhVldRZvNbP0kgfZD8wreDl0zd/hYtknQCUiSZGKKQfSYUk0LV10tr4x
x31rJhvLGF5DwMaAsB0I71xU9t0Ei7VhTf6tVbUFdq/XNwNdi2Gq3+PeZAFS+vxcsZfP2yi4BgpI
l+27twYGqBmaZ88qH8vCpeoQo7Gna+NTHEcXZQBMKYB3hSB5kZCT544SJiawIN9VEHsImVi30dBH
CPLcLvLGJunmELQmwAz47CuPjqX+UBdeubMt3hZWWd7i0P41Av4GbXZAXNj2pfWC03I5pBopcoMU
m17vfC+cw5LgFPIs3BeWG7xobcc9UXR4UR0M7r10f9VjywcIoIOn/I+q4ZpSB3uckmhbJaeJ6Ipm
J1MgaXHJZOI4+0DF8/UPQSixbDQVU4itY8lfdj46ZAGCqzt7k4zyJ5jH17jOf+Ex6vk1dbS0TdE2
6IcTaUvCaLaxs8vyJBLEBE1PzlbDMtds/fM4Ujmg+gH+MkE4fbR3vQ4+vRqMEwaaDV+hWWvzBqKU
8WNiT68jjJ2CrLRbiEeQvBs1ik+qN9jPtd20omwq+WU6BhRrL7dR9kOfCTCK5Vahe0AgxyhuTklI
Rk22p1hrRnz0Od4ju9TcWxaMz6NrbLHkrEzwEPzsvJeUdzXy9FSn47dvwZ+jCosT7EczATxHXMi8
1kEgTN5z6tkTM6Y2k0tMSV1OXcYw+HV6Ue1u2/TxS9X1QHva7IYc9ZnoxOngiFeJd3SBMJeBf8LI
+mx62nYK/Idpmhbe4LxEEviuWdAyrmXqM1VDDpvHPZTjDFox2Xerj9iY7ipm/CCcVqBCTvU8Ufar
MSewb2NAsPSjDmOljKvf7ug9ts1PYzIDAV0nDe1ewyA7EetFnMjaVV6R2EX5PdUS8BweRDMJfzeO
XOfSwQo9EFM3LMyPwckHxBeE3d0k5e4aFH/LgUmBT+/T3GxdRtWvNuye606tfA8ilG2hnsBwnhYt
Fd230GlvQFMlyYT8lAjK1GJLBssxKborWbFN6vkvbPDOrhcrihZ8SpLm0FWV5SYDLaKMUa0zKz5V
Bdln0z110kTUoUuN4lVPItoS7yX9X38qjvpB52CixIpq++cwbsH5B8TequfCA3aghnVDqVRTGCvf
764kLN+S3kHxENQSyM5Yak74QNK4ZLbOXmjdeVR1T0h3IoQIMaV2/VeNgLhs1WkUfMrr1uEebXBR
aGGS1DSMz45i0v5zYl5X3GT9iuQ7/X30te+7sqRsMKGRx3qrneSLMuqV3ui72iuvCjU4MPTDBMoG
SD8t9hDkCPQtTLA9oiLV0vdF+TDZ2iajvLwood/YPtWjU8/2IOst55jgdSkjlnZe2G6bRjKurIxC
e5NTuh4paVh6o3037IL1bpqcsv5r7NrnyEMQ1epoLdr4U9a4mC3i2zsjYhXsSe3sjDTagfMqsf2E
o3urba8ERBEjhfS4oz0ruyMvfgUN6TJQOuPknfUekLSjCAF3d+VbLzQ+AmZUCQcM9SC6F+Khcj7j
EEhfGiFquBg3h1PRMGo1DlsOPXG3g3LXlsS7zYphUaQ65gkE4kAwtAf8cB5DeytukwfrdqDgh5Z5
4BadeAC7QXWfdnS8ttgWOaW8accyZIJA3nPH0SBgQUks8Of0F9sQiAMlCR2zB07Awn1W9nU+6850
5Q8QtsasgkOJGJuX+p+RPVb7ku6jvnGeW2b5qXeuTkHSxMAfO9bmQXTRN1SzVyqWPhTVab6H+qJN
3CpC6sg3bI/xH6KbG4UVrkg7nRxh/7JyY+c7+gF6Dv4arO+IQmmx4pfCKjkYv/wsv+mxuTL64Fol
0tvLsTjMrueR26BHtwxscN19C0nWWsyTCU3pQ2IdcT5tY0GcLxucRVfptFomgAaAZxkcYPoVL8T0
4yVCrpXFnFjE2UPnao9Fay18FahlEgPJ6dv4w4mHlQVtMWF/znOVFyvYlbn5WpsWLNzuHtv8AmRW
hxtHtDtjlIT63NlFoke7kk/EBdIGfb9RDA/WMPGS0ANWRr/DjncmFqPMdAp9mQTgKv/+kPf/JEFH
n3My/9MouPuumv8tQec//+Y/ZkLxxzwJEtVxWOAz2jHE/XMo1MQfLDBtWIWkcSALMjj+y06VIiSH
dI8rbFs3nL/sVIHyAORxhRI686Zl/y0goWnOjJy/RHXI8tORZM1AQva07r/tVKfKy7I8rOcKgXcP
j0Ixg784Z3vS53hOkAJrCgo6liPR5P2MaP6AF5571X2oAS577/kb1ceoRzaoenLazXLo2HPiKngK
XWfakFJH3/Ud+idr6MbDGHcoJh6qddtCeWDF5a5bHu8Dnd8LavmmbWPqx8hQAY8DruhlUg2P3JdQ
rPWzGXRkK42HwoF8pbi5diw7oP8Aj8sbseRht6zziSqPiW2ClZxlyVaDm+PKqJrnkYzdokELT/zu
CB/nwRzzXaOmXTPzfdLgWPCYJn3947jcmZIif487ZtQ8dc9qIHvcSIdFiXqmRbHcEDl34FpMJq0F
FAvEMZaIpscQpmwmUDfC/U1jk/5TD+LmdAPL57mv3O+dhEk08rZ5QtNp7m5JxN+CPFqR6Xt3PMfC
E4VNl3JezFgspMN02/jNG0cj1ZnVg1AkfRxOa8kNsaNSnTBLAlKxdk5SsqgWCpxH4tPBroYZ7IJx
Z5nVdKgPFoBr7kFgM+zGpcmdVUYys4grKXeFOWy65oHhbl1o7cZO+xe/bu/M5bvJHC8OTlAtTT8T
KuPbsd+wI9xagPmNBg9U4T9OVMzjWz7GVM73qf7ezxX0VNHbcyU9m42VKXhtQQqmMj2Ec3k9TjWn
crbd0Ownyu1bf7hQdHHj8eWBGOChrBkH+tZX1mQvuSfBWBfN3o6GWz0yfA/qASZvNjseX1un8GFE
t/seGc+xWyx4+jaMU4s7tnrAsbO36SLyJjARrWXvCtF9B1UElCNRX1LVGwAEmF4Mkgij/xQhZhua
tw7D8R5XrKbZiTDmpruu4rqXD4gPAeEzKJcJfB6XnCUvYBtN4wpYTbYqQ1msq8S6YIjjPpNo9N7Z
44nM2lVnNEhjf1iHA82QrtZeOxW984ZCRy89HmyKbx/qxzngU4rZTzvJghIDMdcZdMDcxJ8FB3PV
QeB51bP3Z/3BXIRgllQiuEJzllno1N+EAoGzBMolP1a6NdQTwbWhTVcRrMyBpgWuwXSEMnapuYQh
mOsYTNbFeo87uewJDNHYYBTeMaA+gZ+VqMdc6mAU4oKDfV/MLYWOhgu+DNXB5A5/DDks3lO/G1dm
BOCcu3K4G53udQI5h4e63WsYMhfSoKOqaKp13DdvdUrcbQxI+tTOu1C8QVhbzMujJTEb+sdYEPix
zSubg3ryKxwUpbNKNRxKMdXZvg+/rjW2zKJ7y8r9Vef2u8RswBW7axY/fIM2W1KwfNfKA4IwRiLZ
2mnsML7B6snK6Cgy/AWKzsulmxm/8sC88gnkR/UxK1oZFA/mXdVmcuWkxgsh6Rcyiqa2iNruJDJn
31dcqRsuHbzOdxlUMHCCGn2AK0g2kAcHmQOkZxQ+jSCQCf1kHdk4ho0hJKhhbnRcaJrTrpnsLw7E
cbtETxnGX5bXnKIGPxWwoqpOniD8b0JtvNC99juf0BYQXh6csL1ok4p3yTgdp567qYtmjsH9qQJa
sKrS7i33ii+v6UhJ07O643NGPWdL4i1mAKLqxmNnMk3FoeE27oTOsTHUkeMKv3CvPgMLHnpnyVcr
RMHxomElvA4lwg/XhoiejMiJN1Gqfde0x/puaT2NJuVydJN9qDEQ5A+Tg01vJ3U9ONJ9yvES3eGq
zOGJ0w5eYqzeBlVeu1Jeo6791Tc5qriFJDb9B3tn1hw5ckXnv6LwszHGktgcYT/UvrOKO/mCYHeT
2BJAYl9+vT9oZjStsSzHPMrhUYRCrekm2WQV8ua553wnP4GSTpauPRlojjT5THbAklGJz0aPH5KJ
XfhU29dW996dGJOoQwrE1Kisc52rA9KtMdrmQMb0YTSsKxEHD3S+uYpHLqx0d4G60Qh89NzYOZR3
1PZiI9b1V9NPv03wASy73gMYG8gzFpAAOrUhFE7djdNsaqWzm5U2jZqYHJom2SEKvHl9dosQ4jtf
0H+DSb+c0N8VRdVlT2N1FBsXfu9hith6A4NwVmXNlcxQn3x76LkKKq7/WBtKHPgWldh0qlULI29f
ysH71gd00aQN+piRcE4pIoLcr5d+KKhNbotLAi93ORpi25vGcpgruVkcXJu5pNv0JMl7Ic7pXODd
+FR58/W86VOObiOfWifDMsinayX097kDnJ83NCZqwYkFH6xSe8w9cOP13BzuTRAbqfyirI9WcXek
X9zvCQ9wqQbuj/+DP66oIm/0gHHBDmgnnzqqx+fGco/q8sHUNgV+XVii5sId8JiU40lRdl556Cmp
gx9f3zex9TBBGvAmytEpRKsoS0dUe3QoT3cJy0aUqdeN++GEkK3I6c+wUxrXc6E9lKZzczE2DEV9
C/uYeoTUPw0lXmlK22HFwFoLynYxZd9ta+4W6LxNJ0BVWfTRVS2LthoD6g1icdlZ+yQ8RE16ZrHJ
C6ON1DogyTIoSuTzzOw4kGifYdO+6iTJ014dDJrnlWuixzSbRlBJrzpwA1OnP3DPw8+KjYT2ekGL
vZjr7Bt67cVccK9B+8+T5mOQRGr//yz+J6/jv53It9XnR/NZ/e0Ev6fIf17T/OF15AP8PphbEMDn
fwxhOCCsDebe3zL0c7GpbjJkY0BkaHe4Hf+8rQEtTvMM8ErUU/7wH9saAOPzv2DUnyd3Yu9/ZVvD
buZ/H8zZ0xjCdmzdA375p3Ias+3pj+hiNqAluO8Ay0RiFYdGt4OjKnFDdR6GYAjJiTzjXeG1jVDD
HICBDPwV7kQ55iTqwcwArFjg3YMyCwEJj9kbVbnIj25/ymL2mWlIoqC9lXq6BnDF7Fpa5CpIn2P2
K7+mTLwS82ygUyafAzQvmJvwdmjxxqS2cFqupGRCjqUZfPW51p/j3oQF3THPJ7JdNQ3ZBUzGX3jU
OLaNkogsGlWEWBX0ev5A8xxYsFnJimZNq27FqkPkKsfmjVJTkIv2rfUxYSvA/ItGxk8hl+EwQCiT
yQV5HXPnuOgttEXuEmsAGN/HOWGP1FaZyaWY40fTrMJZyHElwhi+vqns6MCb+7YwZw11eBnt5rvJ
fKcP1qlG3isxM7fIfd3kb0rkPz7NeeqHnUQWTC37o0YmHPFGRMiG8u/6YWF9c2ZFMZ21RQ2RUYP8
PSI6SkUDOs9LROEL5Wxry9NOBSKlcmoGbvObMaqHclYxIyd7bpE1B90JVhVCZ2lE0SaBShel2a4Q
BUHQ4t1HGlVtC6JyGpF3vuqGUGwfoKEG+qeNqGqzr2kQWSWlHYsK90mZO1tX6U/ZXDk2+tQeOppz
1h3YS95oaNsis+MlXs1yq/oJb+SzGxFXsXWWg+T10eY4DEN9gVx4jdz8vlXRQdPAGQeg0etmTyPO
wsW47pkt4FCc5gvTTdDXifoH5qJqkTws1OCisdM3Q7HOYY8n9Kp9zbgNLdy6WEtVvbi2eScIkgtG
r1Kl54BgrRVlZ6UxPAyWyjEvFrR7S72+tn4ll2JgPh6md0M9tEP+XAvjTE0DvroS0KEB7dDPXY6a
eDIofU3yQ51pOzNv3EueqTcRDx8UX5zM6cdgtN8N/opWmkTrhP8v9qSNQy7Eu6Yk04Q/YyVIaIwd
8ByYy5QpMd/gQZmFd1uJW1NW707fc/Q0X8YUX2IjfS07FF/TlRFRRwL04wQcu622gz9wQwDTOLFH
CycdrhjJLM5vkkUqM7f0na/aRt+zk3sViTHsqAgyTe2c+MatmegEdeU1lFyebNLY5pA+JrpJr680
STJxzxzAI7NE4O7ZzrdQOd9H7Q5DSTDfUUdXwroJ4b3Vmv5kjw4WGICIPU5B3WMwtNGrUjBAi4Hr
r+St4w7aseVarKoRuYlrMtflqGxOLdfnYb5H90n1VHCxzuAObU2u2o6t4lPD5TvqW5CBzNYVwK0q
hGMdzDd1Q+M3c3WnIAcq4HRXZvLk0D17Hudbfjrf96njPCWlya6zClGlEQXkjDIKLGEuihHsktQm
XlP6rCOMs6Jgz9pCMqsM4ZQBVsIomhEbhFGDFiFmVaKc9QmBUDHMgkUSPg0IGCyWvopZ0SjiHGTE
rHKwT14zxW/0mGZd9rZBYb7mdrNtkiJcVp27juL8RxhB9/HsGaS3pRj3qe/lugr7UxyCMOvENhq9
TS/T7VzTqgz1OnXBmUsmdValva394SFP0oPm8ByNgPgy39Ov3Hyif55pmX4WccR1unnsHbHOS+NJ
DuG1UfQrBVZ1r9L4KIGiJT7lnbWL/kusXicWZYdQg9MeA1RO+i22asyh9lJne7SOUvkaWcm0C7MW
6T4D8lqZxwDAOP7R3VSVRzoG33KDsVFp1ykICMRMeEXDoUQNd491ZXYrEL/LHCcqKAsyavZwTXDj
+fm4MtxuYdYD3XvDc5pqrNpYyDJ+zQgUAiOu85HH/pFG2FPTq3c97JZkNi+VVwJqaDC6mEH5ETY8
2RxL+1GBvthWOl5P9oafTpYeQbMwqtUHx3TuNMgRDftFDNfBUTrle44PexJ0r9YQ9Nc8RT9g3b52
Mc9gUeeXfMoz9p7lLm/UXe9PcwNV2+xKVJNF5fHu7FMoFVlePoqWBiKhxDGFg4iikiuABXW7wJ8E
5Y0qtVVddmwfhoCokw96A5vgO2VIZLRg3rpSZbt2lndT1X6qSr+n32qbe1FIh4/8SvI2p4lxyPc5
27bAxhuFGWKZuRjlAzimvvMm3W6Ni/fSW+OXQ0cVzircPMjdhde8x1JuKq2/Eht97EKrAnJRoV2Z
Z60CP8lrkevfUtdpif7rg+R/mHMHT82/b465FE0T52H0wRL2T532v/3ZX+dCVFnHcWyQ5w4FMgQ4
rD8yMMYv3JxmMVegmArDFT/ptdYvtm4KSExwlxjVPP7U7yYe8xfX85GTsbnzCiG48lfGQtuDFvXP
ei0XVHv+JK5wkPtmzvvPGRg8hE7m9iHehZzaIHgwC91A+cvdcmN42a2OcajRuqxF2s2ymJS02RED
75Ekmw9NMCrjcBPk6j4aEDGtMbg2mX9Ok17bQ/JgzU7DS+UwNKY90FYv8dZxY757o/1Nj0xQh+a4
Tc12tuf19yms5E6rXjjE84OrO9+Nipti56YDIq3OIVhY50nNtvLxdUjLJ2bXU0blAY8nDz4fb1Ue
Vu0PpejicuQ37NMLyEdshH4MloSslu2NbjpGUerjaRgIOdBTq5X5J27oR6Hw9UhLf56Kfm2xnC8i
/ZP6xelSoHCgxET1V1XOt1zt0qVOtzKz0T7b+kfnp/sJTxxJ9njFPs7qk/UAImrVSnWEG6NIE4bQ
PtqN0sfwlM0JvTatwJLOTdeJefGq9MkJy8caxDF6RX627IpNFLGdKngQdnR08/YWu/Zq0A3s0sGN
/DZdswWd0H28avTskTsHQAnRvg0+ZWWF9yMYEm1Rh6N9sHIkq7ZPMyp2bdyF8bZ0BzwZ7GubILE3
Vkr0wzLdLeuf1yQw923OD7s3vNVkUU7W0IU8QJWUwtibHoprUR/TMMOritXYYscOc7JZJzO2vTVu
DGw7sNIwJemuxMWa0Y2lB0/v1ru7TD3vldwsudCJcu+MaEFXUpthxvCQZQh/O8clFuZiVWuJDcuh
Ad/Ar2mia4AOls5XlWZQ+Tr+6jMrMyPCL/NU3gYFEFIzkPfcZupPUubTvlWTu81qEAoissimIv4t
E8VNnvqhJ5Yq30ukBpF77sIYxPsY2NkFLswylNw9BA/lbsLIreG9o5DCzs4t5ddubW9GzXiJA4SI
UsfWkjsw6kPr3WokKNlkvHZDtGFtukzIQGZG6rDKTNauRSa7n4OaDJkQEkYMJ0YcbKNE7YjObErS
8l3IkdpwLCQNNXH4p2wCA4CxJW+FseDHx0q7LZv3sKRFiPfRSgTmI0IRwOMubldoI0BSs/49tj3e
t0Zjb0KlH1QCrtKZm5CSczWUVANNMOt5wivN8oGH+ikXKahede6hLyiKMKeBFCVuWQ3OVDw9AfC/
UtLhQepiwByzU8ZqhA3GCqbWyivKVaCFiqbzdjqJsv3heiwGq9o/+JWVIWDn1om14nSK9QbT6SCc
d8+t3SN7+mhflHNFYqPa+wbPbLns46h9q+x6fAK6eZMugf9QqLfC5OYYKEOCU6j2jYZZOOrVUwt+
WjS8wxwx7dPcfgwFIVtSEGTMSRvYFouOsVJPpmbvLV/hi5sad5N5styEBusFOB5J173Cbr0XcfJU
wCDWPHLxFqRRnDgFniS3e8O0oy/I9D2PPRiTyOGtckWtwVbbFtXS8/N1bqNepw2eGKrbopl7mX03
cIw3GXpR7d3GiA040nSA4zEAmRGZNye7saNVi04+R/h2Y0yNXtGvTAuXlR/z3HEvXUtBfOQ+N7l2
rCriynp2ER4PH52Vrd7CBgHv+a7i4lIIYsnCq6aND0xY2HdGqD3FIVACcL9XwV0CbTWg6TX4UdaE
1YV6smdgWtjtk6i+8uTe5FghRq/0dhHf+9omGk/02kRhYqR5dTvvLuzlc+aSyR6mEoplRuW23x/K
1t1XEEnWUVZTSqGt+dF6mziAJVSn/V6YtD0GfV8u07IluhHEu27oqwXd8jsvSrD523s9zn20Nxsb
h/dJP8UcgyC/KLj14kqPVPmoJd7GjeZPJB+n3vyqbXbTSfkj5ymV6PqmxEk29PFb3muXANdB75Ww
26cYpbZgpkxtQNJ559xTkHs/dQRaCnJ9gN0GuWzdatsVLipuUy59mT900WcXBWu3nz4Sozkg1vOi
ROVZ4mqeUVyImmBh7q2Cc2GyT2VuLcmt7T0MY03xLAnnU13wAL7l5Lb4kUhW2Z489vHwMNhdvgoz
sl8KAwcaEptAMmuo++QWQ8iwOj7Jsre+Kn6AUgyYJ2HaY+zfphprpF4MZzEMJ48TBwdHuIL+XoEO
w2EYJhpIZJ7IC08UNM9WCllZTazhiC96IfuXCOBE0W7SqX5vsLlL0QEg/OaY7F+zcDWa00bLOhrS
5NNQFhwz9UJV3TYb4CbUEm9LkrZYNMp4VQq5G4jrtfW2SxWOXHcibO2+i4aaH+OxxojXBjMKbJVG
45rH00FQ6dj74GLCjywlZokXJve7q8vQT8XKTeiQ5u2DKrXg4GfuWq+K06S5L8JWWzcKn9063TlU
Regj6ygzr3aDW68DntUdPVgECPy6vhZMF4oipXp+A7ktEwQMVz0A9wgJlptLsy9MdiaqzuabM8sU
oL78HQZYPC1GNq+NnwDscIHueJAqJJ8i6dduLXwywOrk2hkmru4pw22GBgNGsOzm6BOYFC4Yd9yM
gYFAsGYmeqyjBPyXOtaFWvY9eopV6x/EH08juprfGgdcfdTX683OJ/hlGhUZB91bZz64J8lKV2+I
4JnBeZL2HPr5EXd4/4fZ2JwOEdVNFaGnsipWLsZQw9C/tCa9t2fqz2ztYLOtrTEUbSs3gLzb7uMG
pzRM9L8+xP8/6cz4XcwlT/7v/BkPBcXG/z76/veP8I+xn5megLvP44tJntD6H0YN45e5yGLmrSIM
4JZw+cS/m/ctrgsGv9vhXcgawfiJqWrBVDXANeq6MOB3+MZfmvvFvyiOtAUfTvhcJMgT/Kk4soff
mnd2Qi9Gm63NGhdpZzLJODErJFXBdE8dckeuTytPSZ8MTuIVBLCtoetPjjN6u4KjAzmF7of6qrX9
XoN55YzIw05F0rOo7yylrR1hPreEvckDD9c4sjHscUaF3Z02sRbN5LQhmSsXrgg3Lj7qwsenPh9x
Vl8xhZrdF4Tiq0nTGoehZ4rnnsOxqvwLLNB1Fomty3ufaCAyE3lrnjjy2Z6/dDe70RCo2+bZZGYI
jI2gFIcE0dR/NTE8q1GuVIOGx/sJ8ZCKmFUe7EfqZCWnecKikb83lc/uRIUMi9xRW7fzyT8ar1hv
lmifm8z3T8DiiUMyJcCS9A9TX7wWeQibjmxMzkxhMVs4zBiWN7yO8Fk4I89yHkLcVnc3LnMTYUib
tET+JOaRpZ0Chj+GGCy2xMda99FmvhEdpQMdE48U1dMwIecyfuyJDssNi3CCqsxJ9lxNmYvxpmGv
eOp1evbChoCYnzr0f/r6tKmk9mK3AhRNhdQLAbjYFtNMNmBeAf2jEbJN42993/BVI1ckLMY2sU+U
uPGWoF9AzfhlgIWP4HsV9XRV4AOPtJYgkD/n1fwc0ajihb6MB+FtS4mCEkXmewVxmppaWgUZJk+6
1ingAKLAUE+3tu03dwZLAN8bqRfFgBPqBfwOw96q6K7JfqTVuDTa7JREDdC6bUvBkwSvdbRM7TiX
Q3bwPQ123TlofipbIJCj6s0+NSmBCZEtIO6pouatLs+dwzcDB/ys5dJ0TdtWqNnbeYbTa29bD/66
NrT9VHOl5CirnXrLgYX0M088rbNK+qfOiJeOOpf6lfhUsy0g4VaufVQcTbrM+MHZqGYpzXPTsG08
9RQYknZRrE+YnRdFSTibwqarpbc0oQIwzBkBHMgBLogZURDwzmeogMYotvBm0EBM07kePDPIwB9g
t+yN+dpsg42pDWsJqSA3GZEN2AVdzB7G5RjoZqxBkE63nBWDO/nUMPhx+NzOEAQbGoKYsQjxDEgY
SEuMEBPUjE4IwEtK8lo0vN9M2AoWjIUw8XfJDF0YBj6MSwRp3V3CxnkYoDNY2ORhNbi9+sb95Sxm
iEPognMoqHTFs/VCJPmlhvfgz+AHDQA8F8n6bYIJEc7dqMEBNBoxVpgRlRIMc90eMsMRjsNB+OUx
r39kCrFtRk7Edg02EwoFAPWTIdno1q4HD4muW94uMdwKC35FAcfCgWehwbXoLQAXoMm2GcQLLRI7
OSMw7L7UIELk52B0rhGUDBtahi0/S4vrNhKvBUuDOGnH0yQlqpntamgbKMZk133j0sLhACyETZw6
XBdCB9yOlgJ00s2wO+oZ4lFMlnseA6cjK/DWER2Bf/eD9peDx5ohDAFe6BBBaoJUVzVDQiJtKsCQ
8bzpIYgorUJkz1KLLbSh9hC5WqKUyUcyo0dY5INJnnEkgxa4z8UcegqMbetPb14u8n1ZxMlaSFSG
JhO3OCWrF8c917XqHnTwbSTzEsr+pUg7Y20gsVLQRukjeQyexJX/5ppYW1rFRMn1f9IpovIVeWMe
gIbqdr5DbCmtb3GYH42a3WBemIz0IHl0h6hqYvrLQFjPTlUOrHTauZimoswTA+wqU9FzlsKx4vXp
c2vDL+VOZEqG741OwbAXwFywR5rgh/JVxJ62g8IpFzVWL/KUcxZA8ycyncBIF27F+cNrWbCBBLym
wSIOC533xXSyimtPQEWw9+DVjkfKcrZc7QjDE1GC6ZUu9Ol7k5prrfONQ99y8/On+rlynW1pbKVN
Gqjqh7MRzHb0eOtC8iKv2l89/kJpWJ0aibhLnA2zHQswprILDXz7njXIErfKrY76Z7MldRxSMOMQ
NFgi5YEWhG3oNea9O7hXzfoWTMEmD4atVr3pdvQYeWB/o9JHoOmdjRqT+GIjjYnqaBOrXDSjvYvs
4GEOCEg7/FZXTOqAahGKF65qlk5/dpozRs75XU8m9KIDgSgi8jZYsbN6PGup/Ub6kmcUF6xIJ8gi
gznwMVoMq8Nn5BkgXox79G/O4hH1GKIDuyTUeWIHkKURlr7jsErpDtWi8WBj95FIVpH2I/dNUCHv
ufQwVpLboy9tzQsbQ07pknYj6IzxHQItDA9Jg0gKtGaRU3IVVO+eQ5A8JNsnTXtf4X2KaTTslVpn
beouMtsGx87ucc5JWeJMRGOdeRrkjDRZG63ziN40tFz4OOZJErL+IhCCvEcoN4uOYrBfdO+jrqCj
9HZL1Ub6kGj5i+D+Nyjn0Wu0UySCbuuHvK7xSd/++mT8HyZvY0fQLdP4twMvcePxb8XX365yzObZ
92cDxB9//rdxl75zw3cgPZlEQrmCWH+4H8QvhEOhNjku3n+mTQeB+fdpV/9FkG11QERRwKbPXej/
ULn1XyxkRywRziyQz76Iv9AgYDno5T+p3LZwhenqro3GTn+YxYf+s8o9YnQfPWLtRMDVGK0DXhCN
5RxcnpCmCF4nU+fhAiPEBHNTDruRaL3ECcU0DEGU2xjuenLpHmk2divKTG5N2qCdZEtXDGhsCaKB
zd0dCAAuWnp8hVIQIVp6LVxwq7nSt2Ik3tQG2Tt7o2+V114npLmApJWF8VaFBS3i5YbBH3jbQBYK
9hDXY9zPh1HLj72mDrzxiAc6/j7vGUYdaqRBJurQHRw2RnEIRpmhIj375P7wSuXTSWu3DPXLsCvP
eL+B8ICxbHuHjSu4PYAITqAfK5vLJ8WlcXal8BouMSnc9hu01TNnzzLnSsBNByToETQQfQnBYSAl
bkfO0dQkihfY2dblQekTxqUismGOJZzqoQq3Y4L9ihK+sj658qMf36fpvuv5OPcDiRjurQvdG+EO
QzfoK27t475g/mzWaPj7ZIBVrjv7yvzAMbruE/Ohi8e7Ohk2JkXILAXcNzeedjNFKEdQK4gx2c64
8rqjOdL7mX+TnOp6vRP1OyfWVkv9O8hPm95OXlUL6bihPMLciQw0dtPve7FPhbNGL1jYbczDiIiq
5bNNeHdpyazN5VActapdFqW3LaArdRBPKjrHLGlw4+8WGZE3io4efA2OrJTNtbKC16r6ajNKYLxy
bevODkYaVJpvY21sPKkTFNrrlLVz9IpzGOxqOBeVZi0VSCYP1T3j9pRk6Yr8cq99K3iFDBRHKnTu
KWIGDhlHXcBW7XGmEtXeAXyClo3b1tUvjgF9IXz3vAfdCnYpidDuxdaeNUIvyli5Y/CJC9xz96n2
pLBIaKlJswFLFMLNNvD8nikBxzVqEXZfCkf1ddFS+Qya2UIj5RytRrnoq+xOInuERsX3dtuIsx1S
rVNSqbqCWLaaGal28UofPIx+vA3MhmqNI/UFiDPnLGX2MFJGzpkxewitXVud6Xd0+zcA31YNMSZC
bLp47TEzd/54GPKjPp0GSl/pKoMP8WUldw0deCgeSockhAs9GAioPDQ+Z095zi36DigRd9hG0bzL
4YWJeZzRwTsjZHQkUdxwiixz8SXoNvOxL7X9iS0BOdaFT3sUS3dtvlr2Z3QaOlW90D7E3bTVyRQY
YB252u9GomJWgc/VPo7pmeviF0EhYx2km1Z7Dcxjyi2ulzeeABUdQjGSTtxcTWOVQ80J3G8S5RQL
gjaQ7PwacV4GDlXbrwInSI/vHRr4zH4FG7zMxBbI/aIJz2Kalh3fNx4VvvnIHcHztvA82ajgjUVa
AvFFK3eqbbR4C+9TgKPQrq46gh5/6AcC7oBB/HTkJ1S8FX6H6x6pLYw/DVQ4T4M8T7h7H2Z3Pwkl
11+zH3/L2+yKvaGp/8d/QZn4+eHrmcYshaBoIIWgN/waGfn+cc/+lN9t/NfJluzfXDxCFGctzsfj
6/H19TwuXzfF4nze8M/dZv/4uNif98Ni8ZktF98X3eLSLb6frou1XCwW6/VLzn+tl5f18rBb8p/d
1213W+3axW13fD7+mkL6Pvz38LP4F1/wrLL8dFr89gXjgWUhypdOVdg/nxa2CYUDJjYXDXyaJrsg
876BX1VHu6kc99CxOn1v8oMaaAjNeCBQAbfpypPuxOv/y7fuX34h8ymIMkxw50+evbTqwBrgW1rA
w7lrppcK77Jfs2DqiPVRchFb5WOQV8Ov34D/9k/fgfrvByqAn7GKw6j50y//53/YSAPRb37d/Z9Z
G0vM8Uw0q7Ziaf/zMPPbn/xtksF0aXlse3SDMUYnTvUPGyedRjb/+N6s3dGH7vy0rheANWav5m8m
Tv0n2U7MGA/gkmBefu1P+gtzjOvN6al/Sle5rseAxWcysYTqzvzvf3orqRSCSxwwgI8wrWLfZcPq
kP/t6AKv+z5YllX44XFj2VcFhn7YLd5FtNAk2zhA+oiwL5tstGT5aLtYMLV+XRFBhDdMDN4AIlAM
ilxyFu6SOv7sWCD50XiabwiNC5xd0riBM6sxWBv2IMFvHnu/xirPDYo2yg+ReNjuWkvNGCIG8377
prrWWInmK4j9b1qWv5ZD8qOyqYTExM0h1zqv3D1YAdjcqrJwD3PqXsXcOiM50QhSUsJH6zNtY9xH
4QWohpOjxBOXDNGTjV2ttcRuqqtD3kEPMpJ3J7A/pPPsDVXEqVWdo7JjOpquMY55rx7vmU+/B3G6
tvL8AM8cmY2Db2rGiwg8GhTwcPbcoNOswotTGPjTB9JQQf5jCDzofN8IksKpyHGbqZqkpNW4a8QS
yg5DfeU0abiNk/bUWe2VSuiPhsR8aErYnPqx99Sxy9pVknHsiYCio7FKdqTB4CMp4qRduDPNAdpS
zI0Yqk/t0OknK3bjLr/KO4m5vbwRQ6VY3nOW3mBdola9Aoa4xHqxmYz8bhTTvT1UVz/Tj8kAfEDW
P6j7NB5Sy5dbFXR3iVHRDVVPauWqMtp0rtqOZUaIOFjTQcVEaRbrJq0wrpvJKk4YDWbEXJ5inurZ
pyXpyijTYTnkb2bJrkVW0y11OHe1GaY2kV3u6n5fpXCiXMDzbbBPWl0ecB1/mnWz0eDBxbq5irRh
lxDChSByIZ3Ai4Nwgiy+Z1W3G320Li2Wq2RC/9HsfB3I5pTWH8GEsMA67b4TPsV0SVdsY6eiQpbF
nIAXkDYx1rVJ20iLdazHDkqxIoFD2dkC+SQiyMCCVxMjMnWpL4vMPETecCIdDIqY/23dU9P5lXX1
Kc4GY5mMQbxy+m5NBmc7EdExk/lyi1HScaCxN6h+ChYSBZa7gBShWTx4MY5ZATG0eyllSiQYmiMh
njIB3JLbxsphOT7ko7YcfPlQZfTdJKK9sRY8GBlxIkbQiNZdH5NL6FEJper8LQ7HW5urz0n5p7QA
HjgvBXZ8Iu+oJU+WF7PnJWbjW2XF4rhbJkzVC3/Cv1DWmPxQJbdO+cxgXB0sPz3VUcSS+lmzXuHc
9osQzr9uFvuhyj/8YQSQPjuW6bVObr2WbigiP83IEbqBNxkhmbUhh5fUf4k9nydsAH2Sb/iYKwCv
o0Mxg/lpt/PWOCnllrUDjUF1+UKfCXNXJKFQsfY/TrLdCsuv4OmiPMKSQWXix5z1OBFzNOd45xmf
xLsFtl2uXKmNzD2yJHXenUw99EXJ2tri3uDwFENEDox8U+gPwvjgeQk3F0rhdIhxF0tycZ6Xrmo1
PozEEZvkS7coCMqpstUgv/BarZFqok/ZzfrHeMnNPl85tfZVpq2/xB5xDoRPxNO7Rw1Ephjf27Le
zW+CqD9YLh/Glv64RaQrsJ6Un/ASjqRX+nUCpE+Pb7VJMXiqqZ2c5nZF65CQNl9VGixSG2RZVMkD
r9d7nKxQ/wfLf+i6ZuV5qzzemM60p0VmjL6LoNzMjWhCq+76iJTLmK7LODqyZyDbFqzcJDhjsdGW
E8K2HaGvNJLcC6+OKYTVSliJHmRTDJcwoh3KOKhYe3ft+ga6ixwVabMwIG+6oVV8Nd/I7H1Un2MH
luPB6p47vNXlHvSq4jkc57EN+oafwIY+uaB+41XrAvYJrpqu7nXxFAAAaZ2nCPGF520IY5irLGB+
aYJJONTQ3QIjgokesW3hvUGdb4jGXQBaM4O3KAzWPHPr8cErcTAA7CDEyyEE1JPGaEzSbXk2g13l
P0bZnpvItrnXi7OR7D0oc1pLovQIM6OX907tL+J+I6S9zx5NqKOOxCJDJ60eerccC9o4YO1prTtp
ET3+Dlr95GJKoD9xkX7qECgGP+VpkrJOmuCtRMWl7rR1iYjtTkzMFI1aL6r/YbOhyTmuKAKhSOwd
c3qxkobJ8mpYdzg9bHGcUjV7PMtHUyTvPYlQ4dhfVT1tAbv4GXVibINTd6NDrK82U9+ssJksdaN+
SXuADzCUy02PtXSqEZ3JKmQ3g9OgV486N2qPRYBOk+FdGlfsYAx4VW8xvg2uKdQXFE9xdYID312r
EfQpJq4T+FBK5XWIgrp8rhBp9XbVvlG6pWilLUHSHOLhTadnusmA2T8Nf9/xsMcuzyLT1j7hs9EZ
b5DGlgOdborkhoiqW88ivjKtfQmjVTMzSM0VhU5hu87yhNv2BDdEIfP5BSqGl4OCyCibA2b5wcnW
IBYnX2PUfxOpRVMY1YNLrWw/Bse55FX/nvX8sIjqrnKHbvRGsI0I7vVWwjFESUkqFkG6FBvTLO5s
6hJ1TM4QaQjwEvBcYm3bBx2rSMZpKuPto2Wwk/SzClH4bObRySzevRBNxHmlmQv5ZNiQwYPyU8qz
UYyPPhHhxpn/guWcsJ1v/HdiZMFTlA/6WD3Uhf5WluF1iLNPHTN16kbFAlr5uegpvKhqAuZ4qKrE
WANu3ZYpunEz/chNfgM6iFmRXmYHx0qGx3dfDCCV4/rgUm9YOumGnVy3CV2d4nZxKy05LPPocUqd
MxMXCx2EBMqKemxDpEVtg51pbWGYRG0eGvjgw5c5Zp9mq+fwOUO63GN0lPb7ZEng5H0Tc19Wz+kE
CWv0PsLBie9EL998VleLXPJzss10Vyd9dDHkGFBDNPBQ8rPv+ZCQKOjUfW1koKklMOEh+EG9znQh
Dr9zR8XIVnYbM5dH0v80SVHrhqWSpTFtVME0bUblPNv1FO9cI7jvqNXux/7RKNgrTSNxg07uoJ8Q
qtZORASXfgHqO0YHAHvqgRljCXN1lLkZ/xd757FcuZJlyy9CW0AExPRoyUOtJrAkMwmtAgH59c9x
u6zrVZV1m9W0rcf3piJ5gIi9ffmKWipvIvwyMgxuyva/67YRBAbUncnZYe4JCoOx+QoRuCwuThb8
+K5xVwzYLh3L4ETjH/qufsVFxRtIPjSZ8RUZUNpOoUgHWNW+NCUArPhRpb9rK3MJxINuTE+uIqIk
RXTvYRtajXz1ODycsUkdEqP/U0bctiEvL9EMAGhzGRu9nNVk3jFUoH+zk5/Jsj6IpFls4ddO1OXM
NAlZnO7GVny4UT8d2Gpht02pOmDlPLZXp+1Uv7KX+ULTJPMZwV63N8qQyUDe3NkgWsQf2W2hKx9O
JWNIJvF6N5VVdfVn5iESsHNL1QQ9EpNYFbPdbMgjdpuoV6zJZv+sJuvebJaOmtQxX/uECCGKqo0A
H1350WC+BlNsnSqhYDT9R+FS6uDiZmFpwaPN7c6+vf/3x+j/KwETYO3/8WK6+aMY+v0zRf6fv+q/
LqWmC+qNpoOcA/MIi/vl38KFiD1sB2IEDpy+BJfpyt/H60DkRAeX4fpSwABT8vfxuvUfS7xgUccy
Y7eZ2v8743Vm8v9yLWWIL0ybZCF/TmD905xiBkXA1wifHKvI5uCuGEjF+4qBbEtguij1S1DJTWv7
DJhL82o3Ep/RV5Gw89NGiqTCz54q5hicvKnaBb1/iFOYTtWN50GM3yF7QMrRAKfN8NOImOZlc1Cv
c2HfitCj3jreDPEf24t/7Lnkc5urcxgNPwwqb0bG78N2F5/H1J5Tt4Alj+vnFrVTZ1kz+0RKCGk4
QA9IWMgsOf4VV8/Hagr68buJcC3UEa05ESk39wOO49Ka2B0S/vSawytnfr0n8cQ6Lm7OaSZfLBSS
k8Z3VctN7AwvpVuio40Qxk5sdinjsnGHabyzxGa4j7FUUI9OY73lfnHO6G1ATV2cfM4q68Sn3dyb
uaUajvtUVajhstm8nz1xEIm/q9P+seiq353Dnisu39ou4+HqHwzX3QklcNhDOqbM8UHwL8EIvG1Y
z2UX08MFbFFn4QmZRnucS3Gaq9BeOc4wr3odkPAm8ak0m458gd9cd3zpm+oUQsX5Cx5XkVku1fJi
g5zj2ehxkcheepi6htJfqgfB7MbMTriHgN7VC4Q35f3RXbC8vM+q7Zx0Wxtiry2IsEHwDQWnwxYi
FbKvCcej4XzmgeaSzlZzAQBdRtE+RCB/6GuUqL2AFGzj5hJCDjYLQjib7kmK3w5kYW8RK4I07AZk
55CHWf9rhEMcwCQlXGKbztsGTrEaNx27U4y6XrMfIQEhGXuIRs5662FBHLPUO1T4zCAf0zJdCm1p
QVqgyHLBIxs4SeDqFT+t51yXL1HJlsaHSYWrpLuEe99XAW1JmQeO7vaz7vod3MwqI6ZVLHhmSvgb
SSiUXgC7aQ146hyVwgjRRrxLtFQsXoA9fWeg2nC8VHhPRcGaI4ULxUi1LxZQFOqd4gH7x/eobFtQ
UlZw5aoALZlxHzAvpgFiAU+nBUHFiP4U9OW59JytPUVPseVffJhVXqjnivMWn80nG6TVjelEbjyO
SUCKnfU4hCaDo4WCdUbio9ZCxiYgsn1q/UpzY8vnrm7qJwVIqypG7T1obTea+bpcaNvSCau1A4Dr
TbxEQgJwM9UyFONB6Y4Lr7vMYNI2vhEsJuc5rTPA3grAVwH6Zhl1r4386WX53I/+0WuCne7b5xxA
uKgZrgMM64UcZsP7p7JAiQ1qtcPBPQZAxhBah9Sb2Zc4eXrws+HOWIhkJ+OKks3jcTIAQYOFW/YB
mBNA5tJn/6dAmzGAIHQvz9PCPId+juATsiw38jd7QaOrij/cBUpAW79TIQJKs8z4pCbsCucwdoA5
JM2bXb6NWTbHOchv8tf+mUU0J5RnDoLAveUbCd69uOoK6QI3J73sr1v1JVlnTzI5G1wXbfnVTStT
icdUEy/UnCjNjcVCvFs24zkr8hm4gW3V1aBheI70pkC6XcwRDiOW6y7XOLgBmkol2hSax2oGNYH6
VIl1QjgRw5TYOKHLtR5MJheMOHC9M3zK6BYlDs5PabeFqGLY+KkiQfiSlZqc6YHkwB0l0ymHESBb
K6P4t6h5euXDzwRJUC4DQ8rRsTRhYltYg1xcrPFPZjH/oDRGUonJQb6GT2jaXO+VaX3kkAsjbbo1
JINGWRM4Oxe+AaGCbHvug7Rha9jy5xpC0THWCioiLsJfHZSEUWBpaw28M85BTgj+JvvOhajIlYzv
NIwFEJCxBJA7Ornj5zTEaDLuwzbYhfaXD6MhILtrmI3MdUERF4xjQMyGtiG5CjW9OkH7MC7IBwfh
4wADkpfAwuNChXg8bOyCRDoCuABmJHCm+8TpnlwmVXxV9tDInOH6q6oybJJEZtFUETCa911q9aiS
hHkKZ701VcefPpLNyIBXdOzvZwTC/Kv12hzTa+Doc0NhtE8/JJ20LGQXGEYnYlg7DB8jrDRcVxdo
hmQk/EwdJcXKScjhD9A1LpRNsOA2WDkQoY/fPhwO7zRsTguaY+UE6UtoHYRKE2snXlZRg2AU6obJ
HnQPiGiw9pviM1/An6qyKIOesbjDBBWwQSGMkAUrxNCZawQzPQFFJIb0fUBXtbJhjLIFNooX7Agi
gdXigiIxE3pzZbbj5AILrh8XH1fp9c8dEBOTFCq8jDLdYtMp+TDOHybIkwU9Ug/+K0gfVfRLO8+o
+Cdbi3Hc/ss9vljIvcJNUMdi51UzEz9mLnyHFm/5ZEdfhe/d3KYgZzrwOqYkjvCpyncykGurz7dG
G9+301JiXIZU7gXh2+gzKfMd4z7tNNFtXRW7NKGsY8jahIKa7C3Tmj2nCJgb9OXF77hM4xjdxugM
sfP5vBuafeRZ2G5yQY01xGo+cDfIqVGQYXVsC31LuC5aNuy9TKeW6EL2ktvcl/nLEFfyH9IqfigY
8dYR1HvHg7qzl/bNgFJ4YnhVe5cn/IaxSBCYDelxEeS3GTZdPGhk6QOoXdc3f2UdV16pKLqN5Ta2
xJGq98cmBysIKH0lPatZ3JdR8S4yEnddS1Ce/4Pi5v6pcr1Lifa5HMSOzQhzIZIE6XzfuMP7PPv7
unTejSrYjTNXSLNoL2054hnKNiLQJ0mEJJCz2Lo6B8+CXJzH6iNU1nsnyKzBcdzSFku2ksF2kK7Y
QKtuTVsBCvG9bRY1FAEXtU3bmSOeMaOoMLmAZHN5q+nAnEpGRFPC58S1lLky6uixs8c9PD75riL8
8esJLUBpnv08jshPkP6pTfqGQESDFZZhVq0jXcu2qvpDGrSPnstUrqaYQ/V8AWzzw52hyqJm7Q3v
Hg1zVJ/zAY3cQeDnobOH3TEX+UXSW3Ko4c5nd+zes4wGwRobPpRlty6SnvagnG9GFrwPwVdcNPXW
UHRNxP2hd4ZtHMXPiKGosGEYTR4w7P5EjXyOOWbS973B17OeYe8SBeUQOodg1ADO87hOKNebJpf5
kHsQjr7T7IBFoPapPz3xSGU9FIuTmTGekE139M0lI4TINJuaI9/Pp1I0+2GQd6ltkC2K75xYnyuZ
8PafBE5w/6Xx04PCjULu6r7UqD7Kvr4PI8rDIauWcmv/JvlrlBONQbXnnIMohhrQ1bn2G70q3faS
Bv3JlDaVJiWwBaVhNYMvrzNofLWc1ezdQSrv8yo89NNwZ8v6caTdlA9evVM8lQXGnrT7mhljViaM
BM2hfotVl0OTcsdXz8vOESXPvakfm9rbWr3kfJTgPtf4mtNcP7uh+jOiXDtGmf1Hqumx63hQ1p7e
2wueTT1D5QWbjPaVOOUiknnLDxNbdxEFL6QQD9qJbo5JDDbT32VDK3VIJL+rvmftMKodrnUr1q6j
iYT6J6tuN3OYX9qu3jJEPunWJgczXKdKvhPA5XVDpRkdEIZhEOdXj1QnbTTwvfayrQqCrUDVOgAw
t3bzx6eAVVo0nbfONqlpdMh6+1amxQn/1hVDwUEH4bodnL07ML+W4sm3aDxN2m0SklsxKBctumvb
Ihn1mYYnAj8sdQCboadKGR7w2rfBY5ezC+Tcd+dp7zbGoAehZpeFCjBK8ru0YfDWaLqttcspqtOb
ITE/VWnvhcw/Uq/F56VRj2e7xjBOsoQHkSE/2YA09VI2OW3YE9yrwP9sgWPQJr9mLccQFmJB2l0r
b75n576Z3KZly8KJStnTyaLZnB/lO1L3wCH8HDYFs+tIUhoTkjyt+f92cuJT5xrFO4OQ50y77Dwk
R7fg5GXJhdsMXAYfDjfvCalWaKqFXiMh/Agz51pM057+IZwbg322Rgm5klybub9OQfRVRYR2jE5/
0x6PiThtJbhK9uEVePhtFLSRdO6GStzCadhLkqJdg8jYZ4iex5+Gr3elHezT0mhXVEedjEQ/4H3x
Ng2dSEzct34Rv/XmdGAIs7KBbeq6vKW2+YdnT4UAMVZ7nHC0fiElXCWleCjpn0X2tfe8VnNc484M
hcWksviVioThujOtKD1H0pUfEpdJYFrlz/7UT+BUkh/E8Dy2Pe8Ie35KDH2ymvYm3IZgGvXjmfij
SxvjHKOjkcL2k53A1ooGSs01+vVs219QwI8MNu8DdhjBSHjVZ10a8NBN+KrMXYMLPXnIbOKqRC+f
ouJLi+baKmbMZZieJ0apGNSPCk9ZNxonFTS/22GO1sL7liI+/N/M6C9Flck0hUHOf08zXH6V37/+
ZWj0t1/2t6kRoyEHsAwWCXIf+nLBWP42NbL/g0ENeX84UBgCG87h71MjgE0byWxAQaf07X9QD9hL
tQjzHWFaQA3mv6eKBaj417GR5wIeWtTHIB7gVfBPNANtOAQmTMnBcW7o7WBgQdlHv+6qtz4X9YbW
kXOugo2m3RB/Jo5pVCiPmIIow82LI/5qa5pJACR0sBvJ0zDM2NQLCg4TKJD1yDSnpboRO92jlzqn
Plb9KXbR03TzITZ/uAmeQ388ttO25uGzWF2x3Xnlg0mvg1b7uZerMf5w6tfALPcZ7GU0QhQQM+Ko
21DtVdTbAecAy0tCLuuQ9xwnW6oLeis9OOITsSgizIbwMPVRqANGffCGEjjU23UeLzFuEYF/s91w
m43WWtc+Q6SEv+mHlTr0bxT7hGqQTu9GEtO1mV59qsGQN9PpflXQZCZKWKYdh4QjOf+E0XhJe3kI
3ehEdOFai/GpTh/d6G1p9GsITKg4XEuErXl98AoO7d1wqL0XVb73bNxSoA9qztWTa7H/dWgLwNUn
DZYRTFSs+2mpH0FUykt73FoywuuJjqEe1kS9raDYjoCKVKWZ2GDe3VHSH/2QL9kV42rRrm1lKau2
ANvVc9PpL0BbV//USh4iKoAjLladd8rkq2IlUsiXbE637lIP7/0E0ISB4HyZLupsvTbA8VsdbTvn
mEyrsqVkkNSLRxAJ56awgF1fU5aWpvuZ1H8ivkt+eFdwHWQkvrLD+RC0NGE0BSVdX3xw7qNy4GsM
c06PVU1yn599vpN8C+9pkOEk5xWPBUcBtIwlTzA1TNuAt0pk1JQib7r0AYB512b1OjU3QUMrWb1B
6UoB1r2AwDP8I7G4txr6bZ22+OuXhCn9nSk935iVRA/Sa5OzyfeiplrEJmTBv6L/GKKrBOEwx6dp
fIlr1D/moMhHuJWH1jIatvRVMFAIR5eStOyjIMtAEkCv/EI+gAG4JKyih9hzT+TjJN/04ZWbEDfT
gTmg+gHj2xp523NGsNwtjPimK8djr7q7DmM6jQusWYJbUGR7ZrqkVFlQmfzpmZrf82B+wilxnoyB
OwWXDp+sbTaYJ3+0LqEfcglXxziV9JDV9O4kP10X33ktkWHbesqM7KcpuYenpvzR8B6EqsmpDB2+
9E6dOH08KyF/nNrMqHTEyzpNw5Ut+10q/UNkLzvh2mTzFPN17pmYTLySGDFFfA+zk/bsaG1k05dH
v2s8dswxBOWmLZtox8GJ30DxaBGU9N/RB1ZELdIs+uy6BH2nLw4QFckGUQNQk40MdtJ8IzOrV5t8
pAsE3OdXb4qHLM7zu0x1v2qf7FkQv5TZBjstg5LvvPlk5CnYeIfDIRLR0QmfyvyxHN4skOX4gUQh
gOqvsnrmzEz4nqKZei0ZlHDVJD0nuNRwJXDoA0wupP0MDPp4D3AXp/oU8doufggN2Y2GsYA5ZMFG
LYU/Pjti4zfPGSnEME1OpbEnxxiBas2nObqF/JKcl7ucT7YomHxMXLrvzVLvyWPuGMCtSOqtreBZ
c7fgdsRosb55zcjidG+NPJJ651kv6z6LH/5s63CC4KSzj7kzTuUh522f8kVbXG1EJnVS3MpcLq3j
O4/xCT9lICzzzu0+w8Q5YCNa1857HnJcPnEkcW0+SY5aJ9C6JiMUX2QHQjO7BoxhGVseTTDc0F0C
6Gun/MXkJ0q+2VhPbGgJRoP7SBZVW9Nb1x+QYORGzjRxNiEWj4vHxG76xCiN4JbZZzWtlPsYmK8e
dU2V3mXeO5tsMxIMkSmWqfddPL2iz+47hBZBOGSsPO1o68YYbjs/2jWKL2E/wbA5YEFVCbpkXQLv
2UO1EU5PCbuXJcS1jRbsPnyV3baThLI2Tnbrl9/mhlXjSH6yT3sAxZ01P3Gd9z9oI1yrOye5RLQk
LzeOfcfKdZz56n9SbHSn841ED2NVZnqjGIuxKrklxjHYnKzMfI8SjymH7xbUnRLJpIguZDyyMqgS
6AlyHkQ27WhRXadLiR1ldimldsPSbkd6f90E1AKkG4d7lGwdMgJ3dim2xfgLsIF2Stiz/Cz8NfdG
tNBbeo/pU+VRvsimdkwjU57r7FsSbzPlQDy7TCN3fkqW0pyzk3A2Fqfe/pMwh+jo/43XpmLhDDsW
LmUmbJSZz8QVdc3vcXAw5/tsYEbYfAdfdrtVFiKJdG3gGi744A2vROLFTidnezhTNEPbQOGtPZtE
8ZnVfcMdNHyBNbfjbY7PpkKblxyC72J+UMGem2ZOKSjrlPbLWXiV17x5kOHV99YM+ObIWaXoyYZz
Ox2l7e0luX6nre+JST0lUf7LWGoRTQbNMz2JPpaFg6vQm9Cg2BqL4GFn0avYzeVBmHRgtVgnZW7t
eJ7eKVoYe6OJro0Gr4hLk2czSKNeB+bAH8wT7JoXxu+poOJBz/MhC1hJBTJGzBK7ciuhzH3RjHtp
hrcQOGblmYXeSgMcbw7U20i9bEjeY0oi8IpY7GfLeGwG474eeNJRCPIZwBo6pLtqQaLa7vIrjcQ0
cMqQ+mv/Qddwy23kXvyZS1Gbn1vP3qcNTUAUCa75Fx1Rg5+TLqQYODSOveO/zI4kcD0/CtHvDUHv
dksmInN/e2NVbVKryJbqrgfZmfs6yD/Tzvws7OTkOcXeSaHcuyn6bMaeHC954Vg9jw5vcTNHEN4H
6XeEVK5txQw7w5tJ8wnkEFRvJ6dGfGMMj/PgvgHR0ZMGG+frMsPslGI578x+VWXSAsDKD66dvpc2
hwQ7A2gwzWHN1/Po9fVNtNqGk+22jnTjjax4DLpNvPeU+M4MDxWgtVuovIw7m1eLt27Wl6VqtsqJ
S6L1PmoISjaP0QNbf66eilq4bs4eplq9CIvRep9Z84b3U7Lxp+o5a1D6Glo9T2nwlCREsKUKeErF
TFwHeNclp7SfdAq/Wp4ifz7q2joIWVv72DWPtkNBFr/o9+zOuyo11qRokq3vUiNThtesxIPsaXks
ffqlZA6ZbmOKK+gypd/xUzXqzWwWQ7xc23Vzh+uT7gF3bzbBH1crDqtiGZ90m1ywG6oqfiQwGz6F
QbNtVXPjO8UMzV8VfnJ0K4Fen+reoDBX+eQz8BcWiE3QY1IfwXsPeIeqXVwlv3w57dDXvgym+5Mz
lZi0Ze5Miy46M22ybWt4FKpI5ZzL0mX/5rC5soxjmUdLx3mwN7mikKr/SbTbfYRRsUWWcYCxpajv
XfJm36EQA/3SMWous0LKWnEUKQsU+wpLz0iG6ozgB88Q2BVvTWAjXt9mvMmH6j40vV+diX685hk7
mTwg2iR479BDeSKaOTOwey1VRJCivamuuAIpcXLPU2+3zO9w7tmnJnmaI85KQ0HcZvmqT1Is9Ujf
MzdfixdC5xmbua7/MIHf6XR+s3nXtAVAmedXV9nB8zXD1CzlNkG+qmzKeOs+yl90zMtv5NjH+Key
2Qf5PitCNGponXs+1Hz6rYyGbZXvC9Px7pk7kzFm+F+T9Ry9dBvV8tBAYLkN3xyLBhGO0XiqES5y
BVnzNyLoBNINKr7vxBeNWoSM4LPcrKxYyECNBCEN70FwNsPirigRQ80kQ9xK3ZjxuashFOMjZ+1d
hlU1t+P3pPWOLTMy4lX+tu0wj/SsFTCIAeSMn2bcvtD6ho7NPESK1Vfppxgnq31bDR8x/TpEwtru
tZkAahvP5svoGf7Zzjh/eOmsyMx7jFM6Thq+Ln5ZGIhwMz6Clb7QxMSSOt2Vaj5Xwn+f26W/Eapp
Im89tx9Wt7BuSQMe7abm1Rxjfo+hapiLloLTvz1GDGnTu8Loj4458CgljsZpXS31bkozw7nlCeer
qJvOTRl6qwAGkPIgsrY8n3etyQnRHOq3BKfZhKenSAnyg6cxwa8ZiibWrum7I6ZMasNaY2vq9hw5
4Vs0WZ941zaVzfw3KZtXm4oMDuxkZPsj5gYGowNiMylYt6ORV/yvCQEg3hpUMzZcaHSAE7fKr4rp
mWRwFUnJCzdf+QEFTZNLpywtEQfutPXWp5dz3ftF+j3YQp1aJ+TvMA9f1ti8Ssu+o3PrrJjVrzKM
fGEVH43exMEHR495cNVQkeka0XYERJ8cqLjQ2VY6vW8sFK0Uo9NuuJppmz4IAKqSHvucxUcSN/ed
qr33qXOyYzr3uNzmBnbeC2+Va1EYV3Zs8GOzemHg2oDYwoFpzvHs56EMbGC99qFBPbSKA+bAuoo+
CwvNUYyb2lOxeUwJ1ieQWXvVcGFTyIf3ieQaNZZ8PLyuu9GLS6saP3w8R4mRs+3MTHutKzday7BZ
hzBmK/QKL2h/DoGN7YH6vk3ZiXRt8eK3vfYyVPj++0hydXaqTT2ikeKwbYjsahTdoxwo+ejj8Wim
I0K97q40cv5jtyYUxNOmeYwb48EPI5So1NRbaYRRiAc+BpRW+8/CV/uhYZta2jLe1wUyVzoYt70W
h2yidLQW7R8z6r8bQQaAjNQPK9FT0YbvacBiucy6ZtVK8WBAqDLWiF5lxKpVv3RO+GUsxKFJZs8P
0G9HyVdC4YNd+RELU65Ibv/gdxZF4wbVGWEQQrb40aEIY4BuD7QuL/EEhW7+OpZsLHy3bTaj0qS5
fZQlbIj82rsf48H5vzGd/tuYzpN4df6HMV1Sflc5g4h/coSa/l+/8D8HdYJgkefzuEVVTnsTGBej
v/9yx/uWQPRJfJqEEcLPv8/pUAXR44tS1BHC9/iG/wPd5SAdchlY2IHFb/7v0F3AYv9Ad3n0/Nqk
jny2cZ7tSXtJcP//oSNQgKpNNY+CwFoXSxdOSO05W7qLz92EfA2bN73cnvydRe/hQZXqmmXFo+nk
4aa1/OdhOXakxROvvV9pcJ4b7q6hQq6i4ONR+RCZHTj3RUJytaOXJW4NqiqHox3KDa9e9GH9pNaG
R/Ay1fLDs5uzGFs+E8RKE0QipTmu4snhdVyc5qb98mQ3rhur3YRks1+QDL/UcDp9GqBtEG9ZN6v1
ZOAHpta9pzZ0lahbptdOvrwYINchaVrVZj8yJ6DLgpTTDfpQs6zc+1A5pKzBMMYkp07EkJJYr1HQ
LN+XBwCtadcaPYe3YDCPXCHnFeMorIHunb/YvB2DJ9CsqzusntErOS6DMY/Li3qsSThZCqGZXRTf
dlvwMMQOWPCnTUO195X5QPmlghNmx16XE2sFHtoMEMGJkulVJka7jYS/UQvyVRis20DLfM6GOEKF
JrWL2/gw2mLPONLZ4XNFyG8kHPycO/oC7vQ4O8+FIbhitlaSEi3K5XeINmUb+hxDcxurXFFBTo3K
YKoY1rwKTc/ZOVn12thFt45FeUGY/4Kjvj0UWFjWyPqOwOZIYvEMc0C45EQHhrD6PWI3YTD72HAt
ihmEFV29LqPuavfY40WI6KMEzx0nZ5ePFBxSADmxULdFLznzmjxoe8Ys3pjToh71tCyazn0u3Y4w
Rv0wYaomDUMGv3VIc8mNxcVh2ZXSQFu/1fBVlUlKs4dMrJIHDG9k5uLNUsJONS025IcJoh1Hx3rm
CKfiFrlkxXmzOXdZt/wwuQcm6ce4Fxsn8M42c1fHMA4D1IiaehClZtNEr3UZ3cUjbnHRb0zjt+8J
+gzzFVghl2irORkZ1EVSTZ8EXrYUye9iqrjGrH1jBw7p5xlb6Xx2Dod0l34s0y6+oBe/Q3qtVqzl
IDRy3mddNm+0GfIK8V75lp6CwSv4+gjC/kZniINawsoOlU17MWfUaNoWn13WeYgwH+PWRoRexe/R
WNibcRJLnD05mIvtXuZ4VV3vp3Gsc9f4nNcoL/3xMqcj5dqap9hTOz1nv6LAjDGQF912oNY55VB/
cycOevXIMJzr7QWEMLmxpYr2LsbzvQrYyUWlj3uqbcktzDwmettW5bZrmZa0ie3vQuCBAbqHOc8g
qnNj+PgY9TEc+3XIU3PnUTNwqKeeZamrxXs8Wf5GDLRLS5FvW93lu9ZLT7SiRbt5Mi9xGd/GikOX
mczxuR858nGV2vaecZM1Q8moP8gSCmf0hmnj8hutBt74qw59KqzRtUjJcOgW0imrzQerccj2m4cq
Gt7BvDYuTFfrZQ+ZQFJe5SGg0IAjC/lJOg33c3FvD/IjCrgol9a4rdPwOYYqIIdf0b85R8o6hkse
moD/tA87sEfkFWqV+z4BNn3sEqYtZsD0nJJz3F0WfEbCuZl7cLZO4/rW4oqS5ZrrXp/fHIcMHofy
D8eg07Nhl8cHglRjiv185mZzKOKaxQkr/DVP0HjjLw3JZRPU7JQ5Kpu1w82U6yNNv0MVb6MW4ZWQ
ButZ99nC4KPrwWJvmb/XdKPlXGZldUIIqgqGH7VFMALAnGXjMSlbDV3wY9Owx4Jy5jwsOQTNdscQ
JlLM2dssYlripE5wVm7ormIPXVegi9vczfuAUZ22zWNkzd0+NkS5dSLZryc0NnuF/nEnwWGZ/sQp
rqu6oi9iGrepxXrfqdp7c8nDl9mj2U3AFGAuHvQ8ExT+JXyLHa/joNU92rXZvnFLRAX0k5iL7zJl
YqgEZ/4++QRXOAQe7JRIlM2gSOAy6u3kUc3Roy7i+2myfoW0f9/mMLmFKBfXnTO/iwZWODeGXd+6
Z6w1F52VOFH1m8fC/VCnvN2C2OTLUL4nXIkxFW9cnX5QbXqbRHuZMx/yJmuLgzVOCUVl3VE3CFVx
/oLpb5p8PFIFHlrFLyX9CskloX6blhTE2+8Ro/p+5lE3RN9J2j71Tlvt+Gls2ffg3uE9zKMirEac
BX13iAxcRsF8lwcerIHIbnyCUgRl866F0I1Usp+6HEAxIM8V7r2iPY+N+yArsR1c83lg2pyg480Z
uUwBE8mmCEjTda+x85vuQ9oTvQs3gV+edpHGDs8+iDef1ZvTtVzg5atr/CksRmpUwEiALMo6mgP/
9pil04CGSx/cxn1tjYE7cWkcMAOyjc7bKze3C6Ov7zSMfrmpeHT98jJa3JxQaMPxeO5WFpOGjIwe
LMkl0cdCViaU0OEOMdBL2JByBt5iP2VlX9YdIU73E+R7FRhB+MBPJZhFPl/cSZwCI2fNht3b6x6j
iUqIhp9snPhy+ID6iw++XRfg24DZZsVqKRHiLIZiFyTUrVbcGKOh3yXKP/oexwmVvheE20aTpF7k
Oj9TD63X20125I9qPwKfTyOJSXetjRkTr96bBk0H+JJxyijtcw8ivjHXW8hhhvdzfd9V3QUPqN6o
scp/t5IoTlVq62CYUCUqhW5iYc9KPn61Q8eEiHtLB6ahMbmhgHPYNm3cw2w0+Y/hM+ONfFXuHXjh
G1zFqrQqYqq5r8VzmHa/qeE1t/MMR5KXBz9qjx212g0AXKXGjyJAbdPTcGu6F4FfxWutvZn53B5n
orsRVb6Rxrmdy3D6CGcn2HUVKFIomTEkw722PNrKYx59Ud3WL2ZqMLWOaPAZwmw80uvLBDxTZMrV
0SH2sM5IkvIUAPjr5SWx6asxnP4pyPC9eUNqH2cvsC6yZmnSYJ52FwV1JNTvaJFSB4ueujeZ0Zun
rK0xqVBb5GeXkiqLcfFaC6a5vTJfSgg8G/k1DcvEh1z5ZgovX1PByphTTRT92NjEJvTZbJQIu5HR
xKqNZOjMyfdULL5t6uFwwFj6s22W3OFi5U5zQe7PFs85qyGj5pxBROJT87F2Z6og5vqNEjaDVwK2
79IbPDYGwOhzy7sbJbiLGjywecCiCu+WuCCDQwJ9Mx5xlif0EKMWR8Io9wkuiJjV5azJ6SAh98yY
Fxla8mzxk89+Np09ck+uct58FOZshY4jR6yrNwXBah4ctS0cEsNG9lft0npcXOhoiT+j1vFWLvq6
Mpu/sfC/ZDX+9HkxqVcYkFfWyCmjXzzr0guno+3WwyWylndYQLNetpjZjZJpnIGbpJuxthuEio3a
/Sn9DBPbiNldL473tjKI6Y2xs3ERwLeLCd5ECZ9GAc9APSyThWHjLd741Pffu//H3pk0N86k2/mv
3PDa6MCcwOJuSIIzKVESNW0QqpIK85BAYvz1ftDu2+4Ohzuil3Z4W99XqiqJQL75nnOes2KJdY9h
ys8siVdUj9NOtwDnE8jzrZpvCST6yuwC0ZlLzoNN4AKrN3V5MvAQZTbc9sg88dzANY705W+86SR9
yxmW8wrTqmjdHQ5xZOAMB3LcIIlMhNp1uPkck3eTE+tsL0j9jHjjUVsw+1iQvmdmuw7+PlhOvpbd
vWJeIzYKol8ietkw+32CFDEMfxeWP1uBUwbbP63tfcHSZUQN7Nh9+BG/Ky/moGOJV+bDumCpAM++
OEd4c8IxujSa3GlAgt3Jt1nBV+vBhwZd1uFnpYpXw8FBNbgXIesjJg7QjZp7EMoENG1WT0WaP1YG
LQR18gaGeROJ6d523Hny6Af3NtsKz2Jb5ZVEaepw3RnDTeiOvS3TmuBgh/MyxkKbdTWPtM57uwxZ
btCSYcBX1d/8LMIPOTWPjem+5mb8TCvW2h3no+c3COpI9oIpYk5MViiJQwVQRsB7HIMpihnqhwKp
0XdwOA46oO5iXHymfvnZNR2MxM57zh3OXxSY25g0fzCn3VSV7oY0U5e0oBe0qIyzSEZGcbEPM5xw
Xjh+0LdlnY2U2YAznR0s05DZfEnAnHXKq6D3i+9+iN5br2CyEs627+tX2nwC4ATcTEyusCi80Bs/
HDbdPOJJ+pNp9jUqEIWhmAaTqDK2g9q98PVsx+Cwm+kh9x3ywGNlHG353mV5vP3/jqf/uUohYS3w
cvyrbcoKZEf581ca3X//j3XcJK36HXfN7/g/vsrv/3isqvznH8Euxt+/5N9jdHidF56cEATlPMEf
9rc1y2KVMpc1C3O2ADe3gHb+F6TOo8ja4X8wyPEuy5R/gNTxBW2+InsY09Jt8e/sWVj6/NOexcP+
bhDtszg2+BvYpr8gm/8B7kI8IqumusWBn4TBjJ3Q8bcFY7HuvhQ6TK7fBQpCpYOcCj8bYy0zGAds
SRgTSEyIOHkVD6R23LXW1AbhBoNhkJbVXSZHEdSzi5KfgqSNEjO9FCrMbp7ywVSUIj6nA+JLlrrT
Ou6MV7ttn8d5J92PBeCQAeCq8ycNY2G/OF9+eVhXHXL5XqCsn6hG47iH0X7qv1DdY/U+RYcofJ60
Fa52BrOfLAtqcA0FVmOfCbncD86a+8AOYCTFoZBCCT8Jp3kjXoDFiWyZNZGLcwo8+fMxdtYRiaS5
u+Z2GRA82rn8lzza6+Gzb0fPiWLwFuqdB5caZPZASGbeZjDnngUwATX1lKQM6lhtke6TBLoqIDUM
6jyyK7QKIDHA9om2aNq2JvoFinBd6nwXOBPckCxun+17xZsLnsRa06eDyRKgGfyPPCfxU9S8UxR2
pSK7sgXY4oSCvprS2ZxZq1C9VxOrfiJjRS8B458w3a3d9mGonueyATTwUTZbrz5n/rjvWG/AAz+x
baFHMoCP09CJw6uSTdTdrr49zMpR/dpE1w5QS7QU5tJMjvl1yS+r+KsVIJOTcevUbxX/hLk21txI
8Ul9GB1XuvrJasJNljxilDmXuriM5Ln0+MYN6+BiXdKga4M+iepA11570zg78i2ENCA7m1zar25p
qwE3KCd4/u2L9JyNkRWPY8bxbyeSH0u81xUXXC/DgDxW+yY74pbi7V6N9KdPoF/VbfSLh16rtml7
l3a4n10+IVUuHsy+vLSmeSvn9moW0WWEutiq6ti0P4QmVt30nadEOuWRWMgaQDgOMMR/XH6YfetH
kTeB4pLfYJPG01N70asUyTGJ+Xyy9W7mg8bHgaGM40iND2G714uDPZxMIOML+K6v8iebfF9PgfLy
7Q7VQ2ljX1pgxnGH8sc8Mh2AruAtOFOgEVEnMvQfNUuofgCvplpiBWof1wek78a0d5KUZgikToT5
LmppEBkgDFLLPeTmQcz247ItRU9eNmsBeUMaHvEGzjtnLJnEmi2bkHvfqFOniY2lubuBtImM7jMk
wDQxbnOfliujhbpR6qexwSvuzWtAlBdBgRuObcj/C1MXY7L/GI4vPZ6LOrPXDD6rQaNrEa/9JC+1
ph4dh6KSTvGdS7kloeDlzlvaPKmqPlGZAh14aoKG20gkNRS9KW/3bWdve9ao+vgYje9FS4uxBIDi
WPmnox+mcTEEfjQkAnQT75rNboLnH0LImgTZ2tW/25TvJwKkHd4yPD5zpv9xQRXMcbilCtNjNctC
LavRtVxQQnV77yv3alSwMBxU+kJz704NPcFdQrOaxz+oL3ni0rNpyzdY0zwxOoLoSDI9/HBtXgfq
E4X45jbj+d8/g/8vo6OZlvjXtNcrcuf/od7gb7/3b2eo/heTQwqtwhNID8LxbSSJv5+iziIR8JLE
z4uv2Iey+l+nqP0XBwAgAFZ/MQ4blNn+/RRFyDA5/GFv4frXfevfUitQUv7ZVYyHQncs5BCDlYMw
Me+gpvzjMSr71hjLjpXn3IwAxPCWkF99rBcIuycofSk5BE2YJa1X3xNv2qVw2yN8RzNIF4J34YYk
+l5CdzcpD5sCr0SXNfKaG76k5l0SdftF/kjz7qxhkVCra16Ne3aepfzMuG5XtbpaKn1NU+oiOYTy
2n+XMUbLqtn7kI/VtYyIPgHsCd0XvWn4oFpH3YV7hHxRRQYbkcfS/SwVbJpM8Ww8WYy53rybkvGx
FAeE/6NKd3aoVQ+N8Zxr4Jd4DpXhvwzJoYiojZ7xCHQO61Ew0E0bk/7t9ONoFD9T0R0GIz/GofVi
JWyz9MCBK1SP6onL27HQqTDLYbZzg7U2op0PMk1+SQj0GyufP0Gp3FxRkRvq/5pM6N+49IyUvmLy
0Tvo+1J8GjrHbWjiTrGj4Q0geQnax9+JnuC4O9qcJ9zc1rWfhdic1CtXnL2dxW8prKiAcMgZQ911
SazkLeUQk0PXUNHcM1BYTpQ++gu0zlLfliqhuKYv8TieIt22NtJGEG5YQBetEQYVn+BVVhHIkuTk
/XHh0qL8Z473lU7TeURKLkCQHPgwNBtluzBDLZQZxbJt3aTpFttxv/boH117SVW85HhyAqubD1PI
vrjlCi9DKANxw7GiT9p1zMvr3A3EAgsThSrl3dYXPyh+33E2U9vmF4e2jYkAaq+OaOHNzET35iK+
G+xPFwPkLxJ/20qnfF7F7wALKDYduhdpozrNJiBtW/3AZXvk6VrK7HCVpdP4JxzlqcVCW2FiSKdy
VzUCAHs5vvhV+jGwvMZQER7GSevv09Tqh3hmE6pGOg+oJNg3sjNuRduT3yomdsIz+BzNJFtqWcMe
h5GBQwudWUh19yjrFI75ip/4CJ/mU5mFdhyz7BhDEp21+jt2u2w1j+6tL9rtTO3HKrflU545J0d/
M0CMeiSUIf4TktV1+lZnW2+2sVhIrla08yXJUH+urp7L2e6JcU0SbWNJ+TpMzSbGRbCeQ6w/Bf2s
sdHiZMshmnmqe6n66ivu/WMXx5c4eixC/tGFV71OZrJVaA1BK53TkFOuljGX1SXN11rzKuf6Kcqi
17hjZIDPdx66BBRudynnk9GnV5hNNs8stkqtOs2ue7Lbz0p0vwfpfuc2e544UoI5qK+3iVPvEaa2
Y8+Kh5X9JFHwXBWu40FcOiFe+rh9CangmiEZmixJGRIfvIENbtnmP23ao/8Mn7Ek2thWdCX53KHL
pnbw07n9tvOcS5rK57DEvD8U9i8zzK+qKfNLmMX3ZFS3yHWeskG+RZXob6HOfgeKPU3ZdcUOuT5O
rUXXANGCogO1tVzZtfZhQo5ZzTVz/2T9rjrt0EW6zx1b/y1sdxc2w1HHLrgzjO6UDi2PwSyekCkC
W9Eg5sQFuUNy0CCloqM9o3yZEyE2P3rRQkjsRpHudZBOWZEiXNa/qan63Y/590xYPCqtF2KPIBcj
7ExJi0ezLZwQ9vSsHbvCwEAXbQYUzwaQ0DZV7T5O8I0nw7vpI0jpC4gOKwckp73HbBVOClaiUTSb
BNMejQBCnXqWiOdeuE+mVJjD7fjGAIChCh7E79zVCJ8jQ7H7TFtWE/Exd22c4vb4goXxuwqj6iiV
d9Rs3BtqifvVAL5xM64bR+Gsx44MujmlfgEEooMjUukf+BHpxhDiK1fjtWypdiHTLtiQLOrRjsuX
cdKmRP3WcWs0pg9hD/ToOnO5pfk0BJ782OweRGl+99ooGaHqo6u4JEyOwYLa7/7UspkArIl+r7WD
/8RJ9CpUE67LbCIep32GjrW38x/U93JN2WbGAVcREzSo1ZaZ2miyuBIM2+djhYpbzJA7501X/9LD
7ComMgoWJmheFeu4jsH6JZpGEEazNnHHs1npzIYW/HFfOAHol6W9MzxICrIJgaQDozH75sHXbwz6
701Z8Hof6NZJIzzcKbgA8vsiOvGUv6pwTs8aUXXQJjnkQEE5YcROc8jTB98szWsaJS/cAG9GOAFu
yW3znIYFwYNBwllA8N2Obj8hGT1DzEBIfc3ghHcyf3ekuYGqeav0HFRvQptP7wxA9QyLYoQ83gvr
cwZ3wR7/4lef0us6KGv897IC7R3m5bnXYIdW5a8hV2Tjup1Zu5sua+8jeRcmTwx3TrzF3bse2GTl
jQ3yDHt+DWayhjZm4W4bpi0BVQDmU4AJ0w2BLlA1TZkIeDsJ8MyBvcT21igqOKLtZbDjUxX1vxql
fcnWfbDLIQG4vSTsEBkr8SxTi2cjhnWtjpNjfSmVWXguKhxILSRxdTJiDWYKqqZVaGtjwjEAUoyY
Ovhu62l2X63EfB+AHWpM26Pm34pZ2yEtvBQO2XFsfWJynpenYI6Tl3b61AZspE3/0JYD61yNyEpK
KkcQhszXhtudRW8+k4wAae19WQYQTtv+wGBHCrK3N9gfNoL9RFcNCL4ZFE6wjlb5Es7ORXOotvPC
/RL5LWzi7hMotzw6mTP3RHpt+Ff/mnFoO+i5ADLXVjZvPTrX/DbZOk2IpiAfRdav6wQwq7DfEHgZ
whiORn7KYBUa23qoDe8S6v25GMoPajsuyYKrAcfyRSw/2ccpugGImP3okaoK4Wd4Q8xagHa+Y2va
3al3j4vEDcMd+yDF9qECsB73W81w1h7ItynqmKAe+2a+UIq0j00iZcReHAKr/vCZxfwQaqJB5DZm
PbspX12s2P5F7RMEmXITW+5JeUv5LaVtKLXGPHPjFAdy73ujh5pOvVFUx7+ZU37++rUa8AdQ74k6
5MA8ht5/qqyvMbY2aYYI27lfhAHw5Y7BorwB3EGfOI0mIAgJG40H1hmHt0b/mOlDFdi/lA9rr7hk
Q3v1K2zs/OU9P7DcEYHGviQl2MSlFJ69yDLFxvHwMBffQEDwEYQzLI+F94c9nmgUe1+eVfUQjp9p
CP6CHTdOpdXQmJeExzQGgGEN4aaoqkPXQGQB5yZSCDtI1zX2Xq19r1wgI70OAVEyDa2nIj5QpEIk
3iKUTtDjF2dcMPfjZbJKkA6j2LRt9mlgFclzBjgo9TBntmWQ8ql0hjHojIcuSjZRxrPg/cwWMTKa
b2OjTIIKCn8fJtpBjxNrm9C3GnT83sjEmAK/Q29rTC4RV3q8CwoOURdbu4iQ/4Axfu3S0un7CLSM
doExx6ttfQg3FpzxW7exVkeLSvTU914x3uw8eCJujMGl/W2YAwA5CIuZ/WgRusLcjl24PkyFtg+d
jF8vw5NWItTpRv2uuuoZBwBkEN17HUN8/YWLcDLZCSd29aZp0b703ZXMqnCFuEJG56lGS8I4zCEc
bjwUnzYC8YeX05uyHQUyKzPrt2HPvxBnkyKPYzvZw9jPQVphsifJN2fVB7PNoRqLTYX+olLANYZ6
9SRrP5NPm1bw96ms6TbXtEylc5ecarXw63EdzASRNOXe5dDtk6ZSK0DNbOeJVlh2hgXG8/4gLXMW
m6+zYmTFAB0evebLg+fcxtG7Ho02+5WKijZYQrs6k8A1qgS6VBbiy6+xlo8e0fSpNFkv9j2eXacd
zQNo4e4gDbj0qcczhD3qq8YChBkW8+qoY7q0dKX2jsTamdd3q5URoZbYOFk895rZDujRWKK65OKF
cMjYZ8jR5O+rypeiAp8DEvlLhll2Gd3nGhvRZBRXXdFQG3HULwJpkLfuq6rniY84RXGReEpMN9tJ
boKdRsWB1x0KZ7rO/vzli/BcLcZvJ5UPXsTHlZuA2bQvpjbsyW3+cQH7KdwbhoWmkAoIIdodW9WO
woh9nvSU3ZFH/5gyrCW9dpzbmLqBYZvW8MhMDNtVE2+bbjhmvGKJ5KhiV0YGmUbLf3UyjF+xLc8V
wc5a9y9pzLdVq/Q3R9Ppf/bucs7ORk8xhqkfmxRPmJysW6lCzmSd1R+Ts1GCnCDwGLk62SAAqMao
UTcN6qmpU+YBm02zV9lwXBU0zNB2t6lJ7j+trgYe5DXXxsugh+zVKmtVoCOv6ib8zlrrp/e0j9wY
UGcjTCAG2QRngKBtoqDJweOc5R5pdrR/NP0ymYRfjsd9p80KZtYETKzf30RXR+vWTKnFmKJHhbFp
3fb5Y6+TjJo8hnDDI/LGZwogBFcbfdeAME4iuR9K77esaNnLMI/ocvpDofNOD7no6XgBnGQ5Mgdr
Y9KAHvCvl5ixS9xiSrsUBP/OOke2RuCe2ovpxXWb5xDzS+VSYRepKSgJ4ovKhaqzlH1U0Sl0JlKD
PY481b1mPBeAhNgPjv1bHFULKiSne2aiYcEchg829yQp6A+D5DL85u3PpVyb9r0/3uZ43Il63OdD
vavl0uQAncroLVwsYCeckobdzoqJH4FDdxcwumYNj7isMdWxSpRsKUNZXmW3CL2WdYDHdCyhrNML
z9BOLcw6EdF3CIndh8juqD9V3xncsroPkyXginTbxoHh7gpYfm2DhuoaPQtzWO/dQn1ngHsgU7Hp
wMF7S3FUw8kPJh4ezs8MNt4uqadO8H6sYkA5KwkJI/T7wObeTp3pywR8fkTS6xca/eBSqsYuSVyp
Q5vP3iCwDC74ep0Jt1uI9jIH5Vlwn9QX4GRCxfdCoDQWFqVZPdcLmzJcKJX+wqv0GsKYiM8prAr1
lYbSeB35Pr9qk/5oh+4pmhJI97nGBkGRyZC4lkYLPmY+dVvKxrbQqfjAmZE6G5YJfUkrvStw/GcH
kHk31PukCLNTUnOTsGecH06C6ymJaYfXHuhX2PqFS1OtTC92V/M5mbvlrc/9Anf6NTOTaxvOEKtM
LnJlMGTEgLjz7306cFvN3MCIPqQ1rXOaOwO0D1N29hNXJQ1FiCFj2DuxJddjU/dYGtv1DBcJ/CCB
RPNduThFfWjdnhTE0QHmqFaKrRTeHcwX144awQB4970Unb3u8REEmeu/KlY6XpIfe9HS60W0JDT4
MbG58pZFeYkjbeyIk5JhedbZouEphbmLyYVLzMavyt+hVEDnFOv8tD7FnLt5U3wmTXHx4/HG+Buu
tD78tqjLI1vsbiK6QNYgql4mac9B3chHbJw02+pazwKtac9dQ7NK7bb12ppkYEv2xERwUYFT4x5m
7YOj2F5wUwr3ybcytc8+8sqtn5bWHlMB09VYcQkcHfZLHqElBlwMSqx68iXORObdWjK3XfVgenXg
qOa5XvJPtb24+DKHo92d9vzy1RndH1vDUBXpV5MQVYT8pPPVJeGquQSBRdgqnYxlleNTiYpbpQ/5
yS3JrKjzLoKollgyWyj+HE4TbOb2W1hWF0TEu+Yl59US+IIxeICAfpzc/N1eEmH6kg3LuQ3ZS1oM
dZACyNB9DlXzki6JMkG0jJQBRI0lbTYvuTN3VPfQQcNziKSxm7TouElutct1VV9ya3aiYyOgu95v
zi7BthZmc0HQDVbEls1u4DY6BOxoR/kkN5clGyeFAs1NWs4jNqcIMQMvwtFjVCeTUF2xpOvcrHgP
Ge9QRCEGdCTwnCWLJ5ZUHg544CXk9MrMflME96ZOEZgjypeOPTN7Y7B46tyZd2r+3hH8G+mfhsoG
zcokFAjvBPNof1aEBWmzawPXLnhElliz9Wmo6pNb4c7V61uy5A3dJXnoEUEs6GYPiSTORBNzd3wq
fevaEVl0iC7GS4YxVdmpQ53JlnRjQsyRsPqO3SKoTffSEIN0KoJuOcFIOvwW7xzw76K8VEt20nap
1iZMOROqrAanwVyhPU7ELR17wgC+5C8JYqLqbbWxfrOXhKa7ZDX9JbVpYz4US47TxonruzPYLS9P
1njQMWsS+xyX/Ge2BEGXRGjTNRqYhDI6uSBbaQjP1SYPu22RMFVaYcTaUeSf0WhhZgmHc2VzD5lb
hLMeSotySKIvR6jckj3cY1ckewYXBtMtKwvKurQUlRdSf/lbhsxIUDenSTuh0062Rfo9sAC06cND
A5JuC1PSD3rt7s5H3dii/2njiu7fCxy1sAQV2dg3GDv9rndT5DwslA3PRGYYwC+iQNApJmzkSKWm
dTi0d8ClcGIa+RkP4DO15GIK7NWA21CHnJAvYP2krXob+fwZ+o9MBWD36lFBMPX56XHs62fbq348
42ICLsgABq2c7pc9R38qIrnUmyyvl2NTxnsg4qfG/sP/QsZs/k2c+6p6Yz8NIw+/jke0ow0F4AZL
YaH4I/zkaKo/blSwjBtuowTic4/46U9jTDreDCD07eeGlJRjgfUX9Ktt434KFCVZ2RxfrR77bb6g
PX6jUBzs5u5p+MnV1JCehx1r8sY6prz+sdIMFq1QdeMGkLQ2cGmjqzCzpynNrzpEdQiGzrjEvGBD
Xyb9WlB90NQz/hGHJsxLakaXqMAUo3QopES/pm4EX299s+xaY/3elUl2igW7YL0NCgdn/tAC/ekc
0OV8pUgnQgFSM6JkXnCNapsCxuVIlzjXVltke3t8ndsuyK1nSTLbnsArxIvkvxusXVbZbz30lWfN
ObOpBAbS5is7qXjUUoAlWKymGk+uNWWvviZuJXcwNudk+0X/pKeZvwLP9tGl9T6aWUfzNoJqv3dY
XqTkz2fKoGP2JAYsuyWvxfKYJCAIJH3C52qCC6hjfVVbxb2RLwXyTAzGlkpJYg+oqcS4UxvqoMli
c6+YMFGWwyg719RSolb34Lg7qnwrwiOj3e40aBkxIw14O7z+B5wYvAkbRqWEtY33VPL/EsOjkyCz
g5LGNHzXDxavDPac7S57ylq+H3mza2eeP9+wtkboXVKGM8PljC6RpUcWsXO+9OPNTPA+NkQv46F1
KXShlSHmZ9UO4mDEt8VLaFMRaxgjjSByY9NEk0E3biso8Vlz0wXQfvcX6fKELYfbMvQMAU/eZhyW
nuuOzzDwfIIEWzeGm6g7QQH6YDDXVQ3ypqRLoOETFfvGu23N8It/lJkdzIqTDkLjeUSKDqIBDJYz
4ir3ariKoeZvuA2/aK3qufqhh3NvieLyecBN71vEbEWA/+A20E/Q2YjayQWC2alP2rURahsqJh5d
v99Fc/qQgXbRPFesNfBXtAqdm6zdGQQ4J+bXdIr3pluf6iow/CnoJ27d7djt0wxgRVdtHHA1XjTT
lMbwQatry/zMgfy0EOdTPT2IcQKbRmIt/dN2RDa8/iFP7Wc2nvuO5zU0nksTMZ3QdVfvJx27Xywh
gtSbqs43U2oHLncycuNrivvwxDJjOumLx9uSBulmk6bedixY7/JqqhYhiYqW8ATNx0O/jh96Q/4x
jP7C1qaBtxKbPPLV3q7xwHgxVvn6W8pk29YWInjHqIMTcBPaTLVz/rpESaHCR59WksA45uOL+LcV
0zsVxg11ZeGD0vz9PI8vbt4wTFoviTygnG3QNhFEJFpY/RrTomcoInxkcRrcclGYPDlO9RXJ8FiO
9VZ3LxhQMTPjKWzap7BPT4AyUfdLChLhEvnOtKnb5mqyIpgbZ1Pl8h6jSFF1djdkypDwB9/uz5yk
fLmXZorxKrqLvYWWDDF8lrXxOHTmQfKWwY24y8LTYKQAdDX6ocTEy2BY2dbF19unskcgVBB6mrfI
H3Zl640bfyp/WCNwpdMjWnkIrmNEbNJr7rVveYx/IzEyLHbuyQoBR3IJ6bptVe37GJ97cdUcUMg8
8eWINPgoQY315sYaE25sbxObaBrdS8qAePchgUCEovvIvY+x2DugoGyz3g4eIaSInU7VGdvWsfeR
575N1px8LFWJ9oAIR5VEAqKh1ZYX7TeoTGADPE4u+c1da3Gaav6zGO+tDIErIgvTUrh2JoQmDFZ5
Dq0uBlWanmy+k7P7KD8WA4bNZts/OTJ6qVniVHzM8Hm+LTErO+Uan4dbwBArW2fN5WEl+vddCv9P
8vRtkvX/ko22/yrq/y1x+bff9XcXg4CJhlPBEdgbzH+KXBp/WX6VOOZiV4DDtsDs/8vFYPyFGKSv
C8vwDIP4NA7CdinH/c//5uh/wXfgu65vY4kw8R/8O15AWmkxKfxz0ZthkCYzXcfTTZM05z+bGLxC
x5hlYmhjyNr6Tf0sbTOYTQzPLijTPOt3VYgkZjhY0mErGjEBfvz4xBPzhAR/pY9AirjgQe07adI6
trVg1We1IGlj/OP+0K1Tye/pbHvbct1rDLkp02h+BEm6qlJ/F00sLBbUrsugOGo7MymKdciLt0v5
1d6HJ43P/EXFrBPyV1uZDwaS4m5u/ZNPyNmZSN31rDs7+lThK+IGNOgLcrh24akTOn8IIFbT9vcJ
Y3ofur+q0kU5HjilvQ4mz4hLw1j4LbGEMg9pNaTGy5nlh27F65ruJM1Sp4ElMssJIET4tXwKpVRS
P+BD2Vv+vCPetnXs8lxrcu8byanrf/vFU5+9xu0ft0nubDReAJQHOpiEwms+lIs4B1mSR3+YHhwm
fPpcSKyxfIwg1CgoNwWX/fhh9iHM9THTyHROOz9w00XjSaYB0mp5zbuUNxVvBxepbDQwQY19ER7M
nAxhgrugA5JjZfFNA8AjtfhRQpowpj6CI2D4IHUHeTMiTjDKgjQ0M8rJ2WBNjK6Q82tJ+BMc6EaB
ePLGdGQbapyLWQGoLw65kYk1yZ5862kq30tn/qkKqM75WPQHXXOAhOk2u7AujQ6VW/ncTSwGeF9M
EMtssRm69I8W4flX2dmmf2kILTAdGd72JHKCvhNPGcr9WIX3qfXeFGWy0unfUZTuMimDmjtLpyMj
df6LlRJbiWz8CmJ2GZ49lzvQr9Atnie82CE5gnVB9ffKVHcnJQQM6nRgZwEJyzdA0KFZx+HAwWWm
wVzG3srAmKILkBNzxdThl9xU+DElmQzPCepUq/JA1DKI+Odk5QQ4BTXAa02OFYssjRn/Eixllnbo
LeU0T1lvspuqomsReZ9z3exy0fJckXw1dFpWYifbNz6kj9JxH4fGOUrQc/kwHyhAJzAl9WMUtjgg
mKLSvBs3satHb3qh+Lz4nQq5vdn3umqunVu123KUd92N7JOImCwoOusvaZc9+E15wFz6iJx77Jam
AFw5sNp5vOdW+6JB115TlPQ16YB6nQmPK6C9Ps4KljbRn9mru6Nh8blJ60XNN/U3ohhUwEgqiOSS
hqnZ/a1iahNGPHm1ZF9piCrQbcJLWtz8xFUZNITtcC5UD3UpMTgytMUunQsG98CKsoeBetqhYXou
xl+urQe1bjIVx3oQztYO4QSgVEMCKpmpngHTu59ri95kqPncfGNAoQ5+fcN7cef2aHjDgzW7rH1g
1Uc+pRXGl1lmX6Gt0ClFqx7mBNEmGcdjKozF7iyCdjRe9Sw92mpkpNRReLQEwaUYp2DoAI4VDMOD
H0I/ruKlGQ8qkZd9JV5KXqBcctRRfpExnwBHTo9R3zjrHPrJSkzpFYouFl7TCfxRlhvdHj4Sj11e
670QNdzHnh5xrWMNYsB3TdkS2iOeFdNuN5nkjsGVM9UGBoAEcRKN/N7P8BxFVOwjR7xWitxa7Cfh
iU8UdTy/QrQS3+GTYtFE0OnJz4TfZzPOFTp4TJxuErLnTUbFLH6ykkt4WxNsIVu5Eg1v58yFWgLe
Zw4apjKn9T59Cjo7G6N21ifuWSqPIVr0z3NHXq4St66N3jURIru17r6yWK8X1bAfYkiNPgyhdNqb
0XCswOcPEaWNaYO9ZUDiXsooQapPrbhXqb4hQ7xxnehadf0fa2Jp7QNMJj+dZwJiL0psw6qcPhE+
OCbR++UZCMttzIfNFf0jqzTQXgUwSDhyMv2yJvNEv9aPlTHEZdCPBsKgMRN4xA8gk43YSQrubDPf
1B0cgZL86AgDuUh86ijccT2l2g2fBrnu0hJb1+bnQRaPkM7Ihgkoc1Z5vyO9QTggucOG6+JbDne9
Sd7GdH4KeeN4UvtTxYR53SYjEOdUgRDW8E3pUxek3qfm9EGlYdTlxdLHS/oeO1DyS3UsRkdAckzS
RHFb2tNLe36Fc4svLt2ZPUYFNUOnYcpk0oymmcpsDHJIxAUtEBQIB52vldz10h2zYn+0+ANXhBy3
etZ/lJ5xNKr8Na7Nk9PhvXbM6Slh+ZaZUXougBauo44/BgwptZFZdpgjz4KtQkVMO/MUJWw2CPHT
quIcqwmC3EBWLoyfbSzKohuDKpzhn/LGckLaCGqqUET7I7UXYaAyZ5yRbVfTnWEDQGiqeqsc1W7b
oiTR65bxzvCdm2FzbqfUKlKm0VUBJgz9bkr/iXdds+IouFdSdzf/g73zWJIkuZbsr+AHvMXMnG+D
eZCMiORs45Kk0jnn/vXveE830IDMgwhmOYJNdwMlWZWV4eSaXtWjqWtexyjB9EJlYKtCIkAUPZoT
G5XBcYPzVJndaxRgNSO2fxomT3YdL6cW+7SKKcfD8XQ3RBXuHcUSpwrIe0lGAoDdPGexHEf5nlZW
F7qdu3UHCBERxoxALEoQWdLlUJfnKLGNIwZw2YHFdYmIoE2v3cDaIWxDXibS3ZLR+sy7iO+iy66B
Sq4FJiVf47nf6g8tZ5xVBJoHJ2BWL9sijPjUZxCy4sQ7ahyVNbmdTG6soMH0Di+TYosXi/9YJUPw
LR28Z0UmebYDIAyT8Oj4Njf1oE7w8/2tGap3Pf2OAj3xYj+mCpxcEfl7jTQdRgqua51FBC5OyEvb
TqmPwmmGjc+P7sIcdu4mwIJDah21ED2LgRRUqN9GN6ZjTJCsuCIGC14l7kKsnZpZobma504Zh2oa
MYCimrlR9ViPptiXKfrLYCyzDZaPoAcB48ZLGYIP669vGQ0n2j+ATV8i+t42bIVIESwNRvgVVdeu
zZbeT6MG9owTgElAd0JyFmGMJT6pVhbh0o1ifaf7w5Y1EJppHO1bi21v2Y23EVU0q9Rfughn98VO
1LFbANbsf84FNdYLHDDm+W5o2yklf5gQzwMjlO2aiTWeyo3qo45lvTdNOe0G2XdbBAzIcBCSIkLd
HNtnbwHbiAEQO2/8jzwk7plQPNc0Ns2z1OFu4sDxV0NjkCCjsDNDBziOAfvXIsPmzjprvJmnkkFX
S57TUn3NNUQLEPH+mRmKrOrIox9dQf9whwqWVCTunNF97wSvYYfsMDXJLPqNY1DG1to0auBHevI9
qYbVWq7VG70wABoHhC9I+uyKvtnVVAM+lABY1qTmsrUVVawdiR0Obg+OYSostBwcuhGFL0yic7Ie
K2Zpl3eTdMxtRUUiaD8WHfQtdzNJGen20CcVcW+iNDuOFuXO0NUpamcvquvvueFVYhX3pg0fS0t0
GJSYhcrJOAHgWt7f7wN0r7nWq5vUJJWv4mI/NWqtQhp9dOLKzAedZVxUCraXcotGaw5+kuJ2aTZQ
O4gDj/F6LIYff2Dwlsm72fIQn+QhAQK8tt1870/isQ61U2/0Z6dLvalPrlo13tVT5VUzpUNyJFyb
e7geeeCn9i/FVhrnjLmdWCwXCQj/PqtPlaU8v8yP2LySwD5NWbVWst4G7ofR2PeuE13zjixozYOd
QqDRxu3R4N7tFudNVh4kgkRDYKYmOCMy/a4mT9N2E9JoeI9Hjx0mXQD4ZYAvnCLL/DSTt0QPvTid
70QW3acNAQMljKPZkNHSK1bDFakgv4PL5lePXU0+sJ1pi+xxRWaRFzb9D55qhI/gMIsifwDaXL8X
LOPX4xjKNR7kbayF6bLDsmv+eGXn1yxN6v+HYvf/L0UBUOXq34oCLx/1EH1RLvUvJKY/vvDvCUGg
5hKgEjcGCQZb/iMiiCxgSReaui0tExqTC6z8T1mANj0HIcGir93h6rA5rP8pCyxqAnEEG7nA4Jel
9R/JAvb/RRbg+9Jt03DRGAhb/LMsEI5BRK4P15VRxc1NUc8vVeXemYLMq+vP8jTxvX/FBjDuAZik
CUnNSyl4m5bxrE/Mg9GE7xRsX8Mqfwr10TpHhe+uU3AzZ9ylF6GDFTHsJbOkkSUwdI9hbI9M8VzQ
mULpkb2rF9g0RaX3eiR2euE+ZWl0ppvz1ueZZLYtR76i5gVgRF4NHct2ADovZuzJ/rGj4bOq8SDN
i0ckMGqoSppzNmw/OllCZ3pu5n0RZS/QETbFXMc3g4zuw6g1WL394gt/tU3g5UaQ7Myowoj2TCcd
h2pj+iVw/tWttjPw3iDs3BBf6eDX9ksZkLZTpCzY91VJv9Flu4UcsHL78WMyBpDFF1/iBywW2yWz
/SyO2sjqvYbJm/i91/XlfZGIs2PWh0EhKDC21EG3d43nebaINzd3EA69ZnjLe49F6A3uOUZU89z7
8Nn95sPVf/nVC2+WVdif3dp6S0p1HPqPrlYbnjh4b+W6wTq7r5v0GjRQ6TD1Z+7Aa1EHRpVQNUss
HuehevGj+dwOVQAb2twGKYuDiV5l22QWQga48xOGEECc7HUJBZK5b5rdEoIIIWrwhEHknkJe9WGg
tnpgf8pGfA/u/GorWMehiK0V6KNuXQzUVPOoIltBQzEWZOdQDzZY6Zye78mKvrOqfXP8cNPiuMaT
H4XnfHQ4pHXuxBI7PFl0w2sBygW4DWruJZ7mgK05Ieu62RiTfBJde0urjb2aW7aixYX63yiZkJ3r
ZySNY9/EqKrttknrTUN8nBUcBgLR7xvR2bspyg12pvZ5tsuSoGlzFZN8VwnMiZAz6qdQAYExgJDV
8CXt5kdz61tCv5iqbdRnLW4fsVFQTAUL2uXkGOT51QrC9xJEVcTlTgfd8GtsbP2ciTe9su6CmJKg
QcMLgSFum5caLmNVZYJhpdEtio/L6DXAhuNOoc34OsFsIX1MwZZFmELQcxduLVK7Cccx05F7o9M9
H3UicMWeZQzkbeQbWk8kZwXbJeiIAQS7wjBwsI1nqPAhaCP7mFkYnESkpSszZ/gLWlyM5uIUStV7
mlMJHamrU0387/wMbnVeWToOJLCGnhaJfWHTGpAWmQaHwz41rvbUOOZP2Rc3sHiNjd/n/gXT7yN+
/0tqEtEBSRYopLq4xFsWx2bAOsTVjrlNz1UReTFL4HFYDC1l4Y2VEJsEJJvejvFpGHyWnjMuqDG4
T2zMy402muskYOYz5EBrbSrYvgj54xfY1aqRFZ/Bwb4X6s3oqKcDXEOw1sYjlOPosPnpI0tcm4we
7EC8kF+icDiWhx5rvRVpJd5iNg5oD3ggCXmW6X4oab6L8B/m9Bd4tcWSgauIBDBOA5x9iJGV+5rV
PKxAWNxyUEOPKPduLX6isEMHw7vDJ8543GYPlKnsiwbXuNGcIJtgMCPqsSpLzetznr4VkK6FgF7i
gZ50tiGxHQCY6M92PbZ0lRqrxugBSc4u+lE67BIj2PeyWVc104GVf9rB8KWCcIs9YK8PFv2WkKIf
s90cQNKSXb2yyupJll8N7HPaJuGC8vwqti2DaEDHk8G4ODwg4zVtfI564wyM6ipT95QDaicrCbQz
O+G3OXVBvZ8r57PM9U9CmcXW1/B5THXzCn8/2s1uemz88U5a4xfLSssipsSoZLP9JuTiO99GHDP6
YnEHO4MhHzdbg1c+YbovMp4UVlwzDl+bhjaNg+pOKLabIq7GFfOVjWV8XMQU40PExQPiGeLWsHPU
dPK7tETgaA0asPo7Messoa3jaFTnniDZBjIxJ7uZQtEitO4qn2tfivl2lO0AdLZ9yMV4000G/WTu
2Q6Z+tvZ9xcnIJ8UKTxo/NG+GBLQKGbBjTlaeP405yFv+tzDb9psOhkcgHV2G3wZ3HaPIrhDlEtA
jOvjS6bvh4h2nuIb6hng4EWG5y4z1i722d6hVTJ7a2zx4JgF1HlY4t8BfX/Q8Te4xBv5VLVoUO7W
jKJNbWr70cLY9DRK49omtH4F+AM5FK1y26RnwVrlY/6A3ytZMEUrX8d+kJLhCaFlJOQBNPaVM2/6
3NoMLzHCUSu3qdU+BT2t89EwepOAltdEG9d+aRWb9OBgs4Ri1xmc9JJ9FyC88qoXg2fO7TON5Bwh
l0vW0dFQXVLTAF10Lvv8uFSTWr55jC3n1pztPXyjbaSE50AJ3fVhdSnzMjj1RfKM8dVEveb2HdgD
60t8ZMEDtxy9Q61qoJRZp4n1xYKgeXey9jVo9H2VpA+h438FGLGLRPfcxnoxUizKPSjjodfoL+Sa
wgZ8tqzZK+JiU4v+3BrmKeOyN+g5um9z6XUCvPSA2DYFq5EFtT1ox5D3CLWMTxj671nyXWh52/tD
dZtZal/40TOW7wcMC9/+RHJHqdNsRNeCI3aUmV7aT4dBq4AQ8ZhHZihorIju5wzRscp5v4jsy6Hc
QBupz7CnT1Khe1tm10RSB6ZLtUknRDpel0Q/B+d7GGKxNnV9ZzTtYxYiUabG+E6LK4YMob6iTLEe
jvUtyeiXac69mJakdJq+pojdyqLbuE5+Cq1gx71CZtHesab6yWr3aR78C9zNifonmxDGcENBLDz/
I33zl0B+5tkHjVZ5e0uPQrCX5i4IxbrQTvWlH0hhlFzmVOwEx7xlhoHwbvA2FF5HnXoEnbhygFWW
/oT8VV1MMndGney7bhzJKJhLvlRtkaGeK+h8XUxLRYEja/yVNtm2c24iAfnKH9Yj9vjKAbQJwp/y
EMJpHSmoV3+6ED7CYoQTsbffGpjDjhVu5VQ9otAwaiq+Fzlue6vdyTjzNN28BtC0tvZyYsvxd1fx
PPCYEj/wsYpN4hQHygxOHJ1ZdyUjkPLcZDu8jK1W8SVaKLoMz0dwnGyGBuWZ2pc1yLOYjKec3c0K
UDCOAlpS6IvWi3M0UJDTsrXWNPGR2ZLfZcqfy1LuFdxwbOqYJ40v+uR5/rELmRePDN5rw8LOH+yC
Ojj3DlgtzbPc8m3002yPg29LHP1d4JBnJI3v+2H4UX54k7WDthNoPyW74Jz6Wl60RUQf3/TS9glt
eXHwNITNh5oWv7NmnE0Ak7JSNAPl5r3ZJKdyZh+kN/ND4GZ3mgRu0FWU0NYrKAKog67z4YvoW2gg
ubIWlGabj9Fuwr6HmhI9xVyrW/6u+a5e6HkhBE28ZIfR4LSbfllSgaCyTffMG2rndPMzcYmHgkgD
WAPzKhd/RIkpsUzsS730ADrFbap1a8AlFK2BWqJArN+K0t6VqUlczmhfzaHeWTJ9stGg+qrjzRM0
Xjda/r0t9RcgQQtY9NEopm0Wa/scFFtMW4kWVtSYhk7CAucliBty1WjCacNcrgjvRqnxUFWeqg/p
wDldzUjtEXdrCO+OoOWX/laU/WeIIjaH/M7gYBf/HKyDYUneJQHuVMS0tR5j8hvGe1GayRLZ3GlL
GMvp06OizlBr7LvAwZYoqJ6AZCk30dhT21A8WC7SeZ6GZxfJKs6GvRXhcrO7FgQVfawNkdej3f3O
bcMVMeBi1XxqOtrxJxqWN0kQP4c1B44SdqQG+CMw3FtBgolsmU6iNESqCoL8qbOIzpGYgpq4WAyo
LUlkfmzyON2TIAStNWInHk04JFzUZEKtO2PSgeTHTGB4hzBKO3z0uLJXzBpL3SJM7MD6/q/L4Hce
EYE7weH/f0c7Y6RqfrV/5Q398SV/lxLAGaEYIBkgDLgLVPnvmASUBNPh/9KVrgwl/8lgIKANgTPF
YW8AMAKu8KeSIH6jKc0xXd0AyMyXqf9ESfhdk/gXgwE+BVQMw7QlzyHFn/RXSgLlZJP0U1pjUhtA
nkqTZN064sgLFgNk4tsLmfVxBo1idMMdEuKEpB8BMmBAwWa4MgYSZTFbOGy4F5PslCxmKkn9Szi4
j6WG2zIEghPb5UbGnGext1phcdST8jx0w5tpMB/Ziv3fBMzN1vA4yMwIN2HVvjaA73Emrv3FIDwB
xfPH6JTL/ED6CeLorUEu0ROFiTjnT/e8qi+zom0G0M4lTiWLhU+20tcqVucOD6Md5k/ktEmqi2m+
BPb0UlIcvfEj6TnJZx2zNMjqaPSkGYsdQZhiF3Tdr7bgjkHrjdbCHl614Btg0Wq403avqD3CW0B8
W2oHAMOHy4EgKimLKucd0cBlL3sZaJShsMe9mSmGDMP+rknm6VzMerRDyF038XQhpHADXBAlI2SF
PBuvSTYyCYG4ztqPIFM7v0g+DZz8tZMQsqxvAcfcWSihfRLf81RcAGplnJ404R783rjJXKaTgEJw
gkErvyJ4GhawHjj+G4Z5O3KgaRH+ESe3PSXGXegNAYgBer5MLIZZrgfElOR9X2geqfnPwC0uA12W
PS8yZYuXvNcfYmqSI6wO63QeJhqgbHVIGOFPRY7raizH5qGKGDP0yf4V+6j6WdVg0uAds8mr5EFn
qhmaedwKbCesI2qHMIvZrYZQX47SVXDI7CLYtEWjUUMmg003Zb0nY14ZAT/igYPASjGeUoYG4DCa
N/jAqTMtimcbFCgBAziohqs3t8wrMfOFugSRkNd44Ber0j1j8zmUVfLa4aYGBVm8q1IILt5a5zTT
00Vg2YgxeW3fioCEKhk26mHh5ISC7mP8qnS4ccETTOs3rcix+c165gk9eO6g9QhTPMV5+FhB8qFQ
apMKtIDeClkb1dKbxwg0dXXWdPVkhz17imkN7+fQZ7pHyuSQ9OUxruJbaQUTAAvqmxCpQaJyssQN
alsmTdAL94ju2bXuVJtMF7+slmx+ZGXNJRmmIwvNqzW3d26dEFWNljp73rVm0L4MC6NJVSygk7x7
LOn9zShamlHLHeFwUiM+kR+t2PAGNPVyEdetHvMqjEG1uJV19PfZXIjaiyKPMo//BJ5H5VHIfGfV
2dVGwY/H8dyg6PumetQ41ae/S/1o/pKakYodgMYuoI3mH2dZDlAjt4/YFnQhdmm2BwVbhI5QaM9W
oVvcB9CCJNuGapJrZYAtH/LZE8tCoqDxuWBDEfTZtmJjEYBmXGgQMMzBdTVsNbSOpumw+2Yr6wEN
OiUUku80m0XIEDEEw5LgMM6SJATBMPTiJqohdpmatc1CRteJzQqhExDLy7IlWtYubhhbm0IuDyF2
MlGxWHAGl29uWdg0v69u2OHIZZmTLWsdg/1Osix65mXlk7P7YUW45OtZBwWFcSQ3dXIXxuyyMGri
4IMinYx0eUHrbDZhOk8EEUgfn3Iz4t2kP8Yxnlhe1bRXlN89BLN1Lk16HDOB0jVfZ0e8ovbpG8dg
F87Ba0ttH3RxarkcQUFSPb1WWW5sZeXsqiJhriOkjk+L81Pd7+bYarbaGFIAP+t3jaFtnAAzZURc
Urdq5ikLC28Zt+Oxrsn7OuPixqJq3swOwEViliT+a1pbYj1YGl1P8VPfy++iIlDb0tyFYkHdLwOw
HpqniGisSZlZNgXzYmDSyKVmFxU42m06yPpqqLg58LoSV53Wuq1hZR+jrXMMZ0Ud+9Nzn/rfk2DR
2hEP1ZMOOGYc3upOTL+PG7JYxKUUBuatNhEHU0i9ffo1WPopRXkg67FsxrNup5OVhSDsYGpDByIr
VfoMZFloXYR5juJsr2vyrbOwV6Xth88xotIzh40V/LcajmiepR9ZUtt0sJlQLUu+tjJdE9hIMZ/7
eACGp2gm5PkD6jxFxRMc7934R8yhl5n13uCZUtHUg7hO289cJN99TZTML18HlzWbizUhE/yFGdXO
VWDTFmJ1K9siG93OyW5JCtulttGxHCRufEeMi6AKJ86RlM26w4NqDAhikgt/I+L0yexpgGuSkfg8
bZ8ONj9YwwAi0I/tMQQ9W2evCNVM211Dwncsv8vWZ62asdufi6vmuhTq0KbnK69FIiPS2hjrgZMk
tHsq2/HLfiqMYsSHN1qAtyYviqdEUT/E8j7Q2SKaQb3t9O5Sx/rjOFf3ZeCcxPJzRLx/dYIInnEP
3n8YTxaA9C5Pt3otfs2Cwi5ZESTLKCaxMGQ4Iek6+01ZMc9U58p76aGjn4VSZJL3VXWVuPmZ7LFL
ZMapFs1PwMC7TUftlfv4zLriXDq9uemsyb42sin21NMQX2qfEsM8dAgUfLozUEVhkHP3W5LqS+t7
3wkNnnd6k/TZE+iqF1ef5bHSe4QTILYclolXNm3+0IbGrrasJ1fdhe07boqYBMKKBzWkYG1xaDqe
oTk8FaW2sYKCRDGPLfL0H2ywxUr5MfrfcEe10LcT97sA3SzoNZww9j2tGyQAmr3T9bSNFe8Q8t+i
cXgUKKMUecO+LbvH2Jf3MJ3LFbrui2HLtR8117gkM2wufRXJPsoz7llVIMx37ErcjYUHsGI9QKh4
0wXvtYLZhl1jLXRA5vH0xjvK3RhLD4NpzNleLIv9via3NFAW4MFWPKZm4Nko85hsMdKk15EoRtb5
e/K6mFOgkZedU/6yUfm2BWwpinrLJ6gK5LOcmlB5GR3cmQST5ff+tiXs5RjmgHpVn8tO/KgwAWhE
p9VA/AvLG7HZGOkWUGMinnkQbUTUepWqCSakJEg4yLUBlQ2KPEUzvZbLIXH29dEbDLPVwPwC+Yv6
iy3068BYsI51N/f6O4Xi1azziu5YmTVgVeSno8L4ox0db6oJK2V8u8rVun6bdZgxvG52J3ddsVv7
5HjvYnuqugb07OjjozSpZIr58VkmvrjFJWLN7luZkDWGefWsWs65LA7Qlfvq+N8D2J8HMMV2838/
gG2Jkf3toWuaX+O/nMKWr/s/pzDxG9tYzkwuzmyhdJN//f0YJn6Tuqlz2AJXp7B0U2/zj42u/I1i
NekKcHT8ujT+Uq6D0VvXDSiyLr+jwSr2PzmHYQ3nnPVPRm8L8CuHML5RU5jW0v3z13NYYetVZPX0
mhY5rLTML1gbUfVlNUs+36EZ278NsElhRo0X5ygC7aScdRd8dnQ+EMierKsfGzjQWoX9qhn3XJzX
KcLZncVXCiysTTVieCjLxD3IwaVUO8m9ULQuOZKOZh7WU7QS6+55BPAUybn3wgzlkNs2QakKantd
+OWNTrf7XCXdqkNus0bxaregl7BhY1RmraXi8qDN9ZtJiNSWyyFm+gmmj9xNA5aOYhNKpOYgpiFT
SCKgzOA/gEnslYF5KE8UhW1+y7PJLtnloGMrwvIm2mJMWo2/+ECVTafw42hgnk2WlYH+MINl6Mge
rkT4TdBafcOgQDpGNoui7zEpl7WWG++Lqfgy6TnYMtXv9Ry4DOAfVO+ofxSOva0L88Uawj2FqpTd
WdupWnLtA8pW+BGaTIkGFWXrgh+/Hftn2nXIGDIWaDStbFmlzz+lvIfF/h5S9hrwzLWF8ool2Dla
yKtN4U2pdROa4tGmmjUmDd/7NdsI9PI3COIBLq6dDO2O0Lh2J2i1DfPiAcf2d5wX0YZGwTdekwg9
bGtUPjWYiQKX/ZWAW6P2SWq+lROtQpWMNlgvd7S4sIwxQIfNkoVYrUf0UQfvtlIbRw8/inl8Icf1
a7J0smXuj0vaW2us+8o9QjO4H1vnabKtO7zmNdUJwec80AitzJjjQDSw++d5WBoQriN2xasW0ge5
JCU2uJ2/wC5QrQTfX0VuyWI/vSFixM9sdrYi6zuaFCzqobrSg150oxYEzdiLE8Xaq0byaQi/8dpZ
PYBQeCF1DJC3eQr5qKpMMp2UFDQtfx9eCVtw+V7npNkmtU08aVC39EQ7gMu4pJF4Meov5UcVYFyN
7r20g6FCk5wRWM8Dr+XRV916nmlV7cSqrZpNgbFh+mJb9YgCzLo6TQqvtSETxHDXa0duiyb0ktQ5
+iK8NWNWE5VmkDRd1kCySz7dPI+3ie+u5r57yobvpokvOlvptarNx3mOLCSMdBtZlJjXmX+Xas1N
JmHYDpZz05scPJ2AFVfrp6ZXzPauF/4OWQRUfV0XtGJj/1IJV9Gg4ZIw1qKJnyJDHgmg8TXVfbhs
Nlgv0Tv6PdTWK03i3HqY43q2o7XElRTUj63UiQUMbCx0RMlk5trogfRpkSbJ86PRzhDJkLTlJQjU
GY7bS+9LfdNXtDyElnNKdfN+XMx2jnGvZLqqELsphsIV2hsFjBvMzUTueVvfLi+9KuXPGTqKhOc9
9c/ntrAn7uOArDyeUOZ48rWh7Zs81Eo+PU4emywxSd4iQ4Rl9RM7OpmD+iWaGg8T90/qpK+Rkb5k
NhCqqu0YjFFV9QAZmhulXsVmyAZTNQQq7Q3NHBPGxpzNraK7fpRrpwk2qkcOQua1Buc2yLSHnifO
jgbW+0bpaEfJTwKA3xLVzmTwgyLQboy+4+/phrhV2VkMPfbRhSyhOeZ93pAFHgLPKXSO2iAKJB7b
lUkFetRMF8tob1XW3/YW4TWzcGzWNIA+Z7wTMRa0mI5YwZBOazM0wq4+sQv47hr9g2kSvQv0Vsvm
vHYuATGWPCG4qVWPrUbDjikhgATSkzmVZqNZXR2DRU0sfonQ/i509REl3XFyhy+ci+hy82FoGMcF
50n2CucuCT+pYd0zBJ2JL2HElPM5dSyulpncbuZ4iHxwIrGzOxQieaFr0ytAawWHX5KXopasgnVV
r/uxWBctMGHIccXUfupqlKgw5nboB6rQADfVMa1qgI+8NtW/Ottn6sz40IhKi4rlkwkabitDPqG0
YKMRAJPcTHQJ8Jx4jEqqO3Rs6bZd3riS/gwHY3yEY4AMb3Ia6njdh+2HPmpQEAL3DgHVJJaS9Wtt
MidPqaHaSQuncDFy9rV58OOocbQmf4r1bDikM1izumkP1Uh1kQnPGXcKi7S8NcZVWTtnZ8GhEQ6e
EuOzUlCdkygif+ooQip98qubWS1IEHEn0RtYFNlq26n9goILT8k6YQmcd+xM3gLZ3jkU2rCpUTzb
UNW6or+WKY6PoW7Kz//Ofr/PfgjfUmGl+3fj3+ajTqGGoMT+dfr7x1f+XYY3sKdh12PMsv4AD/+h
w8vfbIHSjgZuk/RbwMT/mP+M35Du8QYKi13PP89/xm8GCGMQyFLXdSH+s3JF/rR/nf9sqP+LAI+6
b1ukx/95/ps70+0SaVOyrNcvQ0/gVTxXQXS1J+cR1/7ascmoIhIJpqo58SHHktLVqWMeg4+Q0C/Z
d3pEn5rxgBL/i8qtt2CxpSZfPsyTqJkX5OHz9Hukwj/kkJpm2jhSO6b/GUmV19eGSoJ1QUF5zuIa
JYtwqvGZOt0d7p9j1w37CulL4Q4YfOuVnZxaqS7YhwFp2pLUiUKoMEfrOpIeKqqnVocBK+7Trn2I
x+GgJ+S1RLfXGSPySn6PDvS8wAUBkl3KxU/sXrlz697kYWmsQRdtAhDFhQY/39JvpYsrn2dJjntM
tmpNe/IKJ8dNF/hrWg0gJT9YFigB232QGufyuaVZpN6ZgA+K7tzln2RAiUcxCiNF0fWMiZSAN8/k
4j2LUHOnW7aWRxe/cK9BkFT+tgKnxeG8ewyROAzSIlAATdqr+zc1iNdCs96Uf3Ez9xhHnNV7sTPk
BGCSFAH+OaC0qzQGnzEWN1w6RzrD11bTPs0Nrd3FuRufemBndjnwwvLc6XOkZssu7+J2LyhiKIpt
vpwTqWmAD2DLR+zNq+zcEn3wse0BRY1qhLkYMoj2Sh1BA1wR0vsojjwuNcgMBW1q+cwL5l3A3RP2
nRqGVR1lHjCUEhcTd8kmKkfPIfgg2HnX7FX6khHHfpKk2uFc3eEJujWbC4xnihrLY+J/+UzofvbZ
pZgPAAvIzt9aJUqN9cqxZu0EENWs4Jt/H2jgRkXPphtKcm7zNjq3YXe1sU9taiYSq7sqs2A9YBVP
kmpvnA3ZBf/DOYhwUDgne/DC6EjZ8WkMAbwMpzp68OMbjl+rlO83mzMvYO1KpmEKnhqs2BgAsmAN
5qrXv1tsYu707hbVPurK10k7RtI6ol6hVyf7PHHhrkGvtm6akZf2JHdk9XZ6+mByTzWRh/ywMvLw
nIKl7F127Rm8GwEUEik8ce0HsK9rG5JDj3oAUpLKdLsP9lZpv9mlsx8W3P9Q0utHnW9FB3CmQ5OA
C3WjBpg3sTowLG9tRgvVOp4d3ES+PIUKADBSn+zb7Rjf6SACpilZNhSrmnGl1RiSnHcCU1uYtlz3
5SPpq8iM+WV2HxxoP5kqkxxpqbW3/Bh1jkkmfk1eWXV8bxfdU1o+Q0DDNDX0By4C3vsUq6/1+nPw
nV1TVG+jcQzz7mOKoHAG/CjxCNNPnmHMVbciUR/avK+ndM3jle1zuF7AKK0A3hZSU6egVlB8tnUi
+6scyKsGTPwRU5m1GZt4bdhH2Z+oRyJYz33f1SDVqrWYnR2Lfa8yrwNSCktD6kKemQc/xgR+IFMd
Fs111tMAYpfHXjf2koA9sNE4IT6qP+jWJUNBtf1fEcqiRsNdlSrswF4S04ZlGAeh1E9VZDzBwKTJ
BvJJRNrBNV/quNnkjnOh8IQaUN0rAKvFEK/zpF1rtP7hGUQg5sP22UrFzXYwmrdWtqex0TayHM8+
R1wcTYcye8Yyvsm4ryNGrJ72OMAIh3Bh4GW7ydcIkU4kM4bhDYr3xQrLXzTVv0W+2DlZhTMa80nP
oC1IYBFJ2wriiP30FGMHc9P7cNEDcwPWysLfdlMN+EO0mQl4V825lfiLKiwBjXhgZl01JIL7uqK1
bapWegNOYMkgqPJBOR16I9Qf5lnN/65xCdmhuEvM4TyDtOPDsDb8fNNVqliW0E7pFAI0KJMlypfV
z2yEOHqMNNrHGiVzpvRfJAD6yne81IGUADvPsJJXdxI3lY7tAT9GIOwVS4hdm6YHuy65eltKKqpD
TXuk3atfss52ZjodMbVs+u6LjOe+0bF6Bu+NBu8KWyWYI3Zv1ksU0Qsao9LX6fihwzr0Sa3zml77
krBud2pZJwxZkEPavKF9ZWOAqeD8feKA1exNO7+Ebnbx9fJxNgAxV8newT/YKPngAFOpeil4hdZr
nLMbnFybGghqBXiwogzGbMdHLWofG0j9/53S/pzShMWi699Naeuonf5W/PztxKhGa0v+t67kH/su
Tf9lavvjd/pjahO/AXlgVlo0NmU4gAn/qtvxeGMyE0K3dZQFXUdS+zOJof+2uCoM22JyI5a8qG1/
+if035YQBoAGRZeT46j/rGZCX/wR/6Tb/Q97Z7bcuJlu2VepqOuGG/PQcepckADBUSRFihJ1g9CI
eZ7x9L1gO112VZ2K9m1H2Y5wZiolUST44xv2XptvbpqawuwOMTV5an+s24qpL4Quy6XFGLfpshy6
cG2kknXocRGj35FWfUxVU1cZK/4hUrfxfHbBisYB64sWzvf47isTgcYTwiexL9dG9x0H3XqcXqIO
a6f/LuKDBu+3NETPqRUmRQyIyO4DXY1EOKwe+uigpc2SWR9vB39Z4D6thuJhGFrEFCLbQKfPuweY
soxm1jo3qUlL4Hz5q9p4LlDYloDAKuzbsZotNO0dK9RSDoNtrqWOpgw3UXEjY2PhOR0UmbxSbtPZ
9Fjk+Ydlcl6NJrY1nOkBAuVkEtQV7sBVF8Y6BHYIZHni+GFISE/0mUokEVr7wUjcXu9sPFErWWaS
V9QPU588mj0iBFNb5Hr40IXmuYJ9an4g3r5SKTXnbhg5cGn0SmGDDH47IaRUGZBmEzVOLiPaewHn
zzK2xvVuUgd2u3YoD5pVo01jIgUwIWoCDTtwwD2wX3i5SfYboeHeWG+oe5YEEH2DBwPAIxK/s/dV
0HLNuFfEZaURGiUrewU1pTxJzEm0hxj6MZMTRke4cwvk9e6c8Mp90QO2Z1CcWLexrgq3IxDH+c9B
8vuDhHfQ/zztf/z6/Hirfg56WyZf3Rfmzc9/cYTwNX47Qgze5JwgBv8QKmOqbAV+6/xkuh6aNwRV
szpLp9P8cYLQ+alEwFky3DZm8T9OD7o+kmZkPkkSYb7Rpv33f30M/8f/yk+/nAr1P/z+L1mbnvIw
a+q//VXV5yi3P54etHsob9j+ES5nWrPP6+PtcT4l//ZX6X8BKeLOZjIFETpCFCJfu/Uhbh/GM7TF
32EZQqDKi73QEYTVK6eqDFYhzqTgrvfZx4RMo4pATDLZCWffkV6WADgvcfoFXo+3K8YR69DIHyPS
VDk/htH4ZNTnyMKdBEzYmvRLEHZ7vwOXptlmpm3TuT0oUf9WKLbTV1UgvMqs11b4lAcEYumE4OAy
G66MqkEdEHI4rAvlljQkJYJAs/yWbgTUPQkOekGp2FNM3NqheUonVw9I1ZJXGbp52hXEK1efTZ1R
3RWtcdIS1QK211K3VUgdc56UGYCpxsmN6BJ3pIgimzS0nsJpEtfEA9IBsEmY49MEZ8Az4y8tluQU
u5HmatHehxMj5MuYRi/KX/38bRheq8pFVEBx2aybdj+LWAFf5ugvx1XrX0rOk6G4TfG5krBMlTsZ
j7ie7wQgYNX4CmSjZfwXKGef2NiYCHUAH8KAPYpGK18TLe1QP6UBfoW90B8RqyJoYLAv3iUQqy1B
02Ql8CvUU7tKRypmLRrlKfY8dwJJGhLrxibSRDFA7oKJT0WPdlRUFZIOv4qcJobqEKItQy7TPSAj
2ZjDRR7WSsMwgBADoiZM1YUpsYhSaanxLIEgW5rdBgI4CfZYniXbmo6ccrp0M6wzD5eit0QtYMMr
tzPvsa+oXRGJCcY7aiydgK323IBRiH0XxX5Bz9QXTjzT4QqWEboNcAR/70eWuaLOKwGZqyOoR09s
A9N/k1/F7jqEe3iFjKrD7M0DEd3vu2oOnHVFS7Yr5F4JVyyvpFavddToSfrQ0p6ILXezPXlMiFvW
vn8y8diF+zkoAPUuMrTAdLqcu534rSnbPoxuQkV0XubWYndiDys0b1P+PdukKM4H0Xq2vBwmnfec
cewHzZeVXBhkb4HSzzoXw9rXQuGoNNLWJvDlpdBOhFwsAwTnk7ErK8DyWAu5hizV8Tx6e7LO/GUH
UnPNsOIdf1Hg5FpJf62Px4TK0kHLTP7CeSJiwypc+BNp5ML1aNUS7u+wRRDH4uIFDhEkPFVeMh7v
1GIFUDlkWM2cwc/p9rn+Af6LhbkvyxpQ/gQwzJVowmTZEVEEjTkEUeCioboYdcCHGTcnJtv0MVwq
lbiOTVaGPnODKWbKoGTBU+YRlRxmL4mscAY0S4n7V9dK6LiBzM61erYPdAoHEQn1LW7fknI7ptZe
bHo7Jg1+HNZ9KzktwTnKkJzBo5dG8CYxw4W4/xwngBchCwiBdCoIdFECHpvSrtDIkPrQxm7YZOfO
lJ/Ikt92otK6KZPrTGdBxoHGjO1dJE8XqPtCCsw7MwzsYQV8YHN4B9UzStFLlUprRH4cOWK8T+vp
joDkkGWZDaz7NiXWeuappoG/TA0FlMjWwA4m+sADpbeoY4s0ONMwkuOuRSjNUzZuhUSfiibqOS5h
K5jsJn3kQSst6xMCWMrnQSmd2LK2IXtVSQLeOeCnKoK9b7I6DLp3AjMWQH4ek0F0xhS7akSTozJE
6Hk/TqA3cljSMikSQKoV3dv5TJVsoEeniKMlt5p9TbpEEg1recTLId0rFboVFocpqN7VUSd9dybb
cwLiedUFuC4ijYswnFpPhTKfHeJ8cjstOpfzayCyafCQymf6dApTvd0w0oRMCDLdLUQ13fmqsogL
roR+Buzr/b7oEygHUTwP9yfo/PVrk3FlDqFVukqd3uoStaSxArLesTfbZwwZDPIbFfnbgOZvVG+9
z2tBPMCmnIBA/Ke++a2+QQz+b8fZj23zr0qaXz7tt5JGlem3yN5Dc2tR0cyKhV9LGpQOMvx86h0T
sTkT7blh+VHTyD/xEcogmHFEDRlztfGjrpF/0miXJEumxzIZuv+ZssbU/rmsEaloGJkjK4dUPKPz
fl/WMAFpvJTYZ5yva8grTo/XibSsRH5QxUND2lPZ7QElIilL4kMCdq2GbwGHp1mqJZ7szPXUl0Fy
apawcnfoG+YKcyKQrU7XObI0ZzIwim/onu2aMITgkicXwkxIESOaKOo5Me5Z70jkLLTh1m/n0DGy
B7yOoRKA2AQed2j3Opz+5lHBH17n7zXaKPZXts5iW69JAPPelPY0EqbJhmzZgGtB28YKau1jyFax
64jKIed/bR7BrTYWY8suiglmrUTbocTD1LP3VorICdEQyfCnombLjSYadn2+H9u91jwh5izMlZLd
AeMWXeYY6qZQPuTuKKkvKRMkJG+kbJXNWxMu42zTJE9y/ai2j5bWusYgrw0OqDKHehLYIfqpauqf
2c8jB6gPaUyoIGGbcE9JHxE2mrLX1cTu+Vmr4ipk+ILLFcS+hTayUkTyj1pwM7Rr0ON6xxrxIRy5
F1NcMkcnqiAm5xatmsYty2v3oJTa8jMWq2WCF1MkghfZWlTnBHq2HIUjeoddRC0ntPMonfIN5q6s
nzPvDVjgAonvSprKZUG0LVeE5b3FxINAZUsGi1m19JiqRIIysGE6axnmGqc1O1Z5wzqPMQ49/Rwr
wJButL1KdyNBX1bCIwrctagR3+OdPOkUgAKKcSLU7FHGVUOM9wTDqV/H3lFN9SU99h73MtfSuy7e
I8z5vsmM64vpqV1FgONrf2UmKCF1BHeHEdGxt9ZbBSRAtDKnbqt6jIND1ADppkMqjlqF10pwDdQQ
HU9NegzCO2+050E4lNOL6qMIn9C4z3vPd2E6ZYLBrBKUrQ5Jb6CfPBtoL0fxOOXyWuOXpQhxDVOo
GBy88iIB77bM17IK4Tcv5Wl0le5lxOdVtoDMWcRg7k87hahdSjkZBXN9E4yjGF9rzMKaif0M7DCX
CO+KrDzLJBvquLLrEiBYbBc+dPAkc8lHgI0k8R3Ga+RL1wFH//jUgg8I5XuQzvFpyAD2wBVWbDYB
GJS8lXug8D5qjC1RyEN/nvIrWopM+VCFrRFbh5i81akBHFdVO3Ek29WAOdfVF9L6QmhHy159meZo
S+susjaWiokvSWCLj3Id55co71ghoHcnUt3P8uUgL0MEJEH8btaPw5y4Xnnvc9ivJHwlHCCt1h7N
GjsCyey6Xx9M8ZG4N8StNeoUpMwUSCLJunoqOr1oSxXOWGKJWdH0OYb+ZUbQl1cnh9SXMX0prtrm
99FCQDSLFnmxElzVMReSjxWzFVFlpdmqUVE5BAbBnMNC9TeFFT6TYr8NsRNAYVi0sKYgW2zyrkPd
zzBCUK9A652hKd8kQugtLsGiK/chwpWkx6Het6sMv/+AETfJFEdH97w0of+aUvrJxmDvDRkNFxW8
Kb+bqNOVYdxoxSULzeVIgoggd2vDQzyNo73Foy3nDP1HDUeaUlHO9Np7pDf7MUUHpl3HTDrD3vg2
KtZ7Y/JW1dHOwjq8DBJcjxEU/EK/1J15NDAw+DWxz0PtSESNqNGcAFH3TpOb37niX9S4uAQTstMh
hUY8BbPiw99AfMJlRiFRNcvJHAI7SdJrKOGdR8R1YR9lV55TwCVYRGQbByg/WcjUrNeWpUWUqoIg
pEo+iG+AfY5oRVX93WRUm2YmvnXo12p0KRmuHhkcolFcjOTBQs+PlOQBhDhZCPQdSBcWlUyAntT7
oO99p0ZPYeKtro0nLoXaPGrSqvQOGrAFYpJ0nJE0BLn8RdlVVrAXyn3KzHwCYcJUJ01PYrgJjYdk
NNYWbWPULoXpIedEY2Rt0PfI3aOn3whqlenCZk5nDtR8GBYCVsNEuMikTvTeKo9fp/5j9JbV8Egq
EW7nFT5TQs/sOs5XBcnT/MhQUrqNa5TvirkPuB/GAvGLJS8+OlVysgzIdeqLGu9E/1EiQqhlhctx
G5710jVqnBvqMgLtYT2zNZlDc8CW4B/vH/1CehYiyU2QwoT4vVSSHIJiaQXHMWC99DJa1doAOzY3
0Osex27KCezmIMZB9E2ENynqs89bzko3k+SS8xYRNNltFGHvKU+ZeFBlSlG5BmMyceXBzJImbVX0
0b2ibxUUDlJAa4Xu1mw9BM/pzP1ETmDxFkxc09ARgUhK5DAqa2HoeNcWxxqxkFGa+1TubAsaczhh
18CvOpXDUei9QxXZgffQWdpCV7icIhBzMZvU5yjOVgU1gxIb1ygenMLoDsQOrklKgHOHIwcgdqTm
bmHtsJDXFgGk6rNpHvqeSoW+qB/ouAecp73wJcuKjdeAPNiAo55TmUdqIZYk9hpGNpKVcFXJ3SrQ
5BNb+q1CV5Fr2aMCEqTpiueYa589qV1yBBdy/gj2e5cPcDFlIIo45ZQExbB+iPVqTRd2CUTGCEa1
znORZVRgi/K6wdPWByrpE3vum8d0RuFC5S2f+xlgA1jM2AbhoWrsCq4JxD6eWjTJ3H+V7E00T113
zTLUU6EtaUi3XuvkxZfuQm5L0HN662GEnhDYXH99/iUZbxkJ5zL3756OVYd86r+V8lsHVm+uYwKD
FVdkD77rTW8lMVje6CSpaKM+C7I3qU/sFlpVt6vLjwk+lsTyvnXN5CoSOADtvaRkKMJLaV6U5DDg
209fgGrrHGlauRGKh7E4M0mp4OXrRF+oDzNRzvBVe+R91B7kHvPfSwaYI/GIzqhsvIKKdDd1LNgx
Pr51jRIUB21UuUF5gLNDohPLrQzpt3DKTVSujMSDbYbxMDqO6Lb5yS3rRYLzYOHH8xl09wbd91og
G408Bjl6UsZt19CxP7bT89T1jqHdLR98yy4y1T0YBayNiCdeh/EBCdSmERyfvb1cTauWkZnIJF6K
7Fp78ugcJbrKbjuQ5q4NYAEIzdEmhxWTCVCHnaO5FU2y/vJ7Yh5ZfU/drilOJWN6TXthn1d1b15y
7gSH0gq11CKx7h09rBqj2djI1aE3ryXv5KABWSqZSwOZw2idTTV0KhyPUU8pCAsmJZQLo3oInyx+
5hhuyqcJ5X8zOF4fOTlZR410b3I3NWBgJI5JGCYpi9sENUPMxADTnIGuI9sb0atedE7LuEghx/I/
zd/vm79/uyU7kOfCWmz3NVPn/nGqTQvIJ//WAmqWNI+1NU0zULYjHPp9C2gaCiYpiz/FrfmH/HX5
J+BlimLqmqLpDJ4Zhv9oAWeyGeNuSxYhEzFi/lPGYr7RP422RUXk66DAw1RJpPsfe8BWEdu001HI
iQQYCuTOSNiTSjk+j5J2mArdGXCKdE11LMlVryLNrstHdOqoLl6Qwc9sA9QpT1548Utp25vyRjLf
U7IPhXoZJ7SLaBzavD5LvWTrACC8Qdn3I3NzIkjIBSCSoCx3VUt8QU4UzEi1ES/ZIhK1eg95J0x5
icaD24m4bMnbbep8HwlscEJpXff1ciw+fVF0Bu0LRkYF8RziECFoGSFP01o3WyeGRN1Q1DcYMi3t
RhCK9OZho2P2vZE8HQuwsWLo6/Whw9uvyATHaz91fbS7MNjhcV7EYXHzp/rB7LuLp2orNdC/lICG
Sh/d3tqbCXv1Er4CYINBlPa8vx8G1dwElfTsed2Bkc+yJI2jitIlHIern9VM1ijjLZUbU7qAAE/Q
rNOpk20MFbwUDlEf6TKutEVDRarGLjFOrpKJqGjERRepqzgcNlXc7Gr/2QSYJs0qmEyzPcODT2su
xuASN91DWUwkRHrbflQQV+L70VlFWkGz10KZXEN4K76K81iaTo3fgUd2TcxwIfBsWVgMAXzhgqlo
/yB3zNHYq5LCs07G9GxF1XtcWi6qamg5dz1XFlUp2Uhun1KQX2AZZb/cV6m56cGDwKRcD+3FDwCY
GMrDvJm1u/RAOM1aGhie+xPGai45Yl/fInJ6FUJ90bo/MMHbCOarLFf3iNDDbLROFhQlROe7jBzX
WqHpjvJ+1Zcp0WigQutynSQfWIufVHialknpougK9c+4K2sd7ow0g+t5dIkIqSUXnab6YsuzqRGa
io25ZH567SMM8Mibgxy5gc4WwIj3PZEvkjZLzKCHNDi+SNEVLLdB0WFMWbYkVGxDcRomxm5SNABv
AfgYARh8/kK2JZSVGE955OphfZ34Mq3JyKR9l/KXmDtUgS6t8hhF58DGYFn4skAiNVWjfhfK8Njg
uhRyyY1LJO4SnZm6jfx2VWckllbvmkctqarrsY1EImaJS6kbaOJmzxNhnZHgnOVG3BF9ZdJB5keT
uJ6BqCBIVyTuVcpW0w8BZ5PNZMLMFjUMbjE7+wxc4OkY6tbKdyEG2RnjFJdkCzbAYtNzlJNjdCul
77jYkNRpx/JnVVXLMdlrw6sRkd3C+KKOCgS+UJVJJ1IyuDp07TSMagVzZKtZX/SqQ5Djv5BsQBjl
8IlsvyEgwGj28gBKmvW8j7UGHY8YPbJltsHFU/orCwypdkOMZscSx9ehKVLRV1shfohCaSuytAkT
YZWpj7FWrCYzOYasncmlIocYgLMAKAA5O77BLtnr4wfqfi8rHJ5onO/PaYigRTWRmpwNLwUMstWS
e8M0CnK5ndWinZbCUvEz1C/bSCILFnE1AFAoSvh0t2Z2EIxg5ak7r08oyGg0GdkHUOfjKH2vWyLR
spCBth9diepbZhDYptbm6HmSpdOUSLucwBOx3rT6waOBIL+EQ9Z0hHhkvJysS9ZV+WCBIadxnraZ
nG4FjjZGRdsOCHhQfhhgenT6IwJ1yhI+LSNhVbJFvqqnQ2cAjpAhJtSHnW9ILxicLV9wETnYaeAY
SbeOAxenyCIKcHi04zPP3w4DlsPVvDAteUsObLgYCv0W9v4ezf1RM7SNSXpUjw2Yeu2t1r/4zkVB
d93e2/pZBwWF4N4JiGMgsZVFDGi1RLwSVM4uD0X3oDyrTfLYG+gxGl+mIBTC91AIsuWM4ViqsfLd
4UpJUuiN7PqbRZhGV573nGIcV2vNMoJlVjTiiKjK1kJTsTXla9Xt1CxhQEDgjPboJe8BKQVRB3VF
rIico0MHWL/1R4X27jlNd92IVIo0qtM0Vhzgg6tPG60R3QlJB1u+lDmawlEciddUtZ4JxnTZQ39J
5fDB/fI8ziFfwKQpur68cWDYec8IF9r/p876uc7SVEM0VLbjoqrNum3m3f9OT/CQV03wF2f2EO7B
kOZJ9k9o2H/5FX+pw8SfRBkFEqWWpTHrxj09lzm/jeJlyqn5gzowF5BL2u9G8QryAhFjIdt/VOTM
A/9ehyk/qYqiIWhS1V+m8X9mFq/OtJp/kBgoJjASXZXJkNGY+/+xDlNrFXJQk2AxDslwhVBXh8aa
9th/0HDzK0gE1eIrIzl6iKMTRgfbL+JVLkk3UUYILgk5DZIhUsYlkgL9GmRWsyZ5gqwDmJTDq9+8
Fh6e83kGKSEKHjjEpOissS72HltN2KFb7WvdLdUNKR8SXPCxoxJov4cBjzJRa/iLu+oYqOy9OPya
vLVsvGJHaGSMdhOgcHxHphcYey8+vNMqWPe4f5roFJXlvScqmhX3QJ2Xgz3zRm/tRQeZ0EVt0lGx
E1umxRsrvQ6SiLlk4GZQIBb45PlawmlfK3l9ivHnoXSwpdF4kTsK1i6nueoawc6kS5fUR9kgVaIA
LOZ/eRr/j/NoVXjWSQ1AVIpqswBTyqxpcpSegWQ7foiMvDvaX7N+N+bxMNZm6BIx2m2oZaQ/gnG/
ZIH13caxE1kJt4ZpYZCKDg+LoSpxeglySLpWeBOVBiGL4LjPMTBPBrt6X3vwsE7CFBFSMLwa6uzq
jg53SSCE2IF6kzdGeqkAobWsgxdNv+gUjlSp5SXsNWyGK3CLWY/iDLgYBsdk5U2sNwmr8dliTwQy
wGvwMqi5BvrQCPIsAot6zpTTEYZ5gGGnxYTUovEEZnAjfhg5/CTUHlU9QXsTgTSLETncMm1TZqX8
NwBrldpLVQBEqVGgyvopJFOa+VgDKIVgg6KHgid0Dk56Z4KxzvhS3ltEj3vZEw8i71FHQ90hY66r
iRPjPmGk6Xelfg38SIzK7WoUetcKYBgNUuloCYGM3rALcAAI6NnNCu5h9jL20bpOXDkggJu8dHgG
g1OGb9qco2CidI2rkT27cqRiYwkf3qJCWSmjS2K9W5IMnrbKVj4mQrcHDngwJigpMmd0y8g9ig6V
wHBY8YfHAAqY1qx7YpcyffzSTYlhP8QHIEvAFr2XlEtQmo6h5oZTtdCEL962jDtsk7I8ip0u3laQ
eNPvtnKlDnoAkwQGwUej1Nj9j1e90Y96b9oStMTJKFwWgPucpiC8qRTxpNBJ+Wc8fJlMjmchfeZo
3LNyjWktQ+W5/y/PjZcdlNRJe9WF84LMAHaKPtmdLoGF4XqulxYadoInvUI8dHqzswTP1UfhCUUz
27p9ZN76MXIr5htxyI6G34p3rS5dHXKrh36nn2MVhLcq5kJWKNdSkykMtJj46rMOEFhdjJ2GZXGl
Z9kpS4XByZRLyWYsHonjUbrHZjKuesTlGew9UznWZBnqyUeZcakJOXk4Ys7PstNgAwECSGDlEARl
dXdftqchPpGWoqdgpdXpK2xSu6zjjeGhyS4ujHhXGvu5FkRQqXibCb1jYz6LueBUvg4hkK4sqg0k
2Wn9OleWibAfsmYTWiwepbeufa/Kt3jgJKwvfuwtBTbhmo9axSPMFrOKkj5I5ogQEc1W/6APBRqj
d4P3cCPZXYHOMfg05rAYRupKwRi9BjoDbX9VtQo9sH8X2QhKNCDVENu1NW0l0VuagbTIImwEQ/Ac
0oelNdNtxjKT643I0MVTja7Zi45K2T/j9nPkKTg04TmwwOGTL+IlLGG65tWqEYqgse792v7zdcSR
+8NfTsnbx1f9X/8bMdxHXoxkXQfNf//xt0jj5g+jlbPfmrc//MbBCNKM5/arGh+/asLSf6jo5r/5
//rBv3z9/FWuY/H1t7++faZhZod1U4UfDfLfXz62+URWh3RvZrL9u7Jg3/6zoezXT/ptAqOo3NJ/
XsKjHgTa/HddofgTFn5qNlxloi6K3Ha5vf9YwjNmkQ1Ew5LJuMWQdR7H3ycwpqZCY2OugwuFz/0z
d35qiX+88+tMfxT2/aRH84v5Af5+C58CRvZC7JkL6Qh69mN4qUha22ZsY0hQ+6hvJtqeB3YwWcv4
cSluYSDBEltYRxgzMIxZXANGJXCD/FODSmFGrJN/cyGQdn57MjbUlyQoywOekCUug+ySXbjOaDBS
ZF/RiV2LOCLRHzG/YLaUACWD4OTBjO0pM52oJet3B89HLD86Dn1tpUebbCO9xMIzySiRsvfEg/+I
em3+5i/VpnyQ6TAW9S3pCAa99I7uamTW7KeV8WInV7IgQXZ8G/K+JejHJX4nfyvivd0o+9nQiX+A
CPPFxB5wF8fbkMGmt9XbJyFe6eRWGu8dDKSLytj+Y7ifaVtBxsDvyLf0tQTSsJOc7lDwGCQLa4/Y
MOp30p80NMTwB5hT2xaIAxaZqH9IrY7B3C2NDyzE4rf1keq4g5/TekdQevmev8sB2uuFWFw0FhXp
I8GPyp1fcsDR10YW2UV2CiGrsSPlQTRW9bb+TnTQnsi9zFc8aIPwhbDCO6m4NMpXkW3mXR4xen9Y
wuYTbJIYHxQswOorY/khf6qgNON2S4vPiqNyoBQc+zPWpUWAIlIj14bB2DPOPtv08k1jiy7iUN3L
HUqfniqGJwBP7mIAWpR9KSzT+MFldcUEDxydN+F1mp+KGd0isgYbjqK70tYEYDyEj+UbNgyXXfm2
2/i74tR8HquTeQt30169lctX0fk6HLD+3dqbvk0fVJsQrFvF4o4jkrEMPZCwyNbjCZWFka7lq+XI
dzTlLAU3gnxLlV09okjE6L/UEhQU0lJacytvtYfSv5B3pYC9pmV7peuHnIR3m6wdmAzY1eCGLhkI
xspO0o7lkwJTAaEVmb2qHbZHpB6V+pZ+FQThditNfoJJNihvKfdX8b2wuA0fzWKBytVrnyvE/aEL
CovabsBJyUNV+r0wnYHb4K3u9+aVcUANJesQu9YjUKjQdFiAqBG2Ioj/y0FzDXPlj9s8drtmfmkm
ackeR+2PJPkB+NmzzIlO8XnY5Yeq2IJ2Lxd4goqdeZfkZTqdVd6BX6UbbiOL2mYRHSVjgX5hyYYg
WuQuapZ3aT2tpedpN63j19qtCpuhkcKflG58ltbJquSZ45JnakMRtcYpsEUycAFmwQJTO7BOTGTE
f8K6C8dl7aZbSKkIdBGn5dpFqd1IW0uEi+t0/XuQWpXoNrJDcCpJEohwhhaixMYz32og60S75Ba+
B/PNUPmpVx1PmIX+Q5+kvdnABBvWaUBp8jKM7yH0HgNJbesoD+1dveJWXE9l+OAP27p8BfNlKEej
+xwZQx2R/TtDeoaNZ6kbWgtsASRjcQaF52RlpAeGm5xR/aE812f1Ce+9d9Nqnnn2QIsMMMnCkh1/
csevcNr2Gu9MDIJALRxV3eo8VHJjT9Dq0CS0jzLh0bcATv2+TDZYwnJywQ2dYwrcuVNJT7WwqAxi
G9xCeZWJRjD9m5Su037x0UMne+7viGlAcKnBTf2sUBOI0btFpK5xs4CWewcqDMPtnOZWbkAO4qh6
NYxLSkKnXT5l49pbGQcGaePA9vapVAZb6F5TUnmQhBQEaO27/ObBmf9Wcdxh1CRZApfYajiPDK0P
kwrd79sMXmWwARsADsLX8DicC2fN8nDB/Lsi+h0s3LhMc/6gcsoXKIUd1zgm4nwRfTcaE5tl/RF9
8/JC+Iq+rSdmhyuXweUStafrErWxCJenR9IclvAkXNfnX/EEen8hGfdUvngoXH3JHrKt2VyNzOY/
ETlF4WJh9Zi7KasO7HK2i7wTv14JxgMPfRpKbHKY9DktFyQSLUQiL6wn7Fxz+/eo1DyxvsuJgR6e
KRHKSLXd1IymO053MFaJZNPijvlkewAV2ZARbr8ujJ2UIYOpzFUhHpENNTde302s3yjc7TTd19ij
Fe5hutqzQuuXAfqbUbCWrr/gneGfeaM4vhPZi2kRrfzFFWXS4ho6LNftclkuN2Q228nqemWvwF8p
HPnywVqZ9e/Z34tHdov8yzLEBVPoMMpakZz07NOyEbaG05RRp4sQM7t5F5BwRYdkTNlPMruDsXBE
uorxYZJW2hY5gYHiQ7EiwoNIb/LUV1uv2R52CMhE855n8dLoKOztvlt6+Zpyn4Y1PhJ3yKSPd7j+
UJLzR+NerrViXPYZNf2WqRcqahV7YXAqR1uWj2G74raEqFRRIMqcRGgGBQompBxq8ykiIV2Jnd2/
Jwf9aRiZQ2I1arzvoutwz95F0hhUKI+sg+zcJ7AB1GG2MWYiD+IRMmB18/7zXTd4qt+jcmFIO614
yhEjcN/mB2BFTYybBGAsXFndRp4eqbNDk09badWr7lFx0Mmk6UHpzznB61NnctOFW6fTG5Kyh0Vy
INK0PxTxbRw++3DVow+r3JH9+TnpnVgmuLDY+wEd66dBEwbplLDHqTnODwZk1w5iXJrmOLJX/YKQ
QjR0dKXhCnETbs1LaGwLZidMNsllcfRHuudiUdL814vm/udr7v8v05t+rcypY/9nA9APJ+GJwV2d
MqMN/kVtz1f4tUyXfsLhg/EHyDHuPFm08PL85v4Bp8Bsjr9ARBezOwaFP4p0ZLQQlnk8mighrzUZ
qv0o0uF+UdkzWiQC+s9zH/65RAcCLTIfxFXEd/wHoSw5QAMkc6NfkLrmW0cpffzdc/Or4+j3DqO5
m/jj9A+pr84MEiOTrs3P7x97AEGVmJMTortol+niBo138UJLvnh9eT0cjq/H4/V4fbz6i0d/8fX4
dfo6nT5Op+fn/fP+vn9YPPDPdnvZni+X7/Pn9+fn7fN2+/cPEOflv3qEMvALQBq8Cj9riX9ngcrq
ShwrA8KDV8naUtYAwxeAMeEwKuMxioSjgldAzYNDatT6ImjOnlSgaSAYKLI2vvks9+lGAB5RyPGx
KYR1TrU9ifXVAnwDRnOpt81+QlnUTPvGxMBBNQXh770TYUsO32ogH9Gw70rvJGnrOH8avHRncqtj
ZkEuKVHJ5Anj7AS9qc8ABGHMyNokyXWpoBQSs8RFYuz5n+y12nDe8+HrRFw1p30a5BRrfYQjhrgo
0EOz2YMFVr0IpexgSCEKqBCvEJxLQ0bfiELqopvcn1TVxNlPkVhPWzkncDRyPf9JL7Ivk8WiWhym
4CyR6opYMJzW5Jzuw5TCW44vRvFBsqAb/l/2zmw5ciNbtr9yfyBkQCAwveY8kskkk9MLjGSRmOcZ
X38XpJaOTredNuv3fpZYxcohEHu7+3I/nqnvivRVt3eb8cg6E77O3kc4S9OYhcNS0zbgPzxDW8eY
WJQk4249dLQ2e4xqmbdVxUcEqqeGRc/+dUzjs1U1rz0ekch6rFz8UE16cmy1xps2WW9Ys3XWh4TD
4q7ctA64LtoP04ryAgMpdvY/jxQDQu5MaRVgMUk7iWdgYcR+7JxUQuoyxsxScswn3kPRNPetkTyn
cbvT+CuFy/tAsXlCWwOkYjoy6a4ZIec3+mvteOs8EefMogBHa20G3Ug2d6OdFjTIjoeAn/jv6fu7
cqKQITgd/++jF63kJ0/iv5+3//iZPw5bQDqclXMugTAjQF3111kLYxG/yZxKsC3sKpoxqxR/nrXy
Nxg6Cn0E0o7BGYiR5M+zVv7GTxmGq80WEsm+5D9ZiFi/Sx3/k7ZkDeIYFq19/AbWLLEYHPh/X4jA
8O64OnHzKAT7bg+vngyKRd/EHymLshEMAKCpbezyHZEFOwgZz4uJPlTrKTfZ0xbiXU/q76RLGWAw
XWWedUGuRjHI3Ndy5JucQOTx0LFVSUNt2s2BNOvqE+mkfObNTLAaNpr+aOnCWYoMUpcNEmWkHRnw
e2WWZ9kRn9SchEw3c4xjQqs3V8qdzji1P72pePYycpZFFJ8GSz9NnjplYB/4ZtAfGX3CjAXMG1yt
mIi5bnyI0uPuC8M3yltgW0G3VfF0MqPGWdsFX9ea/c6gQPem6A9T3t5RyvE1xf66DTCopVMAi67C
py/1p4D+iDXgRly9fb+hEO+nB06E9zXsF5LDSHTo3f1UeVj+y7VDsa8135k8tvMeFWBEQbODopC+
SvqrjmLfCHmRBL8tlyJVczCvbTDd7MFcjVH4xD562SWCCSM7ZIADF2HXX/QGJkqjgN0w8XZs0Tb5
JG5izFlLqB50ofYT9BkNvHN8DaNo48Eqy2tsnE4Unn3QKawUmlfh2V+9tO555R97n8ClHMiIDrH+
XMX0wJmGWie+hSHfDa51gssTd/Jd29T0+RGFdLIYz6+8ExLsIbBR5p+ucQ6x5tzr5rAZ/N5e9C6y
eJtFLIVytVZhseolthE9IGAlhJUuFS+lW1EhUxjds+9b5ibD8onejN1R6/Ezjx+5VLSVp9ciy+lc
8MOzNtln5ZlqTT1TeyTjjH4tp8fJJNwCVxu2re5FFB1iVykm4CQ091gyk4sG1sYeWzlQviB/DghI
jJg5NRtmxjhmw67ik5OmGJz1IGYIV0lDdK7jSdnn9UlY0/ARhk/w21cBlvaJDCFZty5btbEwTsFA
t0z6S8cPPBDXDALvwaeLdwha6OrdXiNvRyXYecYpQYNY9hioVf1USONcjPz6aAJVGNovbJrqlRnE
0VHL08cCfv49FW/BwwjGSTGBY8Ie9I6Rua50C7hS8JJVZvJRBCHNu4mIknyZ6hPco2mom1Om6NFe
DJbh06mLdNJulP2e5upaSYzyvqgPUhVIEPCuNFafNBPdWVq04Wu0qUxBMaEDBM8pt0C4rzD2VgHE
7SSlFFBkL0NYkqeAfIepxCxB0mALSbUfW4AjBw9vmosmwchSOsRc67J/nRJlgvJrjMOYadN6pD1h
EafhTqUZfZv6ygT9/TDaPGNl2FmPYZCfR8rEL/R01LB4Jsc8FLR5HnRL+g9O+uXW0ydCLQsm3XsW
XvY1OMZKsoyUVrGhaXlcRo6POyud2Nd5fvipuBOMGh3W3RD/1M2P0hrsbWYA+oGS4R1gJoSWlMAx
aOilMdLnSQi97eKAlRKLgNgBCaSPHR1NYrxZHk5U30vmvsKNBtUAMIez0jws+ASB0mWlGZ9UPdP1
aKoGZmfFDBZF961wMQ7HNlzbtED+sVeysh6DDg8pek4jxdyYcZhLS2mXp3SUrRxIxqjVFjY7GJPL
XA9uhqDbIdHTJ24MLFo6l9OzefP6H4NqGz/FyJ9m22nspuWoxKnqkydZdBR0JkVyEDYzrFnYpCKJ
drAORK+xADZujBYMFb3Vr1PfJ0s6/r7kvNlMG582ypyVr2OeG/5py8BQZF4gqMMhouyw53Ck4oqS
bsS/GL13Twz7GbdJg3zE+qHKin0gkE79yrlOqBP1ZN66VmaLqNQv0uOyEg7s5ui9cjzrIWrNZVpE
r1Nur4WFPV/DBBYK1uqJZL88OGzZBCEpf+7VHOdEELwOM8wHCN/aLSVI5ROgoYcoXre5tYR4NUCq
HLBIUeaeBUcRRPYXhhfE2bY4YQQwVknP96dM110qQHKWrM0T7ajygqbHcJRbyOG/IqO7eX2ubxwL
f5XXv5RoAr3e3GAV7SAB9ESL6S6wKtRNOWk3X6Pn2UipNo7z50LHCuMVtCcgVA6PaeqO69jAOOj5
wuNtBlPgt4n55bQqvJPh7OsPRKqeCte4ayp119NnHwsSRuAcaX63k6tsK6ohalu/p2k1u0aEOwTX
ay2aVk566xN0hSpWD8LotLXpxB9CpssAulhjUmhiOw5xmwkbQnzSFLKqprGarhxkhN5mjIAj7ujV
j+OMpL4JC0SLxHetpR3Z1oKGM/I8hvtU+z4vFoIa/0IQ5MDGgjqmK+L3xtPtmKZPyTCdLaVzAZDt
jTge8SXDfdDt4LHBmG0H0S8RTz3lcCway2pdKeRXJ8WFPlBwOlBd4dvVl+dgEkxciHXZQ20ZkM2L
bkVL/GdpBp9am+B7w1IY0vNm5s+T7d3g0ZJdGqEeT3Ojn5Egjw/dncZ7hEJZH1rwCp6vPWRuc41U
uq2zUpvD4yxi9BjxNtROhVTJRk1WsbVbPTzKzh/eKoPvz9DKNwCpJvJlYu9TEf0yKM2mMNM/pxkv
09jZFzeT5qrxp0f6Rr1FrdnW2pi7z5qMDu4e6FY8mNwuaPfww2RlNHaxnApzP9kJGXFNrSDjkMBS
P67PltCJHjVJLnNIeY4mHrQrk6PWQ1RJUrBmaQJLtov5mhDjDrOaqaBtfwJCWHHtxUtzNI6jl+16
S7sMit5i0yNlkbAExyy8mfjygPQfPyJe1kOJSXERJ1FNv6O2rHPfWiRhQEkl+R5JvY4/o9KMpLj1
kKvWFi+enWh4YYe9jyFO4qjTwuA6urDgzJpmhJnTm5hwXSfha8AISMB7Pqs5ZrxV2o/bJuhg2kJA
iycGl3hwYdl1dFNMjfnkJt53PYEOrWe0T5Qpspa15x+cAYhikVWctvV+LHHUSm5GTa/tIjctCLKp
mpxEf18I7npT9d0Z+U/Z4wNx3DahUhPiRiPte1Elxqqc0Ce0OGVx1rD697NZVx430+BsKs1pV4ON
5Tce2m83DKJVovHdyEYDO6Rkzat7fBZ493JijWUV3DXt8GUOQEu49g6yvjmxSewl4kppZ+3S6+ke
6Rtmu1qHwJj6VrhUE/ZZPah/Gd2sqplDsxkmoAFu46GuZSflEabpTHKHcftWewSE55SMm4bqkk2h
t1KUI4E+O9aePPglbJGKVpSVsHkrEvGhaPpdmFn0LoaMForavpe9/t1RH72M00kBxIC2MRmrOqdD
47/T4B/TIDT6f+uce8zT73+uPsP+Nv/QP3ZvEnoXHjZi6hZ5BMUM99fuDT6X4f59UkSb/nMe1H/7
Haiq6Q4LOBM5/H/mQdZyksculjvd1rBsqv9kHmTs+1+rJ3x9BN01JkHY/g6lUHK2zv1t9dTkiihi
ilLkesMqFOrQ+e95hlWZVozQazbEynDR05Yh82MZARqkWGnnm86Fu/JCiubeVUh7rfNkR1zYuoBb
Zt8/xQj7mHwaUmnjk0tXR5xV74DubiYdHj3pPdF5t4GsWVASZCr6TULnR+CMD1zh133Br9PRCmKq
jmOAnpCgsil7oTlEms5Wp0nE1ga5ET7PMQu7GahA/6uL3FtN/wi/12M+F5LEhUD5KohEgfPT+cqo
l9jIb5C0TxMg8mNls92JEso3agjPlXGdehumasXNUWr8aKTMfSe7W05FSl0QwWx5O+9zB06Q0roz
5WPnmGIVuPEZuS7qtRN1JJlBVUjvLDPaUqeIf2hHPQtf88eeupZZgcaO/9ZT4zK1bPvmXpeyqc/z
2FzFxndH8Qtc8dsYT0fKy2xM4BFiYvkKNpCOWUpjespjOtKr6djfKdCPvcFkqSFC1T1wfmpnIjqw
FzL31waFNFYafhqaDbF+7qoZ6wF/79xf40IdkBTaTIY4a115rzzmgZLKG4/qG2/uwBkdFliuyl9F
P8MXI1SlZu7MSSNrgznn1HAVJA6AO8cOb5pJ9qBXNMV4pUG9dDa765xf0dzKE1HPI6npEYXHMqph
ukw21tzjE82NPuNk7kYqftq2sSiwReJRgEsZsl4rYzyO1ALhkCevVSBAmEz0Mm52OhVCGlVCNtCq
raCWBsszkrLIgdtSPGTm40RkPbaYWdhReIGo1l4w2btIZR/u/DpSjEQjQOrsWghR+HA+WlOtFHVH
EbVHBHOkY981Nj9bUItUoeWOsnbQVjjfh6bdJFQoFYSsj35nHss4h/rp4LrEyy2sSzS3LzV2dGGI
YtOYiHs1NzTJuavJKqNfket/kxl8hggFLCqzXhruEPHslG+soiQ2wyvTEWricc157ur+r2bgwZI6
Fd6GZseX4eqBu6G9tnvo6oScrqQzVy/e6lHf5jElukSKjvYYPsUBt2y361iLphSGGTz39CR/AhRD
3KfQN5lvblpITZWmY4BBE7XguGb13jMB4gupvWXD98guYBVXrDGdaDv6tLB1xXOWYhMccjoS0w7O
adgCGB0KgjHQWSyAf5FAVPM0cdC65MotEgBxiG+TnY9t4YitGxNuaXFUlBFBY3hvhDhbuBJdjqIt
n79l19VbJ4oftBJlWrECWHihpFN0eC8pvetJXINqwKvm5jfPwkim9S7N0cknH0e0enUYCrg9c6WH
3h2k0bHBzr65iqJi5pGz09ug2hVczJaN5T9NsjlgOG8YnDJrr/WA6QUnlcka22mjuzApH3PMTZuw
p/gtVd3DYIhmFXBNAu5DZqPFS+TjY5kf5Aywh0byPtcGcqwegSVOwoeidUreTG1H7dCdqtpHKxJU
GmRzUrPA/cCJzWVZfs2NJ5FZpptK8a7mHh84O3/IVX2G++VSGILcqjnBThbZFQa0s/Jo4841yrQp
tthnAXQOyiyiRL0VOWs7UffFnc16vpbmnm8PI3GkHdOEugXdT+5ERRYmgaUqQu088eZSVTguQvJM
GCDfU6pb2woRb77HJVORPdh18ysvEfuGPHk2KUarCgGBGMODM7G76/KcDbUkoCSmtT8Hpli/7QnX
jDhnKAYaMXE4BhGZcsBB6RTmZpRgZCty4Tn7HYb53rqIXu3HILcXVRd/VnnzNRagIKKpeC9YB1Jv
5O9lML7Wk/Fjhe6pUP1qskbi8MWk68sKLoruW+2yCspfkU3va+R+OL19z/tTHm23zU5aDQnVMG0O
3pSdZ4GHk2LA+GT3Qi1cLb+wfKdUGAXGzYO9VH20zSA/eH60L4ZhG4KxLdwRx5Nqya1gdBpLnNPO
aLLTgc3hxembI3+vAl7FXkinsFc9TIqWRKPrqZoz4DnocbLj84qdiqvCWtfLcZsZOQukHmW9jmvu
981ASLzyufNrwKWlxFVc5L1HmryBh969MBpTy5Xaxdq0+LZPtA0WxsRJlUIPiTq6J41uwL9i3Nh7
NQABTKw5qv3wbGoTbIPTvKmyesfeiRI/af/oVRIQgabGy3Br+NT+2ZVwBKa0AFUZARVpBQquKV7G
aLoEjXwcrMHaBqPFE9BwjjEEWlBL2D0Fc4zRHf2JAhTNjzuobU23IN/mbyfovJZlfVXg/5eO/pE4
YbDvBAzciHVp4ww3yY52BWqT7zoMKXZjroRDElEnExVvKqNcNYrbdlEaPKozv73oMv7RC3/H0pou
9eajqB0y7xXqNPziyABTUVmveUfxieD7HmERKawadl3Op80syOqjAzHGt0u+pw34MYZR4eDbTw3j
YvL8yi3nl15USzKi+HZn3oCVcFwEPLXnlHCQpleKWfGatCvUx2VdE37Bh0okch9gMVc6BcZuw5xP
T5brbsPAeqEd7OwpbTHUNQ0s7JSAdQF6B1RDIaIzE246ktpD1OmvkYiLY8CJQNkL2+OCItg45Dua
ZjspPG/Z4BBPDd5BxZqeXfYyV2Lf+s6wGKR78bi0VF4fg2xQ8XswDMHWKvVb45CytO1XxMCjO6WS
jD8A+tTVedi7h5RV0BLe1jbi6B0NezWE35XB+gAo/4Fl4xbqgLVqTZ12yg7Ag3GQnZMfKwOGUGNg
Wc6MpmMO9JKtaJDyXAd6vOrIarExrxZ1lxRrPesVno721STdsKAO7N2TQ7SxmylgMW3FDyGphVvj
ZyzQEjhyIhFi6Yahvw0lJc5BFTYboxTqXrDXBVAjfuFpcVc2FfJDqtRG6Na7byUG3Lt+XUuoFpMP
nwWacrWQ/oTLkz4hFzeVae0qrdxPefAV0sMK7YPfNbe7RVOXJ5du6UUvoquZQgAPaYkbQ5aMcWR8
jIl4Scmg6/bEBtIh2s459zqFj9w1Yc00DQjVMRB8eeRdqfSjYXu4dry3MBBPDTtE8Ouryra34OTO
hVY9hI72AMd54tNaxXeJy2I1DzlYOnM2dlDjyQPXb7C9RKsycUqY7dG9m7CSoRrm1I0UAFKCpGq9
OGk9S7q2085hpx31JvzVpd45w8DBzWdt1/XRbcpX6SJ2Wm767pbaczeLNm5baQ8qcUdOt3RjJ/ml
IXVasvwdG7e+45ReRUFdrKzY3mN3b1+igK18Kt8j2rfGKRhPuoerxW8t6yVxiOYrLT0iR/isDbZ1
RSLAysirgVmDngEawmgHaBrwLZK+elW6vpeW+6G1/BuB6+/tbN5tYXz0pVkvqK8bj0GJtVJvqMhl
A+/hxZTtwnWj8NiPKWiDMvvSLPZpkImxHJL3KOTdNHCl14W7G1xChIqmIyZv3nJjLopRryVlmUK5
3HFGtKo4xhAV/nRpup50OqosD4KMY6CgYj8stfSeHY/Ydrl40SeWTADyDALT8Y+Z2iciGTiD2gG/
L02JQ9djHUPn4joHfiqljTO3nrtG3zZhfikLN1/+d+z+CxNgESP7dzrsOfz1i1oA7gGt/y/ulz9+
+C/3C/5vpug5pWbPtSfM0n+5X/BaKHrJlebib3Gsv03g6jfoAiYOAQ3DDA6Zv03g/CdN1/kTIV1j
mgEh96dT/x9ulH/Hv5UaivD/tqfYJtIv1eiIsRSgmP9kUS+H0GYiYInqV0yBGQ9P1Jys3+SRvumI
nylCnbkWIVzyiZ/gLKbwFmXhXG3mABcOI9HSTURD5wCfkQN0yWR1r3Xi4Kpq9gy+WDPQMZjRjsEM
edQSe05mvCSwC3kE1fPFEo5FF5EV5dYSw4ps9A8dcqSj6isQzBRHcAZX0iR8q8GZ7OFN5nAnGUrP
GRzKQYQnHbUA+UTu4Du+mjTsOsOnaYhjlyazA8R/pg+aJ05l+MuonedIxbOurvVnm6PBjhIK5XLy
HHB2IhtJy3JsLtjGYejkTRrjhR88kmnqqSxJ6Wd1vihjuycl/qwGi8puUs3QwnKdJtr2k3o6VI9+
F3Aal82jF3Cd/4myb7/Zd+h2o/lcKfMeyN3vFya/W5XdevJotTZXmsWxjmgT0mY2NV8pIIDpZdAx
ET5OjDeGWEvvSMtBqq8nsYYHPHjrJD8N05KrSG3uGvkSlTDj0HtcQucNrn1elnK6jt22Z5HtNcyE
3TFMNn615TIKpxJwFUIgUM/2Cam0qM0lN5AiSI5Jes3lk90PL63TLocAvcA/YZC5JpO2VdmLldLa
mphMWnhb87uBX4ji70unXWavo1ZdmSFWNs5QEx0p9NYZ98c0pIkuaBZonRrx57Xutpu24xcoig8/
6l5gqH+kSNOF7t91rLIntMmBxFKRyRdfK54aFTxGyJDWAIkPEDj8Tmd4Ls0v2d617n1F6VZafyI2
rCZ1pXMPn2SYHgIKDalBwMhv9ztB3cusYxD2Ujn2wM5MHguv3//3bPxzJTm7x/5vg8pj+/MvBhXe
B37mL4MKjO35zKMZwGC/yH/54zjU2DniQpn3gAbrOUwqnMB/LiRhY7K71DjvODCxBPJTfxpUCPMY
M0hTk7bJW4vj5D84Dm2Xv+Rvx+FsUNEsqVuOKU12Av/CTEly06h0bYQ6OdF6r1WweEU0atcMTMF2
6lEOiij9lYjpmo6gCXKgVmNvWedpZMj2s+nJ6cr4Ie3sJ7NC8IsRqQ0oQxUolNaM4ZDQCK4muCGM
ln1dMYlKgnuoHAYt2NeOLdYJQ07YApBy9PehpJnJSSzr0U1YOvQhlMKcGNvKSUaNGnt9/rJYBg0c
tbWeNHmXFrNTpd1lWmk8SApFsGa5cb7kbyFmwMaEXVDVPcZCrQdrOhaq9mA8VI8C6Pm9DZgjG8b3
vg6uOXaDdV/3rxTEObfYaY+R7B9KBUlmFIZzMGYrRG2ZZ3M2R5S4JALcEtCRLw7uCQcXRf27naIr
KajCYJE0zfMQ414x8F5UJuLg4KF2spKA54FDw+L4aT1Bv/Fs3kgSthqBRsYfX0c4GzxMhx5PbzZ9
ZLg/bFwgulNhN8cX0uEPqWajyGiLB7wkbA41Yw0BmRuaNT6nNgFPfEn01uHXGHCe+ML+qtLq1Q/Z
Gde1f6aEkdWoRckKobGtV1ZHiYklxMySY2qpMLf403ytLN2bDUxzkyTDQz0bYRomlABrTJWy9HAx
y7Cu/AmQiCZMNMZImgZTjYW5Bnclw05X3gW+ftE447qwvZrYcSZsOS3qJC8HTh0LQRPlaEcWez3M
Xh6/Zzfn5eYuGqFO5Q1+lzpufko645XNeVca5rCI0uTJkeSxZq8Qg9mGgr5oqWEj8oP6SzTYZyZQ
YkkUnSoMR9bsPFLMbWuod6dBNdtwdichqN/7FX4lzfgoM3DifSYe5lqYjEyNp2PatAVvHxxHN9JO
OQ6otuHxJ/BEuXX0aeKR6qjk8fBMdXindDxUHlYwpp7iHOGuatnUjLitppHdCpeHZc1OTs95W1Xn
v6mSRyAAv5LNnl/D2sRM8RPj5apG1pE9Mlc9TwwYri4Gvi+qj5him+K7VHxmZ+x6WtFZ6VHqihkL
7yr4Blpz8ZKFk3HM8JYpaNkGe5eWrZRr87cRPyzXgyaZoGdxE5Gq0jDJGOhWVWfe+yNCFr2B7+yb
iAGjcfkOtJRZ9FI5LUy4mw4tepiJLjYJx115s1TGTgl6oCYWLiqandRH3/d5qKOvRWXOXptFXZhV
zSaa51OJGpf3Zb5qgZFjiW3AZ8yinZjlOwcdr5gFPXeW9kY0Pj93X11CUi3a3wjbtEALTGCIypLE
rN+MINlnwTBFOfRmCdFR1fc4i4r1LC92yt0wt116HZnBmCVIR8b7EIz0qnKpOjO5lcSKtk3gemSB
0rin9jv/se38u0TdTFE5+0KviaUV9qoK/CPBa7CBhX7R0UbJBm800dcb2pKpN50F1GaWUptZVPVQ
V/EEIxuwro6HMF5xtyWgyC94LqJ+nWZ0HcwyrUfEu2ZpsdDm1V86i7ntLOs2MBOtvJIsdsRDq6uz
wAtFa+ceRtMqtLlsGAUNBE11C2bROMXDC4hqxy3xYhTpSQ8CLn+OhhKN2jxGEt15VqB7pOjOZp8O
1HMzJDrNs7NePSJc05d6Galcb2gIS2Zlu+EMC5G6S+rDmLMC+OV9Qe1WGzFscbwFIynEWSv3a4fb
JL+FZqK3IqebJoCfSf+pkNnVXOnqokxnIIxqk/fNcpLbWLF27GPwtyTieNt5ztlrGSRqQ62K/Uuz
2k+45ledpUkV4e0DYEz69QZTfF/VXGmlHrsLvQTKp/nQfDh71j5wG9+Z8EmzlTMFdy2Rs8aVKZOw
2Q0bpXSUrtievRO8VzjeDsq4Mu5jZ2yDXYMdBwzWIRdxuBOh8WWk7Bsz722I2HITHo/yGxQo9Afr
6IaERJxhGcufrvEvodYaCPFVV0MzNzz3KzMgyCi6/wppYmVM8PXEnfMF7PUEQ2fT0WcY4nPZtX20
GYXzpFOGGjYksFteD5Ygs5XsQ4mJrtaCHB8DN411/tuY0++VW0RP8yRa6z6vcjECA7UK+VGyely6
Q0bEqc3l1fHTYl/HdE3lVuUSqc9uBDkjltPxTmdnvizKoNx2TnYbSubmbCKJJ0aurun0wyaGT7vo
Np41vE2tM3KXxIMnybc4HvhRBhFDwxfkDe42b8odZDOfhxXLZo8ma59um6Vg8wbLYBFyeFMce85N
isQNew93lgY/OF7asAmNakvD7anpzKWP8aeHTuP65GF8fWtamPL7nvyn3e1MCPVh1e5CPuMpcNqF
OUZ0TKTnIbboQ6W31VGttUz0+CsrgZ+OiXfT8uwzqyM6CWN713T1ReuMD6xvVCpHuyEUy3xEuAQl
x4YIAi/FEkBARwYkKMOeQ3+lhce04pmD3JniJBjIRQW6ex8asUTr91dEnA9tjmTljNklDIM30cmD
Y0PnmnwwkXPBG1/fWcbhpxPWW10LS4rtaFiqbZsZRwbOo8nHKoTi2EH9wub+KUrY3KkBim26F0bI
NcHEQTqHyYQTvJVZc6Pz5RT3xYuYcKSYWv9Ut92+1uqHIugoQW+Xbd+falJyBkxvjXqCzug2rL+3
KfCthU0DO66TBUGGQx+Ui5zv8iI0SfGm/qutc00bx6eUrDa2KWqWa4NhouLHbO3VEuZn7gEOa+rn
Nn81k0NEPNUWp8D3cKNMomZSg4jn67hGrPcgDk81wOWyONZ2fjd3iAJZv4tjvlOSG1TWX1nq3w8I
HFXI6R3RQ6gTKWMre3ZK9ZlIdzPU43se5ku74LxEt5VT8ZS04zfF0+uilafeAa4rNMgtWnBXB6CM
k7Bb6p5L/rT4sAuPGirs+xqNb249/vROYwA/JuIXskTrqB6mGp07O7ZFjEQq9V4TG0s2qbwsfxEs
CTmfxCkfDB2TjrkujempStvNQGcYCc9uU/FsLrt+74XVua6dnR8Q5iYRvHJpPEkVaymbCGGkTzwD
jeDe1omx69XGj4m2Cu3e64O7DDYstpR+CWiWDz8E2Ynt56IsiHKrqiLiHKTrvBvuVF8dqiQ5hjV1
XeV032Tk3UzjyFo6XPYmlBfMqwel9/sG58vKrvUHDfBbEbt7TRHEkDXLwVZihUKTCob2qRJBvsBF
vgvC4dnpnJ/C4h6lRfe4Z7Zlx0BfxnaNoPvRGukyM+3t2MtD0WrPaR5912Y9HIxc4pyk/mIF2Z4+
KvFemT4aWxJgTaQOMMEdplrJ5sFzabr0W8odjeAcjhPnLoIG9vwbAKy3tooPRqcHrCmSeSEhVm5E
X4rF26im4eTLOXbYOfMhjgvMZxdbT5YNRZkldxr0wUJP822ZT0DHEve+dYs7T8xvqjs8ItV/637z
MgHGa0H7y7Z4GnPqa+RoYC5uj8aobRKvfY9cTL4q9lnPwO2wg/gSZ/yjrM6cNkne/ETtpB8RMu3l
GBDp8Uub7Og0mDydRxyBldvvpsEdKchoAyCumLj6fMLKal4SCIZjBeDAYo+aJrLcj7kyLk3/5dTD
KQ2rQ1hSKOtCiHGb6eB7wzfwbijhxn89Q83flpcMwf9uRp8je/9vm+QtuJDmu/oX3BYTtjZP6X8O
7QIbkYmvSGP8xuD9x/z9jyUmhRawPDScxoCt5v8Jh8+fU7v+GyR0+r4MzfznCkD9N0U9hTtDUg1i
f4Tm/oOp3TH+dYkpJRnB+Vdhs6AU69K/24iMsDKDKrbwiWa0RkmaAO27wfW2DVR3gC+Nw+dPEE5l
Hdnb8qnUCa2P7J+mregGwHc63gGP7s0BKh7MbTfol9EkWISZ+7i1nxzICi1UCBHXW/Il/tLvQgyj
O5GX2DApWFA/WHxpUOhzwg58lAcrXXmTu1O1ccJCH2vuvgj0lyGg8keUGxnPfc/60XNeuCbBKmoW
bRMdxoK63GTXARBua2vjRD26iTrrvb0xpH52Jotn0tUvOYpoXTL9R6u2r2PrY6sNlr1TwRrlUAjD
ZQKC0uUPVmV6nwNhKood5L+rURjHNh6rkz1iXbLN7yGcLsMGK3fn7ysoi3Ye3rmhtS6hGth9dte2
2O3RlHPUwiip3iYUsNwlidz66wwdEsvZXnqo2oRdGmuZcXhTkJPELErDEzaECpq66NqNqMWN1tym
Tk+eQCRdeSXOCQaepUyOqsGrzh9SZdrLlHEHaTgco4AFp5Nm69xXX5oAJVIJccpKa9ni2YXD6YgX
zYSlVr3kY4+ako3k9BMdjdYSzxK9KDJP0eiTmQ92Nkn9jv2v1do8nDdT+jYNzCfTtLQn61TY5bWs
f3nkMaQNGiJYuS5riHkuBNYKBCOCM0hxIasa8U4HMGVnXwIys9ujxnKF34zpbnQhB5x5BNTi0Rqe
QBH4TQzPM9vY7Z2j03pxrbUdxcWRpa+yGdBV+iBeIEflFN5D+vwMMDi7hX2mKvUtVNPVzyq605jc
vWyLeZpurQ2sumOvB/eixbjmzM5SiU06Wieltx/qja5Xq8jDJANoekyZYAAWUMIWRQ8F66lgDvVc
SWPgaNsaitur8RRhoOEquE7sZOPgHMvim2ze+uFGwAe7KtYVYCT8qVMUkMb5bEMKcSHbtz9Zvq+m
XQfSdeIv6/1LVX+aKF0Ta606vhixeRxSyO0iWzb/n73zWnIl19X0E2lC3tymtzIplaTSjWKtMkp5
b5/+fD+zendPnx3dMfeTqpIykyQIgCDoQHDz9cCL+J4VskOJ0yCeHptHOU63xDIbi+BnBqONJaPy
a8m5cHrbPDnuzliH0/hV7hja3u3GKTvUcTZ84nyEOWfIdNZxA6lqv8+vHEjNmdal2zbGpdY7uiFc
XN39rjenFi4J5JyZW/3tccYJ/+MQsNKB2zeOuWY704aTo9dzeu1IZY2tjeeX92xg2jfZNO6438cb
2Co+nC9v20ppmO/Deomz19vsyeQMPLaw2RxPaB0xYDutj1a56t0qR8zO2M5Tc5/4UCDr22Vwp4Zu
2MSWPB9vzUW0Ks3qtckp56AHH3849IM4cL30xIcsniJwpikPqyDCNpPNcdI5pRdA77DHZsq6gzeU
7n0d3dgTg3/M/P5Vw+3EPVjdh8+2mzfwJDbKL2HnzDr/oFUN98wbHVdOY3G1ytfe6snp8J/5adi6
TW6Nt9bCPWwGpWdYPn222c2/SjDmv7+C6mK440C7XcPjdE9cAQdznJWdO585zvXmGrjsvGr9437E
B3P5/cku3GXw2vRODDfxSMSuofvpNxZR+32Mu7YeXiIuVez/cJZDPbo0cHnTDBf51/ZW7SKtCW4A
vVOnhe3QmAO96/tG1OTknjV+JejoDK75AWe2nPDdaeB4FbthDtIptzhxlQ0BDU5IZLZw0Qpfrw88
QgY7vEesGgfm/a725ZVu2CC16PjbLacy1NzjgwFDax9vtyVrg2+aM7oxL9fRTjWGylt7/mx5u8fb
HKfK1dIS6/81QwP28YXPbVLlXJw6Tg93L+8xv/bYqXW5PoMtymp7CvCe52i5vbFEIR1OUb3zwLMD
WxLL8fK58h47mqLGjWWtcpMe5MFrXrfYwA3yPI9vGw7BaZ19prWC8/rlHs/jcgUrueWSU+XLSQ0/
w01cFK9ueIOtWc0FxnZ1tqQcPsrtlnPMZWn4eXp8HNgcVcpH29c6LK06HJzMFq7WE5cU59rzV7PM
oO+O8sNnannOmUlXzqZ47naMlFZf9zv23/MtXnPW+3PDxREH43+8AFrtBu5vKs0Mo7el1b5jZ5pv
329yD7LHK+KJubGH9n7XNp+L9vF9/Zj7p9KBrWBYxWF2drnXOV9pzSF1q7hZu+NermTt95zp/MTf
uX2/XHXyNBb/13357bg9407owUztY8HB2AfmANfl/RSrJjY7XK6Yr7bP7nE9Tza7i7Nh/jLnIN/O
KC/150dGO/Nfq/wZzp+sRa6mZ7nJqjB3k9cryWpe8x/735y23by9lZeDx7GR7F4IR5l2KN1XHhwL
y8nZTFbctVdvjK2otSqNF+dBq3ZngM7p4J3x5dx7bitomgUHCQV1PFxw+EMdJ1qt7VetzTrjZeN0
KuxSPbejxQaDyFrcXK5Yg+P03O16vLosndaVmYjNevBqgt+wg8vKeb1bui3dyvMdIwgq2/GCXm1j
0L/oPu/f69fLfeDiZrPYehRY9yLfnWd7t2WfCq4DOefoFu5xIM7WOmvLNvj2aenvNvFqxYAybZ3Y
Cn9/f3S+LlfcYt36nQ1TgXOv1EjWx9H95uqE9DVLcZtDf30c1o6fix3DiUp3eX3flaclDE9eu689
zhuX1a/5/Yyx4+9WbVK5/aLSVbHM2tAnapZ6t80+rLY645Zc415ubAPDwrLR9Jc47OTQM8xd6hmV
DK+U0ZlXWNlS7/fbtldiPnRLg1UI2M2vyXBhVyrbR7apsFuzlq5Lb60tRk43dhUwE1/uvsp3t8xG
nHNn1Np/M1tFC3Q9Jjk4sCWJya3mkU1fbKTc3qH5cdxnj1qHDXYyRz508Dr02r81r2dnU9v75drX
id7dfNldlh7d/bGKwdzFPrWWfqcZc5aifb9/VTuzxYqTY44c48eGGdrOTaPqbUuV4FG72/X5bvjc
1nFiPTsd12nlwHzAnm5INSzhsFknQh5wP8BCD6ZY1zu2qNWQioufwUa8qby8XTX/XlbPdq1+YViG
u65F3W/nLy+f75Pmis0R18ER03FK+7bBGijpLNmj9sIJau7p9IhHA09dp5p3fHJeYv5ruWI++Jr7
mxu1ifUbdpXdOIwJx4vMtHud2sNedr4fjPd3t+C1dcp01x6nqMVYfLeohzfY3OJUjQ2n0z7Xbp0S
zHPalfGpOui04z26ZHu80Uvt17YI06o9fb6aEW4pb2ukHY9xm2rV2V/LQX3BfAMH+1Q57rl5Ti/4
/V5f6VI+lmFtfXS32Lvs6EYu8wOncl7D8oOZnnqF3bjLGZOJYW1xDVnkqDejOuaP7JCzDlumCg/O
th5U9nSV2SPOHp2Pa+VX7TD3y+erd6xe33Zt/Jwh/PUtM+/193yDIC9KNML1ACvOz8f5/fh62Lfy
1X+sP1Z7THHYT8Xq9t1dLegHV7z/v9D7n3EkA7d/3H4SnjGB0ZHyw4/lZvP8q1MCjSCL5D9mME1t
RCkzgqxUcTDQrGhw+TOCbDIUbGMDU262dEhFo/PnCLLe+T/yYtAsN9gn0saNCqu1P+u+BOFCoFnr
VNtVxn4Ngv4fRpANuVn4y7ovJzZ2cACDN2jGq1WQ+ftGFGa3Kgu27bJ4M+P0XbxprMesAXXnb8sx
ZoYJqwv9Q3Lg95SgE+L5CF/sk1VvGb0CJlYvybqbj/JRw2sO5hEN4wg/RkHKVl+/Eux66zTv333s
yvuN7iFmaDSohs9eY3CJty52C2HNw/yuX41qzivexqfwEd/iQ8AM9W5YsufOztt4Dbef9ziBY3AO
8241vOGJbucRkJz8Tu/gHcK62/L2g073FjMFG2zjTbTs7pL24PzrkjSjzrQ2xbsfHv7Ypj1Py93G
iIWbfifIo0p4jdbdstvGvR30M98/bdIzTpvQcQflZsI8dlzzXvHybRdso1fEVvy0AxKVbtO+xCf/
mtzjg79NXkG7n3f3CRZr0TY5hcvoFLOVPHhMmr3VhHOUw7PPUCVuhodkHmI2Pq6GF1Ds9OaDWm8R
nMJ29Ehqzr3LbrmUc916pS67Ld2d146WaS27xQ1vMbhEMMDBVKeHKUvamR0CSPYOQSMt+XjRj3H5
F9VHjbiT1lxmFd1rUgrrXmsGa8Fz611jjpxI12k5RJF5L/n/GtSisvcY77Ktdw/pknmtZDNY9hh9
Oo8xB2dc7SYk3/vzEX72OU6g136/TKr9Y3QYLqL6e6PbSs/JuveMG1EedPzSDB/8UQPcl+kyvfv4
3H+/wJGOXxTdYpQHHGm87h+sPdl1ZtaRVZqVzbjwwjkDFrtTwa6TbeKaU+rePx5xDW+O66gKAsuv
RbQfHNNahK0+fvOig1+O9w7nJ0anlBebiG5v+Ewu/t7Bf8Bg0617xz7LLIMVITd/F83jUr+U3KPV
qJ1Vg4q7y1rdSvee7B5WPqi5yx7dZw8g3i5q9jj3OWn5lWjXPQEIZ4BxJ9ikMNjjxO1+o18OlDc+
F2Hc/p2DV9zLoO1V3pDKfjXAJVC6/72bXuNSTD+HpTVcm31vRruEFY/xNo6f2WF6jfZxnja7+/jV
r2eV9yUbHK1NsvxVjQ4h2416h94xfUzWs+1gHaQ4HW+4h4T2ihjzdJXUwmb3CoD15Dmop4vJcrL+
Vt2tDZeTTlLeWuw4nzPgLlvb4coN2vHrjUPblyccNdtVPKU1+ksONk8u73mKmWo/f9vG818lfD9Y
F59alHC2GqjhU7P7Gv5l1u3HFu+vnqHa/0Xn4BIW67t6VTYybdmi/GXz22M5f9BhZBjbTFmUZoWt
Gb2Gq6Qe4ZDzGrX7nCcXnZHUVsbR78EiQVK78/easxrdo+v46M+TR0QPMV3R1KIxjs7kZuPz0p8H
eCDvdrqb5OrX3WX6GNSyTreUzr1FeqH+Lvqr7sW/+KvZJV0F9eAY59E9aPUpataTWDju4rb81Wsl
QQfd4Lze93Gl18Gpq/XPDJCB49+VLgxg3g4//Ljbb4hBf2HArpnjtoHFdquNR9Gbk65/obHeOkGl
h4PCWrj4JtsevkvT2nDxax/VXbogfnaJs63Pgd3BTV4m2dR1gaJdUB/OE2y8Bvn42W+hBitRHlF0
Xsdfh+4+3EV7B6txhz1haR40ok3UCUvFkQ6Fx+T/UqI0Sv9CEYZKf6WIibgqK9AXNs4G9ej+hqDG
90me7OMqDcUinc/y9B4/g529szEIctltgvLH50FjuByfn9ZaWiNgOj3BWjBZBnO/1GM+I21KEuJ5
9xl1sjxZu2t3hsaPbvE8oOSpp9XwFd8CijqudPG0Oaj32YPxNvcuUaW7dltdDhWf3uJqrzGr9piL
+0ZpRpVsn2zRayVU+SM6ho+0M2g0rBz9+oqeXikZ4IVln+SpWohz1BqVkk1yhK8nf/OWd4/x4ne5
WwmfQeN93ruGy2QbHt7QKfhm6K3/pa7gYONfOPs3z0EHTsNZVHdUlvJsn+MZ3CoPXn3WRHvOmZYu
T2gCaEyoBXhhbfb3KS1vXHW3UdXdjbZuKzjFUqP7t3p4CY9pu19/3085tQ8d0UnY/ey+4nP6CJgA
dg5Bvz6SfqVGeHWPPZFJ3u2kjRkTi8NHVJ4u+pWohYauZU3UQy3aoFE3qMTVuOLiHTaaj3CNQ0uz
Dz9bzrz7vWXmAS+3drtbY2bBavVhml/rPbHDGP1zjcI1039XKn/WKUnoX+oUmwru9+sLPjnT2HGc
1PGmqcdvvLV4dALH8Zypnh2CUz488/G80LP0PfKIXaScxqkDHAIt68vyFHcsGOnUIeQnYccii73l
eFYIiBBHduHLsiwvs0KSCNJACU0elucrE8EYCBUCAQRKREjJJSwSGcT2gquYthMENr8G1zVvgQVF
kEUSg1RqZeQYhsVrpSGhJyhpz/OIpjQmm5idQpZBHuBii03mJntlM1RGdhAQldR3MiWGcgmhzaAs
sOChfOGFTfjMcE6hgWOLBg+qBIG/WFxOid8DgatFBMfmIhWRQEAs4z6EuWvbslw+FuyDFL4VCfbY
QIES8jRc5C4IhiBJdsVFPF0ma8vySStkydWUsslLjAQYORtQe4uMyYmIPpRlPJoHfj2LAlL+XALi
pbyyffDyrUTEgaWQxFWhddNP6FvW1raytZ31Kd0MUkL/i2i8z4BBaSu6bbkQyBte8z/hS3ekIatC
chTPQ4wkSIZ4qPYoPzC0EqGq3A3iEjPPGukRMkW89VPEYrthFd/wWg+Sa0m2MiLL4t4SRDLSC5Oj
Yb5t2fbQdW1+wSUMRwWTJD1bxE6sgM+ARDxA7UcKVKaGt7EYPnYc7EYsCetUqJEiLMiZ6RFiQqAW
gO0IVgqhH/aAk80bW5yxQUOiCDKG3xDBW/DuIyUSFDsQlnodCu/EtiPHIK4SSYpExHfFa7F27vxR
HgWjF2BC2fPvU1c96yGuEw+UqbcqfJ5UPjxxhxS4Rq5gmmsAKvkXCfw+X0JIkQRBl+o5F6gnCUGi
SmFteF68T8ASdKHkw8gEmfIGWcwMc4RECEpYiVIVMpiGYrH2dph5FpiPsizMPQJyJwxxnLkgSP+Q
8DI8KXRMGqbTst2jippcwaAH1hTN+Qsv1GvER8KjGmzqj9AXVURSjmTFe8uFXvDXg2og9Sgw9VGy
RZECORFxPlXJQiZUfw0t3hewIJLKKnGyI2q+AOkiwBBv5MwwjzeEuT5/tm/DM66vrA+sn4pt4lum
0hmZQfyFnIHoOaomoCIKPK/HncSEPCQhupSfSaA40Cd6Va3Ilj/CEQHVEnghDpDOpfoYAAIJOywV
gESkEGIBQ/jCHsEhddHIDIEqv+LexOMBXaYMRoIvHlHM/hegMopXVBIoqch0R/TMgMgMClSIAkfC
DX+UQiGScf6sviBKlPrux+RDQQINqbb1pfdwklg0RQAgVpZZiIqhgmcB4IVPkg9+MoOVkABP3nOJ
WCq80cOeU8ABWTWkSIK5CBP3LBQ9OmKMwufOSAntk5MSVUJiOKIktHrS54pC1FWIykBNSFvwiPrg
Nu2QprhQMrQOP/oLfEQ6fJiIYu+pdkQwpQILjCdWeDPRXD/ZwDrfV62jjUrVCNGClISOFJEBJMim
zqMBlLFewwRyyUCYCzWGmuul3pFHpI7XoZ8R6+NHRuBuMjE5Wn1wkiYQjq5RQKYp4qkQZhUUYeKV
LneCYiJ35WJk+EPfwEN6ydPE+ZNw3pNWakScBEvEWjfkyZ+pFcrXhzEuhBOPiKE0hcocXZSpRPXK
s26u3VdVtFFkk8R1+SMBzZOw1l1f6d2+DeSkzytS6b1YabhV6F/lweukunBWnPebq34aYDQgrvUO
QOh23XfDC/IwYU1SoKr1+G5b727XsifuwUrMvRK6dhDRB0FMJCMI159yJkkbO097Kg/CqUOPizCV
K100SSTSox8nHUxNp81JGxZdJEXQc+zYa3ogIsR0AySJhocEc6980GufjvP5GQ8+6bvEVxIFnyt7
4PBoBzRG/IAgjSyfwP1pYJ2BIpLcCQbED4A2IJiWmC4Kv+pOqR3rBkocDVGEwCo+gT0UFNuJiDK8
06g9LQXx2o1A1I7ghtvlxvxLhdrfwkTIBN88ARvOC/5AgUQLdBdxAcTAU+4DxeBPsJShLqigpMwd
t1Nec07SfcJx5nd7fVYwhMAQ6MFe3xCoL65PwzIRLDJ5GBv6ncGnMxZfzUUIvDJgYjhrAHDCPWbf
JazoVxTVmHhBbHrBd8vgxAuP/GwVPintk5On359g8q2o/AmKimrgrLjVo6IZWuCEeov6gQN6qfei
1bCNBySUj6rRT0NUVB89dhMEsmAPKb7VkzCCIvQFhG9B0b8QETf1VhzlFe/UJ4ZeIgQd4aUPRAwk
y1eLb8XhsgdDvuOUcKUz7EM6uSgmviHOJOR7ABjlYyIN9W2PnUH8qY606QMjngOYBa5EkhQSBQ4I
d4GaCqqNY/4Q7CUWAT2kAT/cowIJ/BSaBlnTUSc3iOadUqN4M8XhEkfNKzQtyoA3RYH+UfyKoki6
lJgy/SSGOOcwijBDAIVR3m6CwjScLQDGykJiAt5oIrr1tpvYA2oCcCAOsJ9BIOkgXjAmkaCK6TxL
EEzW9mAQiH5nDgA4IpJAQ1zhI9nU/2fg/PNgk82rms74052vmTX/vyZw/mZ3tWpt63m9rMEm/KKl
Myh9OyAMmubZtFHKnhui6E9tHRKejqc/Kmsq6VH/IFRvSxrdNaodVY72VYB6IOqzqPEiFwGlooh5
amanAAC4eheeGqGidSKtmjVGv+YN6Sh18p5NAUBrZmKTk1Q82pxXpoiEpx6Ut1oGmy6YQJiuBGn0
V7RCgqbBtXosxFcnVUBNGn4gBsmEEHoaBnmAEJG3P91zNX688zmrg9cKUptTXD/NSzYR5EzIFH0S
05VgLMRgSx1jg4v62vSIiVOkMh1yfdGWZ8SD1IIjolQZZfrysy9SC7ePsE8DKY4rNg05d3QJiFrQ
CSg6+QaqoP3whmDTg+sbmhVXyuWPyw/V+qmOSwP8VI4pkgtPUNyRqpkRT36Qdf6kIlHkcUA1kWzz
hCjzkfCYG6gTBSgvAKuiqpIQwjV1aqaOKD/eFTVDUqI8aCHeVWMoQukKpTK1yGgcicUMKApQSs15
qKZ+Ko6LviC5sphK2Lj0bKltGkIHCpBXJCAREi3IpskQUkIdQYV0fRwJkspHuEOSsDcZkr2kCKhi
AsnERckd8ZXxH708YUywMqM8FwirwH4aOD8Eg6hKwbAILksFqNqpvqCbh5DDG9QSxQAglEscQyjQ
pB+IGqig1GhTo8QFoip10dWg1zpWURRYETkmO5GgXIQapMf/rF+qdRYF/7d6qXNGBHalOAozB9z/
ZS6rXb7uWlvOKrSqg+V4g4EOM/44ZLizp7t3j5qDbXcdlHod7+xzjtPbLVx2r2/LqOL8vgXh3q+6
HmeOsxrVnLLvoDSYDzkdB9vEXbD63gWcknN9xwqEc45L9iGYh9Y5Ygt2F4dYVZYL/E4w4zCqz7W9
9J+utx7cmCFdJ4d4ntyieXCJa9rcYDX7HEHDohXnYDa9t2qAF4zgleD2NSyxeLWZPvqtnk5Oa3lb
t5cPOYfFb3mHhHWsbBFwmiBTkqcE5w+Blge37u5z+2sXdj46FtapwfKr+c6CUFAddmblj1e0ZwWJ
U79oU/bOxd1Zy5DNA91TjBEmE7gYUQ+PSfXDatrbdJ6cpxWXpbu0NNB0bi3qRIcu9qNenh26pfBg
R0tnkLvzjX3y2epn4anb2UTb3rIXLIabOpOUnVE9PU3zBC8ZmrdsWeffLCOl9avFvqY3vIf0cNOX
bmBFKXuxJBrOg3N4jzc+06ZxjRN0jtYzLn2yurL+zWLMuMrM9y599V/vpaCV1Lt4sOg9/TLmRv+y
rICfhH+Rm781S9dn87Cv3JGbc1QdsCuVFQTcpzV6j15ruEtylj3xaxdVpqXhy8J0L179mtT8uV/9
1Qouo5p37lbe5/6yizP6XOcKOeHR37MUxAJu0nHZn5g0WWFgD3zYZIai5lQ4W4j1zPQQb2IYPsM/
HXPCu3jHaiTuBDiJ4rSyd7gx8prT3a88PvfyaLhmCfPBBDL+QINBrT/PcAllaYEtyN843MGqx6Vw
iCme3XIPQd6be+s3HLhadRu7wGSRttw+fnQs/BD3OEMr7aSnMXak8e6N3uUqhadsHgvi7eQaHSe7
9D6h/O44dRqdeTf/VZ3VPrdesHC+a+G/9ArkHPKfKm3nb+edtGoP9hzhhciav+2Szdk9fpeGW5a3
lwtrFq6jV9zoLt9YHE6pAME23ae3+BXhkK1/4XjXTrpNmr1aVBvsqJKtab2HvUoDzh6YwN8FtW7V
W3VZYQ0XPQxEaiFnfsSDVkiNvfiHdOnsnXGlN892fidc+ewl2tnV9J+1Ev2bfyFQ0vcXrVR9rjvX
S4NOz+uj3H1Sn6/RlvUdVrGRklq/PKgFlBRGA1vbmztHIqzTS4JhsD9lYSvIk2u0Yk2FpXm/GS2D
FnW/Mjmxws5i8Sk4BTunt0jDS1wJDl7V7WThPMRwwNtGR3vO9PzZ5pC49HC2v/b2PHn5KDVs+Wqz
WhdPUKe43T/FbM1N9h6njrFJNG4m5RAZXrhIKUYz3U62TXPnMLz7927Lm3+nHKT0ZDl1MzqxLl/r
cfgKeq37eN+y1ludnWUS0Rw8pvmoPrh8wPDoxHpWG+WL3yRZRJz90qQRaGmo1UNleHe7PFhzyFay
HFTdu1/Dk2FS+431YPzs/6bPsIg2k6bD1B7Gwu+b7y2rmPOeKdf0+oFXqX3Nlm+p3hfOhSI2y1j1
cI7Z29sufrDssrGOft3+fZGBBOYUc+81mCfzpJMe22HrFbAd3F96+OlO2/AYKWBpej/CuDSRK6bJ
s1/ubcPWyVqPTr9kUHEMWbpOqsnxszW+xs3Java0WE59W/RwCxlRj6IHK6X14Bo+wzqwh+UgWA6P
sKactbvn36W+HVQiLPKswcK7x82FxelY+axSYqOszZFX62GDBWpM11nxqwfVmJNk7Gs8DkoOy1cs
DgY7f9GLaE2vk4XzeWToMGQMvGfBnNXo8J9Ft1L9r/31PxtU4/3gL6J7XVRx7lpni3IpnqetYanH
SX40QFUam8Vbg/XEg3dL7ic0CPYB6dr1HpNz2sHO5ILpxabH2QXpIqr9xmp2tMgemKFlze9r99LH
8iNZpisMUToe50ziGjpueffxMsv7C50fWo1u+HsLGll/M/HZtl47WWW2rEaPb/h/s3bdY78T5XHT
u4Ztr+pUxnuvHK+9djCPz5NN+vy978HkpJY2e/Xe6le7N++9ohKGFjXUzLA+zbN7iMLsd5JFr/N+
jh/suR5pi2a6nZTCi1+l/La/cyxE2N0xvGMw8S+cbdZbWoD8X2OhJuZNrU5b5z39bTG7uTs9OagZ
vYcns3T9tHDQbDHzcnafNh1Mb+ZM8QCAYQMLgNb0wmTNLkxnzix028zUeWdr2rJm6ZTxG2c6WJwa
Yk0bmoVLxz0U5939PWIJbobkOFN2l1tHuvc3O6QvsLW80e+QQURo7Tw6ht7YY6O0vRlhsEpWV97k
joOTL9dahBfm9EOLY6dGXoUh18L6vXB/p2wpBLVZ2vTZ98EBtTfn5c1SzScx+zdmFeZozTibm6x0
bhUzULvk+D1NnxH7HH1aVpzmbS3W1jjw1fLitnt0N8nNO7p3ZjDW30cXC2H74jWsMUegWmtr/Kpg
8nACPpwYX7yLsxjfI0Vq2/fBiQnWB1vWrBUzVgyfr3YpjrFKJCkNGMnzNBgDj+7r59X6rEFh0226
Vxt7j6Caflazc1DyOAiT4XD+9onf4JiaVQnxJWe9+p/82LHG1CufbTbMD7S7nLnEyXxx28a42gna
TBE8rYWzsZ3cCgbs6iGwFbbto6ZqBt/0kOl1M3jQLBQ3dKzpN/NgQj55KDr46hczlaYJoaJ7bX7o
QmvcO9Wohj73WF/03zXIpatNf5wevj5E0cywx7iDEZcZdzJSYKig8ZfGaZqLpMOvS+sVmUal/Gng
RmyFF0sY3JoLOBo7KFe6/8X0YpGRuvVFLkpcjK41pAIVUjCy4UvDXCUmNektJm8ZoxQjEpZECdCA
vJjBpkzN2leqaecCgpIWg12zZKepaJO110LCMP3YW2UGS3yY2dTkJnmbGD9znYQoa4mjsmHEbxZn
tbgqosDQrNUyl85EgN7BNMZOpAGK8jYv+TK0KALDm9S5Gay9dAQ+QolRmOBrBrqnL816MwIWHzxv
JPzFe8ETCN1SO5WDPgwiWQnXOjhAxEbiQf0s9Zg/T6n9imXA84ohVdm+u3c3nbJ0nra0JjV92kIU
8ouIxDKFALFaWxjzJNlh4DbWVI8uyRDLjSsNXBEzTfboMtPAJpQI/E0DpluURkU60HIyg23zoNhF
GpHEFejHDHVjZzw271JHhWTCimy4hw44IDLFDE2DEK6pYY/MY+cBJ/lTKqaJmVVjslt1hseYMaYy
UjLxlBuVi2GNycPhrVmRk9D6iTVhEkhlLCRU3nAY1CUCcLOQBVPMKo10JnioWeVQUCZEKRVIQp+R
QIjCgFj58oiIml/UnEjUV+BcURQwAoBCkzquouvptsBbpBerLyBgxEDvKWZmeYpEJqEAQjwXN7yR
sAgdAI35L5gmXAqpFHt0Z+SfBkOIFTJPciGpYuWNga1XulKJukM1KeAoS13MSpFYdh6IqeEfBNM2
SCrhi5lypjyYK/CZkDGPSqWSlGbgWww2wsM3mKhmiFjeowpQBj3INZWGjA1aLSoKBJp6oqSaRZDa
IDvRr/kEw2rwIBYzUiM4p8VN1TIxUdYbphAUXVdg5Fp3MFtXKmMLBmMZK/NSdsUsFbCUHtqkAqmv
KgfERO+AzMqo4TwPoUGQgu+BNPjwnrdZqPVSNXd8TP3lte4NQ0yRQjrk/zGPiJgBHcwlH3BZ/7GY
o3lKuA0aZlHZTDIa1Fj91Ewa85MgqzksotH0igJNCOmbC2HXwhFIFwEsLhUB+ratCcGaREKeNJGU
ELgx82EGjt4Ws5XWhJk6ojCXrR8uVidFmJEglb8ulSVYuFrjY8ERwTPiZYQSMTfEi0RjiSExMkw2
CItwQ74JKyAZNoE4CBFkOCvuoDrSMYWqwlebAL+Qm1nJoroZBootlqYfVZa6RBuEap7QMIY1TBNU
hzremIkxskBpSo0aKEVKVtuYWBeDNAtpJpFD3dkh6kSyZYnhNHA/UsCsl9J7sxmdMJUXmBD8UyQs
DIIMOkPzzbJEUo4Aob7N9Ky2TdPIXFoyV1ojkcxba+qa1U3hC+Y+xJlrIjRVoBn/pgx9Q6xZkvl5
TbAWZIvy59dc4hCXwtS+Z3wXUfiRUYwqu0ESWR+BCxBCWlDxGvoMz/9cSDUMMvO04itwAAJcUQKx
euYJNspqQ5ehT3GYby4K0BBthAFU4KCYg6o3vCR3Tlw2suAA1A+/vH7BGSAwYWq5sNfwycwmE0Uk
KUtzmUl/BHsCA62uKWqoAC0v/Q3opYlLLc/4+yIVhWnMTIrJ6RswBbHIXywyxHZ/JqWLXEItUxML
1A35iIYQ1b2YtLdNOh/QFJEqWgZm/5mw517JiSnjI4IKAwwWeZE7Wj/7EyX+za84TGKum75AkHQT
RANZF7GSy0iTtbpUcVkDpuprEVOTuEpKGHZVMB75yfgVGmpHyVNqEn5TElZPmlDIwImMH6ufQaGK
UJmpJk2sHbDdqyagRRGo0SDJWCjQmqoRLFPTyOFLKsoHgAoftJBN1qS4tCYNwvbTYv32Z94bTIs2
XUueYB3Zb4SRMJNoFXDFVcMvUyo9oyIXvHsQS4Y9isfi47v4ZUxERDY4si4ME0GDgIgPSBDzy4QV
CIGSC0K8DY2KDzOkwnBNuEsNCG9dLGeyvvzUcyCNKhaYiCaaCxVkpWimY6JbOiwmZ2NiBS1GEoFK
Uq14mmUDJtNNDlKlqjwkF6LgrQKURCl+8FPHVYJwU5XYsJXVbXKkK01czH2siDAZ3PyIjnR7QYPp
c9i5QRo0lEhjCZA8WFrsNoveylysIFPhbkgnK5OD0gpTkB6YKLB2KCqAVfyRhEfzJOSUmt93k7+e
BFf8LNaOfXDjCQsGRUPuPEdVSdF5LUFSCSJcYpASuliMQA1ksrQ3USQuQRVc6pmEtjAuU0oqo+UJ
CGIjemCcVBR3WvAy8qJ3WqLqh1QrhUiDAMQEyuZC9PKY+aZOZMqJVklYFpciulKtdCfUfVNii+Uq
lQ64qMUOsWs0DYaBKzxUcIaTUECmYoYoVrZKXtyLEj0rgdHUrpBjFQ5K0RrUWnWZyYIn9BGRRx6n
1dMVwISKvhARwFMVWxeCTWNJNOEpparXAACSaYvU46QNQhUggwYewWpmt2bMwlsDz/TLACywM9PM
UeMMNRtDALhyAdq0pqgV0zkwXXBAmKtoq0VaMW5UV1JmZEIOY1+IGb2AYMzHwI91QfEEkcH6xXwI
Mq2segimETdlZFQoESQOEtBCigFHcmIiABIdVBJvuAyPGZaBoBnnmboBkaptMNigRzIKRZpVnQ5l
pxyVWgaj5kFCSTixyI+fjH9SUAsLHOjvf2LIYQ9Z5yOAVTHiqW6Csy7RQi48mNYs04seXUh9AKzW
QbhTqfjmiQdjJbcw2SuObUkbq4bK8sfUJ6kOk4tZ8iSmGjbTVMgeCYylEpS/ljKVkPpK5eQGHtNY
223emxqqNWR6kiZKUalV5QwthmKUDnUTWKBo8qS3x5/6CXyCT6lDuscAFAzDeRhPyyOdKByUN62H
eTQZ8IKWpqh2BA9Vv9FH4pB4bR6ka3hl+K4AcyOt5KNSTTEoshjOpIIuCbUSCDK9OcwZjcgoqWwE
xDWflg11VBdSO/rCJsyffLlWU5FUC+GDJIOrqMM0NZI/YppnCgpWI/KyUTMJJG3cwVoVsylRUVBk
RwgCzbd5paSF8BBBmIujG/0C2/Q/JZZcYhicJC94aoeybdMrCIzFJMMUcp3wHllRDc3UqUTS9Uxl
yArR6hMD4xC+BMEkFaayw6J8vxFh9EwmLBRPSPKtFW9niF2OahchP6gDEfjgZEz1BRGuEGeoOLST
5GCkj9wVLVNUtLShhJufi3dGkf2HvbohNFM4LEQdkVx12Vy2L6x4S6UQO0xdNfga6QBtxB69WYxb
iQM4dPxPY2qAIAemPClY4EhjafiiURv0UOMZY/wx/EiZlTLjg2LshXSptc0MGHWOQNV0zd0PTAYp
qNSM6cFYekPUEgddAxpchIsOESxjW92PyU7KlwcjM8QXSoyU9YpPpq0QPwaycMIMf8hVaaXFVI5q
X422E6gCnNoKk1FfthsqfURAWmVE1txmvM1MGljNYoqpKxpIk6UUu9KEEkeDA6AYHwhJKXRlC8aa
SdC0AWk+CsKskZhk8oMWteP+T1dJugHJEb9M8SMBP70FvUE5IWAGmwz7G2FOPmTNJQuJQkopMqOd
RTF40WUlivYIqH4KUd7ohjpsFJPmEAxQ81KRTI0zhSbZViRwLIiU6bGiFPQr0Jf6KzQmACBQwfx0
VfEJFmrwnQeTv1EHIkF9DFnWEkipcKMHOtCMspXup/cGN1SRaC7UiLJfgKyzop4ayumX8TGX0ViG
G6qXBmkLA0RyNTquKPEZ5W4gWsmOKO8TpZJcaMAvqgwAkERa/ug+ue6EWRt1Axk4EF21QjOyJl8h
DQFGz0ntqvikYQsWE9P9gJOKBcmiW+Jlfkx2hhMGX2KKUUwR6EMXinAjmSSdiEbK2oxnCFBEU8x8
69IAWJpV8z7USDG3qHCM0iHL6kvwDJWqhNi8a1BjKIUeZE8EGV2W8atWhM5AQQBCooE+lxnukYjQ
QsCEU1aQYzqdICW8TGTIMpVZVHCZ5gMEVTMy6pV5DUrwwuRjqqYUkBlHmSwIM/3V7H8IO6/txLFo
XT8RY4AESNwq50j0DQMbI5FzfPrzTarP3t3eNaraXVU2BmlphZnn/8sbcD8ZrczbP6OSufP7mEWi
/mU7y8x7dsHgf62gPDX3/uWl/bJt/W+cFh83j2PMjW/c4f1eGQfPUaBe3Ld8/Ta+8ZZcCRmJSOEP
XzWtwbXFp51vBA2/qvgIDDxytLZ44bzI4MQ6W/K3jEzOHX8VDbNwyB3zGXooeAyOH1GyJY0P/MAb
GUWfF7gAH6LA/x+pJsKcAYx+Pch78t7BP7FV3nMoz2pIvO1X/PU9uzJreL789Z4YzESuJzJVpolz
/tYE7BB54dfvmBuGKR+WuIb8nvv2JVoo88PX2y1mUeXDItXev5BoDqKXH/kMN+NFFl6O0fsOvx5d
PiKHjT8iuWNi7yIGJTbKsxYM8r0b/zl/cpW3hJC7ylAln8E2Jab1yx6XtZfeLVlW+eLRCwab8kYy
e3yAyyJX5d7vye/zYe4rP8qgZCi/Rve+QCozRfWzjQ//Pp6y8eWy8n4Zivz3fuxf38rfso/4jbgq
rBurTxuMTaZcemIK0L+lJYbVbYXY50z9UkpZgGkxtvlGBvBrGCgWCds4/SWj+eQ1mZ33LL7v/ut9
Ml3veZJFlujqW2zJyGQWmZB/Iqcyr5Swv9WwRP1+RVp5UWZcPCN5cn4UbSjK+x0ZJn70DsiL7pQc
0hALX2ZH/pPAOu97B+L+0e+s8tt4kXv9//zFO778Xh/GLxeTh/s1byLKpVKRpXjLRZk4CQO9N4jI
TNm0/CUboHhP6ftX78P+nt53ixMfQGzyFqys4m0cyaIwzcQyZLo5lizBP38qm/IzvsdyQj85R1OO
oN/vE65hI3/2mVOD6fY/+Yc57/M8fVZHnkv2jSyC0xsrAdAuFiVk93xLXQCV+POaIue1MYa6w4iz
vmZ8xmmPHfJBUnY8JPNsDGsys7fxxlz5Kft1S351OFy5d9Kmc+kT6EjK9Wbd7Y8mmd6LdZFMmnqV
6z1NTCmuxl7hsb7BgDHoMN8bH05K5R1TWJuK+bAe1tUeL18m/0vijti85GSf7tFoB6QGhiE3pG2Y
r4/4abP7mLmj1T/02yZpOrn/kw9yn/QTeclVJaInu5FlJukkcegxt0z5ZVFk36OMhl6DH/zvb/fb
LfiG6ZLLk/VoBp2Uf8iO8XjkzRuePAm354w2yYGT4iMf9W4UFQGStgzWYmVN+fKL7yzDqxpFWYap
xc1w4j4IZ4Yi51IkGnZERK88yIP20dJMzXSJ5mKgkj44D+/2Uzerl7nz17NeyqDlnntSy3e+6AFi
b/ZBIXLXJv3ZEgb8gmDNzKj0zdwMuf9OjksSe0vfu0USmyd4rw3TRioCaCTj43Mp1h6Rre8MolnD
7hqTCTSlJgx1UjJ8tG5mBI2M70a7xS14BNnZcs/W1WKQ6wRGxLRpM5HswaKITvboEmRNHwA9qxuE
3IUUZ79Pj9l3NjpzJRtkZjY3bVCunPiPWB3voDQwpCDgxnhi1dFpRgco2GkHJ8ta4COHzPSYvOXN
udpUKDysdwkD92S51qYPaLpxZscAQMeFSOB1eEQOOAk65pr3VJLdM3fGZFZEovRpbswyljlj5qOE
JTAo4OSUFVE0SYJgQ6sMQR86UaNojRtVyEDjOOTonezoYp9sUJuslOwMyyhbHVkjp9ju2FPXDKWm
NY39G5tCqjJaRHsbydZcxmz1rSkCsv8plRVvJALmrV9MnRaIIJhlYiuy9j5NlIhcMQ5Q7heRIcgP
z5zvYor1iaNJc8+EOOCinIvpiwGJk4HBQgh2cltwHewRqZyVYAKGydUCDmakZ+gN3oiZaY5WFGqQ
50KLoKizwo1GtfUYcYhcsYJsmmi6oVcOAsLa4gZzdJiEDQf0HN9GK8rN1mwzd2vWFiqcrYySQ+UT
z+qzHeW4vfeijMu0N4QCAzuJqJUxH8ztgUqUi7TKlIwdA9rl4i9uwb1ZnFIxTAg4uUhlpJ8CbdKd
NCQWguaWM+7aF/NrIAYXA+Uj+HridYqdzdAn0srTwSPNXGgsXC4ChkHbdFpGv8Ee25vuKDOjiShc
sYeorZVfFH16IDk83zAs8VrB4mPcv68oapWbh2sqxKT+sssKdk2Ef0yKmQwnGkbMAWpnKA02Ptd2
wTlnX00iGclMHlC2lsN+RwwktBuxjSRGCSGneXUSNo0xGrE32Xhemd+NYSfT7Z35xeTKCPCDSBQT
TOEBgU4wD0agkEylkUnC4SzwJiR275JISqC25AvxtDKTxB6NbC6bJEnNrIB4bXCeX6bKBaiJsnZu
1wHOTtx6ImJhyEJPIt5clltQVhQu0qTGeMf7zWQQeLVxN+YsmcVCXlgkG6cr9yBBtZrG4CCWF49G
cCkH0oguESsnlm5HyYx4eLkYzILJ1LhykaaRnFg2WTBu+rQmJyNYGRu7Zc8UY2utnaUT/LPvTURs
bSwWdyORrUYsqMwpx2EcFM3UBvVtwy71Pger6eZ7r1Ui45wbFT4PZwrOzynS3fDmxBckCipHQcwh
O672ma/T+B5QUgSErHf5ulM5dOBpdQp0elbDqhwgJwbzkBqbktnFUODgM9GeOdiXS6v+OLmnwdrS
P8GJK3eB7jStyryYh8JeJXo6S/CTZMVZcn+DCVbczKPVcg/2i2fsWQx+R3KjNoIZb0xIZSxgo+Qw
zMUIRaCxkRArqJqrLTaKrHqw2MWLVaDJTk/MgTk1zFkJoTMzES4WO7ORsQCcKEM2FwkUM0DYfS1d
yqUTKcAUgQMRuUGxFoJz/IFI5KAiZdiDL1MkHlNrPsyXCeyfcTGMLyQJoT6OQFYU1UAh1cNxfhvx
snGJ9A/YRPlCFlrOcBIFbJHFk5N+QGMghjSzaxldq0CCuggfl/Fwtt4XQcUuAwBEMSaKnv3dlm5x
DjYWwduICOlwy4e0qErsAFU1DodSJbHINwM2PCUD43GMRvGf8Y2VRqmJMpR6sbv5FkEVjaVuUeBo
9NFnL7TAOzRDhvaXDLeOFLSJnYFWkBF9GT0TjmGrtihclU5w0dajhq1b7gOFAema/xxzdHkOe1CW
1DHfGY58rR2Z5ouBmMELElnSM7HauI10jReZhpLQLZyb9BMr4gXxtUMb7n4Yr/pHm9VGpagh1ht1
nAhRtFjGnRE6B2NmDkimSF4SwchLACy1Arsh8TxXHG1irPbJM77ZZCPOWM9mLRFWpg23AmEHXMa+
n8ZAR9rfDU4OYySp/fX9zePuXX8fi8NVYFp+jV5EX1vmLJi9dyORGFny7IyxyFv87y9IIs3erP6k
/6CKQXqhrx5vECF6ND/PbCnxAlFqLG4h3xq1teeXIPc76Zldh+KTXcTNqPJ7RC1LCxHDTDKWn0wY
ApcPG1+EVNmL+J04OVgtowKLkkPwPg/M5cMDEpmyrfhs4i8yehR3DznNWYk/OvgErLW7x9yqUwHy
6n8zk5hbk07AjHEOJdKmu+ywj/4na8xQs8rD1SNzw3+V25aTKrGuIuJkIOwxULGb+ZkVkFHxXcH7
iiX/c0huHBZw633spB1fs9kTuTawZyBSIuRA7TKfVP1J2CRATgaERiM3q40Z+LHS5iOailYsXo0C
uzwZiNiudzIfcbktCfOg2Vny4mVvKQzkAyLSx6LJkQUcgXk4HGMTlVYQJEfpskXcoOo9i9pF3Z6a
VoUQu9kICIawMecna67b86md0z7sniQfyEXKBZ9G2eQhmJS/5CmlsubKmDTyw7AhTx25TePg3iPR
2E2Hz5Xeys1r19LtlVtWznOEJKuk7ZEshrUoEcp3Y8OPtTt/X1TkwcH0GpZ5MqaGfbfuVovelS+x
ViJxbQ52dnVMc0KMKUH3LaKH0bAn9CoPvCCgUfRpzPDvUE34XojBiT0IEMA83dT2ggEaLjJHROFH
IzQbU4nmmudomyAafdfW99f318OkOR0VSMoCrTMZNGVKwsWspCzzaeQcb1czOb5fT+eLUbTZMzZV
oMawsjSLWC0mrsO5Qo+PmsZwZ2r4gKKJkfFBkA+RWMhztmUaro2QWup8bSzELcArJMZS+OPhiTbd
xTDHThS9czcxYzvG0e4graTQrvTmeCAU1g2fhlX7ZzvtpCLLzlTJouu27HBOpO8AO4n+SrHX+3uz
TzCWvf+uNaFuWjNWPvhOwBxjbG6Nrnuz4CXCUcp35tUI88Wchug52+Bu1n6XbrdBgq1xMBIwQb5d
0DUduwySiA27WCB1dpj9kT8aReh8Bkh7KeTMrp1MMqyGyShpGl4L7URueJCMopnidALkYm4pnLSZ
JEcM/yVqb6SaM29RWdYMocVmS8yoQNScLdtGqZqy3iUb1zMn5iIcn22L/fwwJ8UoChYJtrrJ3i0x
OVZm1z57GnPkqUaOPQDtJwo0KfFOh/mQdVQMVlmMbrrOkBLmk93f9+VgRuIhbQ0v0GURa7EzPx2s
M9uaB2i+CdmeT8fXrZ5RuSPX7TN6kWTuN94a+ovNV7KHE/u7CE5GohttXJ4d8hlxZQRmdLaMqGsk
C6RBRoX0gcsha7jABVFIu33h9NEfiHBW0ZiBJiaORGp9GF8vM2NViwciMMOQi0ZZ/4hcdC/oTxfN
5SZBZM++vv0CoxnP7p3RLj4/rk52sW14ku2GeXduNkuF4H4QyPGpdPJpNMsKojv2EzyBtTkSBw5s
ED5/tR5YbRs82oLnSJKrXxtYmpyWPO8wM01rANsiW3tG1zvrjNloUz+JYgfLno6tpxWEbI5QEQOO
6m6cC+wTC9R60yPCWvboqz8ZNhlMto2HNdKkc5GKh5GdNw0Mi2AxYzNOaiPBaBwk2N68wf3yfXGv
Kd9x7BFqO5o4DdxW1sB3sNlSwxfMB9GP3wbvdGhRcu2SfWSahbvDiDJZCnN0tcTxMQPWdzagG/8r
9dtWuUBEj3x8E8dPZtFoyON6TBhWNsQhmDfgdBsRMfTS0jljRmB5LZQVkkrna2DbfWNGu0VSJphI
GPGciMS+O1iuwcNm2THKmw6WGO5NefRzM5mARojcgrKaLXM3yopduggTBLMIRTHV8jOyJYxXZi8a
Sus6/KSTx840EZTlYPa0WPy9f7OnuGeVqe+NWQMgOYh6zItLOUzXqczuzrimJ6TqeWe0D1aLvjfQ
5a215S2dnBNw85uYeLidIg0oiEcOEJWR5vWGj22I4M/zOedGBMXVVA1o6c058u79gsWlDLGENdr1
Yj2Bkw7k6qKbeO1EAX0NpopnZYTVJ7XyuXQw6iZ178BlW0u+zBVigOPJg3JqmQMRJgiLpcXjYfiv
DCbxXbUSAhthbfoMF//pPKX0Xurl+QgLhL85g33cPwTBPl2nG3flnimTb0ThEMgHafoftJtGjRxQ
jcu4ESZKuvSnZQ3q3Mtuvotg2Z6YMcY6xtvKbNQCahONK75igYySQVDQ856LcI5eFc1KVUxkRPOb
A7KwwYOh4e7U5S8tFHsuUQmJn2BCNNKrzTcXNj8o7HZDuqGlHYI4EQWoIa3Bz+A6u4AYtLI21s76
hBZAypwKot99zHoJtPT9hoRL3RXTa0I9ISEEzN0d0R+s2QcbX3oPtjyg1Fvn209xTDaDe1gP9qPt
yLqvTK3f9ga6M0fZoHlYvPg4k6AIAPYUhyPwpJ2A8IfqvENWbVdxgbqmu2BK9wKMA/g6FmPFnIpF
9eC1ppewwi5uEXlJZQhXWzEJUbRwGZZe037aOleALo5PnRzZIXRJWEkwSSpsBmRIyZoGiYjmvR0S
BQTX0egWuol6s9ouMZ3+tx/vomFeitdHtLFhO/hkF0uaDPkA7k84XlLOj6VfIj6extwj9miFHbax
DOfCZh5Lt4TAD/yamg1yK0hQAewuNI9t0icS88DoZfwHxExZiqbgTd6CeCAzhd2FJgk9NWWPspls
dAw3pEEK1WJKVCoQc+xdC02Pxvxu5sHEjVBDIRRTrItmSXPVgb1egq9hSVv2W7XQupFTmHuzhgdO
+twLssAK0UXhfGdiSrBzJSzhIR+lz2Q+XJQclSAJyjnuE0ZYNx5e6QwJj55u5zKEu3mwcHUb1mKx
eDLYFa2uS25eB4rIYQU7Ze9v+2J/KmkVta2LofP3yxXvq6JVT49u6JhoBp2CCW9jeGDUh7Uh32zT
2l5iuEDdyi7fMeCFMqpFmg5mmLA6MQICNUo4SJD6k7s1iZqcmgWmrJxUKd5N0LYfzrtlZpGAXMPU
5yCTXNnBWEhoFrQBS4q3tsS+d4sjapdgbR5yhvOEg4+c5Cfiw1fq5XET0mZACxLXHFNY+kHx0JNY
IBrgk+UktNtyiLFe6BR6sTVpEHTONoFA5Nd6tA0bDiZCcvSm9tSuacbDsEOe6p8nE3Ie60hb3sFo
uFNj9jIHLRQZsO0GFJo05Kx5+OHF2kUw+xGNkzAuQLC0E4mJ9n46ROMcq/nOgWSFjKmNUDsYxCV4
tArhUCJHeAwBmdAwtSoHWb+LUXn5lMfHVTfnc6xmhJecP941fBtm0r/zSO85/Y0ro46e7nR2IdbR
+Et3stJp/6VR7AdG6Ou4P0CoQxOewP9zFPrXxbrQA7CWZ/v8Aqn6ytzS1w1kaVhbQMCH7sFbDur0
OngAo25sD2YH0vLwRG+yd/zelafy4ByDW210dhCP0I+8tdXRetCjK7vyFKzaIR2owSOkdx2UaBCr
IYjFKcLlPMcd3lIVx+HWU0evz0ugJXo2nbcBaab50W4kXfbiZ899BTuvkdw+wXwuaMDf0e/s7mnr
bPS7gG127Hb/lTRDja7lr0Z8BiBzZ5/OxmW2z+pQH23yw6A30eNrWJXXUPE0jszgGW7TbQnRSXwc
rUeVNKBGApm5D9tFVa6Cc7nFAlo6p8F1bdJ4/jDUNRxuRrM2aBGMdslhWINiS0+5vfTbWStRwTo+
GNMvwnGvQPGb/jHaJEufVmlvV65j+ohvw+18P98UKw8iAxoI294hBvnWX2aNGOB9zYCoNtayboJG
1aIblpi7Kh9h2wYddERrqQuyalzlW/uY9xwl0EA4BhyUVlANHOQ67qS3SAW8tRsAls2/0hCsxw1a
ZTvEzDfxKaYVcdCmyfTk1h+bj1Vlbrom1O9Lv/5YoduVAl0Sqv128ZfuRP33vYl0Jqq9Tq+nApb+
35Zl7Xqobq1mx4AB2F+HSrwN6ctvJhdESgKy8RzO0r0s6wV2gLFqCcD53X2Bx312e8418RtNOLWs
Vtj5hHU+ZBvQN69aNCkvc1BqAxpE/Sm9lnU0zaU5tJEeaDb2H57AhNOcm1TxCbBuOjjzamnUo1co
gYud1/Wv7jFesdeX2T08+m2v4bbL5hcdwf2mv/9ie0ZKyoK6vWKVshlfSatYglnbzsBe/9joRhVs
B5v0HG9JgIDjXWwWbX85qEAL14rr3dSShrk1O7a78u55y1btvQPDRrj5WJeN7BQfQXLdOofverBh
J2DR0ds7Lc5hmw7W9BSv8n25ASK79tQAeG9vFSjw9qXPUZUuYOTj/5qgS9jeGg1Axo+fHb+THUea
tQ2tZvHIeqVSaGX3A4Rlp0qvnx2IjPM/L632W7jXbk+BFVdVNU0VYfOvjt7Vcv3aPm6vDo2lADWw
B9uxJKFavtVKq+GzuC5e43YOinDWuhlLAnLuYWu2lsYmaw9BO0CoVB+Eo2IDCAyvFzdixQfkPQLQ
lwDe+HEyrl8ViPMvQNUbbu1h13l18TLvWPcQYpqQkXKtBIvYXZd0Nw842N5p0PQaHOQeeOt/ftzu
72Xn/z7ujybbqtF4ap09j3v5audaKQjXLW8a05+N6qAFnW5xZ+q2wi1SrZ1vokfULaZ03zeHy2Ab
K3adIhbDI8KR58327jSrLSJNa1BC1v4+OswOG2Ptd8eH5MoPF/eWwGpNzOUR79PbYPWhFMvRnx9J
6f4WT+BfS/hDH2iQ7+7XGw7nNH6Meylo0R6EY3E3bgerSElOABRvordwsaYxfe3JcdTx70PFvgbw
PWWNSWeOwKLRmaZxumk14zXWT0j9lw8VDLgjkDWG+0Bzzh/wyZZ6Vpe84qE+tnl3tvY60SW7ZA9/
Gqy9ZTD1pyu7O7kBIOHvnAcg4/4JvGR0AedIjSt/NepGld+L9yBXXIZ3/+43w1cK8kf/kjfDaQoE
iUcOY9iJH0Ev6QbQlNID3oqqoD6bVaxY0PGgMwTtX/UqsEPWqDZAqHM2XX/n1Un76zC7RtChJLfh
NT3Sv733yW6x/QDt9jQXhPO8/WV4B1cpthhpIMPAu6DYKp3d3QIq0MrocQpVUObr/nlx5oBrb7h8
JB1t4Ef0AqoKqtfyOLKOn6HWVxLBt9YxhXcRpOMzYGQW3RPqrfXV8Ld+B4cPMgAmXptfUTdtR/HW
AKzLttlARfCMegHd6WMtuEZy0DfheQDOhfcoTkKK4O65YwvcC1Au3J6r2Uv7yqwuAXaHszRofj2B
dmkjli7u2V+nqr3Kj2HLb/zl6ChtAd74Pw3qWq+janqno+hv5Oh/iYr9bnPbvZpPsCJKrdxDT3Mk
EX8fnrJp0ECc9/2DV/R3Fq/iARnZaNK0DsYEpl4yJWS9tuaKRvL1t4/L9DQJM27Md9J6rAfjC5g2
UlVAT3/UNKtki+VGipcg9Hf0tLB+qTfqt+1+ZRM3kcT1fm+MXm4nJiHSbFu8zyUUESYjBbPwabUq
8sdSzdKjFB8mR5Hybs8kBHAyk5YZ3FwykTapsBL/3HXXxHGHL/Pon7AdZ+eo/WV3TGKmU2PjbRJW
Ot3E+BqYeUqANY95hUvWdTV8q/TlOQ9LKiHCVTzf28N2AkOesfGHguTTwSG5kR8Y1rFCYHZlJ1j1
BLDMchV7W6vcxIGdVdxfmo8ORrlzg45Z7gCuIhZ3t1/E/m4Yx3keJOfokIDOBuYnvlBngk9RrFy1
f/2LddlSf4tA/69V/iFNTodTF07wlmDqr0AaAYUjaef7BVYbvI+pkoultQVI/jXe9B/jg79PsFNQ
5JtUCc5DGOyxd14eLCCJAc8ZzBr7mB+TQ3/qr1L4fGHhOI3URIcKY2s/Qp2tDT0Eh6zOT99ryCPW
kDXcONerco+51Cy7kVgJqqf7vcHWp3AEP7jOr+F+tLJv4N03oY1QAVdqhi0bZAY4NPS0w4FAV0e4
UxyoLvZB13nC2iFmFgjq4d4Gy8EJO34jb6CztpAeHDCf5NzcJihvQdmv0r2193X07moAm0LyZ7H9
hrH5cZo4RV1gqXp6R2/pP2BuTrtzr7GqOE0nYISWno68Pvi3ryqs8dw/uqYyOC/qUoEay9HBxxDa
l/oTYzSBMhRDSM/UogWDQRVcQq2okInruD2/eDfjEPbsblpliChQLuxDXqUnAEiWUTeq02a27Led
9riRXX3lc/UBMJMHna/f9cROIaDkqdkLx+08rLw9wDBfNUb1ttQwThpRS6CBNAAS/jwV6m8Qf/4z
FT8AcaabU6WpGg7NdFABB/VAKd+z7gSKKew8ySpChLMrr2PoN+A/jTmnwTmdJrsYwCnnDLDSzhGa
i045xZEkNXE3Wv5fpF+r9bdB/jCBD93XagN/tTAzdHMgLgTBBUFLyKyvRfv46q4ihg901SWaQq0D
zUnU8LZDYWBQKfgRrhlsjQg8G2uTynO1YLuh1O7m1VYVtPGsTmHlK5A7NLGghPhFnhNQrY972Azv
bO41NCzbtDfosNxA/wNR9lbIXNk/hKdP4fnoOEsudcL6bgUwDlC8YLWNnnuOnh4Rv7WjWKtg72xy
trgSKpaCmaVmvH50oDQBVWrrgP2UdPwNvtbm+8/LDF/m/1UgEA6oLU1szTZG2H9tzfb0oE2bClt+
Fb0sxayKdRfiN+OgGOtka2+cxqcsY522wvP3Ma7L5UcnecEuAwta2fL2wX1yhbdDtToY0fktVAMO
/FjLX5xhPY2W/ma4hamnR6HPtqztEoE+TTpulwSFd/WGiWpCKwMti/kMcZ+SVYCDuE2vM3xa5ncX
XL4u2ZNSuXP/7vWybaRzItbRMdoFcJ77LdIs3fhC6dzi+NmyoeTb+vqgTQDNm/95orTfGHT/mSf5
/b8U7X2zVJtVi3m6URYJt0d48Htl7HTNs2thpwbNQps3PEJ8KyLDTdMBXmVHpnOPq7U2G1RNXYyv
NSZW28DAAMMJ5qAPt+lL7dcXQfWlSeHCaCsHe7RyN+YAJ45Qc+nhatrW0fvz03R+e3D+teo/PIze
4dHdnWXVm4EW6cAqqWWnfzcVF9EXgfyy56R0xo/RMtgnUPv0K28VVzscjR1RB6SNfQMLiBxO22jl
mExxNzvBjWg/vzaJ5nbLVtKI716T3D01Yh+nBB6hLCAc5C3TY/ia/Plhfi+q/vUwP/yHw26ltZ4H
/AeAqwLiER65N0rX1Ag7MpxmvYS5h/BUKKvKOtSSNYZo0i4vsDftbNDkgt7kHtTiS2aK9TfvRpjO
flpo/9k4P3S3rsLZ2bwwuiqB0mSgBMdCLA/FbnDeh7cvaMWwZYVe65zI2Mii1oW+Mm4QAyJ6q+CY
byF8uX4dsrN7KA+fWNfx3q+bxibUiYSsFjomtgDTnaOzo2HorRyYTq2L23D36bJs+btoWpzinqd7
sGhP8V61UrW0dMP8XLdGmzKb+rt+E0ktoSgivrZOVoNjeBg3QQ/cD28xRy5d9/fZ0e/9Ze1ard/A
+v1nekQ+/etcbfXt814tmZ7zwulg0wHih8OLxr0ZWmWdxtVsE6llr+ylXXwZwjSxEgDBVcdV0gQX
soK8TIi01KI2d9YSO3wZv0K4YoYHXw073iNfxzpEYRoUZjtPi6sYJtvxCSyx0bTs5EyIjtWpBU+i
XwcDQrJYGWN3LFDdGCoN/xxqOGqEMD70EuJkdxVPB71sWZ4G02KZPIda1v7QB2q2i9eQxjTcxkRP
OpmchCaR/mW+h7Sr4cME9Tdaot8RTTFx3W6r02tqqqL/UNA7VT92oUUnFIiXAwVvJF5mq4Q0Z9yD
xkvSSz3vVTYTDGBKs4gVNjDzRMWtQdPUsyXzZpxdIpEaLGgATRK2IcSSrD6Ni/et2VNCQI2kEp8H
c+bsVkEViFX2wjTUoAvq8IfAC4GcCeyOgsdlnUhRPA04wV2NieNnt9FfMbY/n3cgin93pGDY0sXp
gX7wBx3Oed27dw4HnGuwoeznkPoY7FZmYfpx8TvOPahm6PdyPYJEbQH4p2ooBdhV/kNI73CGi6P7
MvaER7uZHl3HyqJF+nE1e3HOqrxV7EYQpw/XA1A8P4/fOH2+OsIqzrv4zmAAYkc0kuX3I29OemxA
UBCjcwB64xntDy1e0UHadVxbHEktfjWNVdrC+4OwzT/7u/gwxFyM9QjUUcKc7bgZqrbwVrH/cL2D
A5hrnDlLgeHqCl5eX093YTWAN9jbRxv7Fl9H52DPMVgvev2Gv8JrCx4ZjFjRZWNAqwqsZ0Nil8S4
ieISogQvD9tam2/itXMC9K5pQWPElZTEAuXQ30DpdmYID7cmLlFuOYBa9ufl0sSC+GlUdyEy1loC
owaJ5H9PuHK/7/QKojAkDRhhjbSRbmePL/RL9nSvgYYKutotK50G7Xw9XHoHv3El8DWN9Q8UE5FH
1bq6qnuy7d5gD9XZbjEFRFXNAQf8ao53n+vaarhEeiF909htO1wHmSwYS5nol9kySXJxwuNrpLSM
+9JImtZMIEr//JS93wSx2I1iQ8H71mx2fhzHqlU99MPqvScJn/uqVRHI6EVaH/i6xaskoJNtYVzb
RCsCElq6Ayj1wL9sWiJYZ7c70YoHERyJNW/KZbwLe8mWIEr1oftLNuXDewpVmv/MdmGHaNcUabYE
ZLFrLc1lBKngR4tgiwRclpzQdV8hcnEWiZT3CIk3shrG33hPhgU80aeHhY7ebxfYtV7H1wk0hTWs
V3+ekt8ZGf+Zkh+mpa6praf2YErAgkswNfKVHz+iuEUNCpWhTu2reOUw5prq+Go7rfDh9ftsBKkS
hntoazZeRoeSq41tv3Ixmar+ZvhsWc2NiWiW0loSTnHPP496EMBRf/XI1n+J4/0uEqvp3V5XwIqV
Tqv7Y+8e1NWt2W3heF/GHcRrj4SmWoIxm16B+azCq7sm4ohpscMTfITEy/MqEd+IlMu8Hh3CVqFM
1kHPITQJ0OVJaN2Ifa+XxtOZDFgO1oZ4JPXBWnZyp4kOHyOBsVD1yTF43eIcYAMCp4jJyDFXkjOE
cTsKBP68UIr2GydAYzlAY261umpH+bF57/eD2rvuUMK78Tm4B838Ep2gLFx6BBVhvMTbJd1x5ju2
aIgLSJw+R88S6pek1tlVixcEhfpkG28/zgjXVdoXmxCeUUJqStbNphlXwqI8+RXRB8ljHd0rZbNq
uES5dEnxfu/J6VyYoEZyHmzK45tntYMGh47Twz0j/bAcqv3GvMJ06gYXHw44MjJtwEg1qERfXocG
iUNEfwMsgsQwbhERq2E7V8v2hwo3ZieFkJGo6zVYFrdoDULrM8G6JV324pk0ROrJP0Ord/A7/n50
D8ib8DZ7mk09qEALPTt8trMlT7uMmqWkzLr9bnn82sb3WPV6OESVP0230XNcJysPAlJ3OWrHr7Qh
2JfOYUYaa6iMN8ns2Of0rQLYK1+AVBPjOEaNwStfAnZaQ3QIveeik92IGhJ1xGHEQPVvWBDXAOd1
sCIo04XUlCh2ccnvKWUpp4dx+z6Xp4/L2jjDKx+v0CbcvbyDonu/GKe46+khvM778piS3GjIXRWH
XDa+x91xW66eYqp/tJgfsJvz6cdu3Jmv08t313v2j+k2BT11tCIKgemTrEd6shv0KFxfCR3o/G/2
oKq0f+NoiTf6PxHNHwbh+nm46rV+7ZCo67I2Z6LBJGIwwk5kBG8g38Iimz4IPU8JSVQEujqesI1O
E7I90T6pA83HkyaDB7MvSOKJ7q8xuq8hiRq2JsCRVzYPOLM492uAT/cx0Sn/Dm0vOWL/MG4L7WDa
S9pZO1snjQQjLibg8/KU5OUBV34P1LRXdmCT7SYQlSLZqoBtmmrsG3W8n62HFQHyNXHnpbckwnDA
YboAtKqxQVU2BlDmRM3aJC5O4YnftgNJqK1SInIgBt/ESHUewCRfcbUk1wv4L4lb8m/hFj986zxx
sWnUCHh2nmOdXPwdxIPtj8sY4NkvFUPjzlxhVBAW3CBEWlARN4NGCEZx0MZ0WCY4ArAA6zE8lphw
6uQZXD7BJY/lJAIynh9o0NmCX3x3H2CaC9ki5xc8c3g6gXSekmclEezhghPoJrTbnjeJL3boeSKG
OMVTfIWHkUaEUWb7NIL5vCQBKQ+N9Q1MMcS+HEN0ZNDxd+Nn0QS3e8r2k4nsZgdnOnhkqq9OCAt6
incX7cWBrNn3WDcesnGC2RJjvDD8FW40oN3kuPB4KPUBWLZJmBoo4+m35G67sYIBJAiiDcDJn6wh
tLQYOqt470hcUTZOm9eIW0VHV7LVPRyuNU5I5Yltyb5hGa6cJIIgTDvuR9Jgiqu4Q3JUhcpX4qtK
MM2bgbgtJ/dAcFO1zzDjdvyK52D70iLRhTC4hgBWxaPQExhsIRKtWR60sF9zYqEohtiUnGSwI9QD
9LTdS/4fYWe2pDi2NOsnwgxJaLpllARoYuZGlmRVoRmJWTz9+SL3zf7rtO3utqqu7iYBSWvF8nD3
iGCIMkuzPZXQoiKJaCvV61jw1MetmGGLBn0G65lrfBkOJzgyDUdJdWJeMSkfc2+93hpWbFPRAZmW
2k667mEvDZJNH3NccerNDf+K2HKBnGVAbwOzjNSIkYBX0creSViwJAf7u8uqF+zMomFOMgsyYUy0
4bETWO88kgGXg1bH3nswdVo4WnOF8OEipNMhmS/ofoL394Bh1WeB30RllSnFZHqLXpC7uE+ob+qN
NEedzXtEepARYYbr+dnzdGtm6O/YZE61APfEZUy3AxcNUCqDcvom/WNEKKtUD1OmsjKf81Qx9BNJ
cEVD/xlwkaih/uxzYWYfy4ZCMNplD1jUZ0c2jxUpbuXV446V1YdQNn7aeNsgJsIC83HtRT5BQGar
y8hU0JxTrB67ggoDJhSP+qfr8OaWm44nKjNo0aXm6jTxaYifD6Wn9pkPYi52OHC7Q8bSHxC7zkho
N3Y/txQRrhuhg0zQxOmrTdQIm7nYEhIX+MdrbDp7q+vr/MFN54iLBxw6SqSS9pMrzAs08YTxBdky
CS3PRPfgAFxcliqPGEzMzmNudjig77PNRpLd3szg6FcMd/YGPl+R7CMceH3StyvhXRmz6ukeXS5b
QABCJLf04XVez+0IjSmhgdARD3ywyaIXsgsn9ppjA2hAp2mCgwQsXAGRvidb5E7SdZovZS25z4uf
Hv2od3dYMzO4M0acvNxrphdPWbM0YqoQjwqzHggZNFmX0MTqdvQVuxA0zQVHyUwDB9w2llcyZXX0
QXMadYdF43CWAx5vs55z2d2g5eppzgdl22Z8mdgpphbQsnt2ullKzsW/hTcuXvbdAzxOzsFgcotu
2Wiii47gR2NymqvLNHY7qOFOkDTHDSMAKhn+C+ozeUX96wl2V1aACT/n1pO1TBuigua3lJfqHCuC
6ZOZuQfckIYVcUZY/NCV+zrH/7fh4CA89+ZEN65LjrKPf9kDFl0j1Hyavn/13kP9qDBY/glnnDhd
mLPKH7Ny+jqcY3Oa+YSrne7LpIkH4OdKKFNlbvSHsRq9cmSu+l5yBMAgCmUMyT37BauRecOzJ6vr
yns1sN7KHI3ipOxe55EGQIjSACRGHoL9Li7nfXfQDNUDGweThUVUYqfAyX7i10GWHGYPeH5lkiwY
mQCo1X1jcdk/Do3Cij4vqw0/JsN6J2++hc3MZ0DTfsC/y2iPxwx9eFoQTnrcxD7jKTSugBWZLlA6
gCDWsZq3fSZW3E5cJeHNrX+rxNQeHemNWI1ZF8CVz4OQpgf9qLGHg25kcKZzEvPO6YGHtyaZchh3
jtCdxYA0/7njPL8Pu9dPENDGH8GiuEqgOX4b1Eqe8Amr8PZwbL6VjdGIsWv1fEZt8ycGQMCg9Jai
/5pe7vdg/lu3WsCJcB+IHpG1vGawfM+FBX6GXtmz+I8E9CkpN8n/ffuBZbhQ1hjYxwHDH8otR75P
8kDT+/tJmxd8SXZGfPOv64TTSB0/3NxRlmWkBaLpPd2SW8lkCNBbESmsxzPnk4K2Z3JWFc41lFD5
ds5cQp9fmGYWCSLVHUHPWiDFO5+4v4JiCBk8wRqHxI8YeLzUImMFCQE5JNPIGYRCcsOGYVjDrKAD
vM4Gv0Mv8tCdyu0zx0AmYWjeZ6YiMXK/yBQ+HIU/ro2FCeWFmYRoY87eTDdpAbY993PQIT1SIT8k
eXUzh4MUSevOZT62N8a6DLxiC3ERXBC5BkEPqcUOzsxcADlx7EKtLCpCBuwp5YQW4KHyJbTI/I7M
Q1NhibPoGKi+zAgJyWIQKH7fTdYZk7AHpANlyBsQijXcLjg2SddAI4wWtwiuGhMr+hPWOe/xHwFU
lihGBk9j6whMYz+P2RpAgajzWtCcHeQ8ZYAM6Cpj5w2QPpT5ffc6PLmPAI/1HYSn8JUSqEmZ5CKP
It0aq4+XfsmkaeayH98ohPqy3t49CCGuzERZuYPCuNdOF1ARFtP8nfAnIzX0uGYC/JmzLwMBV8t2
WbBYPo5SDZP1AGecFuu8gTBQZ245fDBr4Mz61X3xzVlhsalmyVinakgZaf2R5mf5WA27sJR7EVnB
Da/YFlMF3LK1gjmBdHgcrHQoEe22wAwEGhk4OnQRg899Tr/Fy0U5D96eFeOqYCfUPngLiGvttJDC
TeisD4uJtJhlZAXqqpyasy54O1qkBkyRQeWEICT94IKhahKn3BpBsmKZUN05IFy8wnZhsXD0GH/j
rJl3NbMxbgfCL8gTPo4lPGNMvGuWYljqr2yWGAoRJsBcsrTvatHfV262brbdvkd21e2ZFhQlgcFQ
+dTHKuKK8JbDm4tVSKNqVPIujWHgD1ebaH907goTgvZdoERI3uxvLQD31CCXmgjaMXDCZ896PHKP
ceJx64pL0eB7VDAzqAxB79ib66zIfpCvCeM8/DOLwnS7gC004T6Oe0w/SByKjREgPmCOfPG0GS4z
ZJwLi/uzbxl9oq3eBCcXH+u8nFhgqzvE64XUsccBje+NA5p0J/x4D5C5gdYmOQKzEabV+snXwKbi
Wd+o8Vz0jYdZrIUmMmeD/cXVWYHckseQe0CIQppf3DAMbnOK4ko/CfgPGF0ui3OYxlcaEjBhA8c5
IijfpMeDZZUvQBSMIOqIFk8Xvx22nNq5L+/gD7jfaQNlTLgGQpjBY36F6ji7MHQTm4Hp3AJ025LX
Yv7j+yZuieO0j7BXTsgueTcLv1RvcV61K3XKylwok94aQD8FTLt9x4LK1IHMOXR/vVQO2gR32ind
NJuSamGujmiGvWlJtscWYS+5g+ATsyU+Q5mlVBBhDaSQJ2GKtBFcfyOJe+GBAhe5YPU1sBI+lF/r
zAdCLw3QItnCpsfAF4vs/jJ/M/6lH6XrPr400zWD/pkTqSXHYtKSD3yaWzgPLy7HhTsgouEEXXF1
5M48ep6j4VzGchW2e1l3znOG/+S2qMaWY/KIFNQgTBJMehKHniSsOC0X5Q77JCcuBxdjohJS0MoF
7E77qNDsmC3f70dESXgVJowo32LzxWpls/LK+SCwCETAcPxed0+LKz6hnuOpDQrI4myVkm3ZboFU
bmD9/M9eJ//xVBBTuf8A6jVUV3I4x1p30OccqphbOZl/IYCu+7ESYsvYDJZ5OXoHzR4PWz1rGWml
gXHQp8i2GJSzSBiLhReZLIrf/XQw1KG/+kDwLLDdinIUMpkp87D43WSNoRk759BmfBCTRYiuKidq
d5JKDRU5uGQ16aNOHWZhabCQS1Z5oY5bjh4mYX2owAfNcZiF1lqIulIQGJNs3PrUZ4VwBHsDoi7S
/uLF/357PXt8yQB54A5PJc8lYYzuM5DSLifBy1DkoWMIX4M5HwGTR3eJC5NtEJ+NVe857hVDe2NT
34PjCGrzyD8JbXysus5/vNbqwbiPIcRODQY9qIJT496gwowQh5QWwzygXCpjxrcsTIrAJv2tWtPr
4m5v7upQ2ycc7C8o725irAoXWYrsQmzgcAPLDNbAjCQnMEIjaDgCmnlvY8/OHIkDQHfBEijgLToJ
izL27Cei2Jz1QPqZElT0cYkkyOjwJTcuskNZk4RKA3B28xs5EKiHQMTWjMwDSMxvOQskM+JQPHRO
s/1Mcl/it4lTsCCqMd6Jf2L7de8YtDwu8c5XLU8J+4sNAgudLPtk309W650RLtwvhgBh/PavTgcY
9TnYSfHvu/tJPWBDYRQSDiTetp31tlgllhaLy+AXG2MCgeZLsoB9ZqnPiCBrzSMTXZpUlMwG3wbz
ZirwzpMzQ1veGPQlU6pYwdRwDAKMylMocvZSu3iyHMS9lxFySh4zwWnRzfkv7ISGk8JanrfZ9sW1
EbF9sZrbfNxrYUyFwVUDk3vAQ19qE6xOkE3dd4t3QR1XhGAWNry8yEhK1AiM8jjD1jgvpxec53h/
MCxbnEqFRCKchoOp4j32chLlPpKGb4E6C75rthYPZD28T5JVSU6WQoGnywsB5UZgHqDAY9/ysJGQ
T6lOx7lWTmoYDk5Cp+U81MIOBsSIfrWOEBw5cZbsie3PYcdMLiKU8GooUTrgp0caJoTJfW8Spw3w
fMvD6vHqPlELMZCDH8kftzfpL7eFQxmgbPlYk1aSOlu4vDqmr6mQMJefJPtCR4s+VKgCfpTd1EKN
lJL6x3wa+1oexQcsT6rkVn4zJeSKS2ZSuS++jzquJ31QoohdNzg9A95M5f9agc7t64VItlPG/XEe
ttzYJLLkevi9B31xA3WKwZ/FTIqX4wi6k1RgKva1fW9heTZAEZaOsN4nNSS1BWirMWpV1I9IaaM3
wB/rdPjgp22iQ7NsoYAqOPLCz+DNyGOgfWXzWNQitHML3k1YMMm6bKfGJMp5vLCZYEeWFr12GrSW
zr58uM13tjV/ERZhUOA+D1ac/86N0Zm1CRPB81KnUFwcyCr5esJYP2zqATyZl8T5RG6VuehinqtD
BsjIMNnvTkmtCcH6V02owfm3uBFfHhuoUbbBDc2iiLDt7GDrD82JPKvZSQoF7A6gLz01TNxqgqzB
ToG8OHycyu+tRDR+ksniKZ/ozJG6LpCPArIRt5xfceRcSDfNn/VKyQE04xNHovz92A7cO/pXyfd/
kw1X0O4NuT5VfKt6OoB6vy6Kr8JLwsq7oH3VcH3PGcMQZ92s9tp1TfbZm+UQIQpLIAmes/vyuW38
lr1w+2KgmlfFxbyFg4P8JwNP4TYqaJR0XUz0E7wB++UCcNbGYgdLfOxUy87hbx6c7rTwF1BEMx1T
UxkWW/V43qrR1cYLePYvvrnSeVp9/x2+w/Np4DONSu53ckNcxtgL5Xg52c3wcQJ8ULs1TVlP7erh
UiDCWkZ8nIq5B5gN6GsJsSaOyM/KXDSu+Y1SwX/RqFv4+OVX/tUHX4H4wUXQUPjDEnaNMe/Ya1dc
8SVMH8+LJJZU4bLslo9o4PE2TuXUmKZfswpc3tvg+g+INJF9rNwbGatNUQxIPEgjFcFXBpFd2ZQ4
9air+ZBDSmgtV4WXY+t6Y+lbU1AgnMebuX0Y2IjoiOQSEDhyBSfmSyxbHvGK7We7vdAismXBAD+2
yqgzcVRrOKtRIU58BvHRXhrTZlMxAUwLtcAkKKgkckJCkCEgNxVQecKHDDysoWObqgvY092D1SBJ
OrLxL8OvxlrIkKmlvda93EHYluMHYgIsKY/zsnvsLsISxjeWGMuT9Q+vHcCN+tmJR6W4YjyV00o0
lRcEutxasqRND1BaEpBYndOzT/nBDGTnorEfurkJiGxx6yXEWATmiQaJ/6FigqwFgyG6DAYZHdMD
JT8ESZhq5PhU4jn7tecax16oHATbAyQIat2PXGHF95lF5qGLj22FWwdlD/bApOSETBE8fYNuQYWK
8gki4eozQeOXjT8twpRHyXw7UhQiILo9kWPO+iMvGBD8a2JnR3S7CiuLGpLyuHK/cFFKea1cejun
5MBmx5lcJzsYKvbKzjN8IzKOTGn0XuyIGj99hSHHPLwYtGkdsy2GIDIizLxA/dwZ7JlFOddD+0Dm
x5K2ECb4M6sA2/2/+Tz1f7IQ6H2degpkWNM2/5JhHxUeEDxrWAgIJxIotG+JylZ0gbTNCDpCvZNL
oK3Ak2FiwAMC281VDbwBVqq5DUMI48SeahlRWbPr+gBl0Y4EMZAZ0FutTzArTzg2oVAovtsARLYa
41ZVgON18YHA039cNhf/bIzolzY3SP1NLFrF5L4rSV7woZJBuzwDhxm06IaE2Ny/kUJJ1TSPcSol
dxRDTBv/wspIxW9OLXWxatMRN38uxGqKhw1fFrv9SmXEhUSypj3JY421iGXWnwuzbzjZirDPA7qs
31iShLB/Lt5sDSILbSbYHMsXpZe2++d/K8XK4B+tN31bwW+kGIb241T/L7tW1t26T/dB0+9jtS/J
n2bVlu6Zt2ExsRU0+4rJq7FIwE/nQ/0BTQy3N2dvzHo0OHSQY4uvxyRfM5ayGhU099ri2poWb5S5
+8oYvUWB/QzfKpVM/RH80Oh0aunYU82aE2AQjYl2e+9RwcRdtxw+MVWGk+uQ7lDO6o51lG5mja9n
tIYBIzX0jEqsYe1t/ENBIiTd9h40mTOG4e9EH+F0j7/pzkHrta8Z8Gqoe+fD131Ujetjf1j/1Ldu
XtTjptGTEaS22zKal3Yov/Q1rHEzxmCz/LdlrvyDh0QXkwF/GQPU+L+kzzZREOgrXJmYCCa91XXc
n7F+o5QlrXxX25RC3EUZtl/tl75/fDGrk8q83hxZfPzkIJBS92rWHcRlrEGnDNzzRqOpVLZBpfSq
5X2erorf/Gnzjl6414XYEs8bHQ7hkNn+hN0nh0HnvNjKKQC4nBQAZUCqDxU61pCnwEDED31tkTie
qa368PrU1wkbOWvXXn8OPxoM82hvrM4W6FpDCLEFgMa599q1pwyTePtvd84SE+XfHqP/vnN/OcJ6
ffNh9K+Y4QYRwj1DIlEaaB5QDVOO5purHAZHZaX90tbIs94PqCN4kH0EvdXFf3ydY+o7F48NyAKQ
pk/bZXZkP8NdPZYJvkz8Vs4HdaLwYIBPNr6Pi49Fk1LakTK2fZe0hsGubhMUx34+pCoSq+LFb1E0
KbaD4HGJIaEe9w/ZBs2Zg/m+q+mjuK//9JbvPxc8WYDs4Hy47YT6iQ2QbTNrOHqbOfaBMRzN0ljl
lCVBBqDR3zhKYHqC+k9/DwoHf5vR6zsvh+U2CVJZ749FsTIPPZo3oKeRxU9tsrX+3I50z/hGokMg
VkLaBuyucrIjsn3YnszoBJQAOCKCbGQsU47VAsCSo+NU/A72KsSRTsHMy218G7oD4EdHuPesmP5L
oDH+yduP9QavSl+xB9ZA/ctwXZevW1KLqxd9k8JTK9IowiVaIxL2KMI14YXhTLf2iqN6oa+Awijz
THvl2C0oh6HCFKWRkl5I3xTs/jwkvqAnKEfXEtGZGCtS7TmiUmPDyUjaR15ACXBHtXhHdaflNzPE
P6oJOHFXUnmDYzbSkISKLT54cgO0dJT8swPfS/FwPgAv4TE+AKWhu6z4fRCTQA1DA+oNTNIMeFIY
6jM/+t7ncPk543fb7bMaXQGvPYDAe6+5NpwasgrqaRafqRTM10hJoqsv6rCKO8rQnvP36bKR+gtM
MGt52+wLg5KIIUgh+wSeUvt+UegfiGGIJC/W6Jcxq+akWn8grdfQUmSK9dKg54i+IvFZWfA64HiE
pA8/KZIqC5WqaApekddw9Sw7zBev7WPLCO3g842FGO1MCVIqf11wcdTRvgxNhr+PXdTFKln9rRnZ
2US9jvBVn4dO75eeDys6pNET4CtNxwZQD9lx8cZQf3dZ1bts3PAE2mnpUe/35qF0HolcpHI9aOJX
0JESWJjWrjPi+VbrRrhWZdxvTD2kpxJsxCdVUklGmRHp12UMTQg4Qj8HZ6oeCuZMxPHcP69T3qZH
eZiNY7KbvSLjg5n0FVGFGeihsWm+bbEdfZNUhVQ5sY4wgJC0qKuBq4nVoVo2u+RXQvkUaDkZNShL
yvyFWoFLZXSUMclYJ/w3ClYs5FmDUiCW5DYfQdhCUyq/eusShpegSdqrMh8cGQs2BIDmsp1p5bej
7Hh+DdSjtOclc0Ys1Vcfuk8QYHb2GXxxxy9R42cX1dUGayADw1bI72fUKiW2SOmesC7kC+8o3eXU
yO3fsXkb6j5yk6Ngt/qgIVSb2wyLzAFD0yFD5FIpgkZ4uPi3reW17RAwi6zw2FaoOuoeDtYRs5eI
YdYL3eXzGbfLtiAA1mNWuptwZlFA8uCAxi3z50O1hMHzJUPmVCERENcJ6Rl38YxFpPAT+pccs9f4
cnreyfwH8e2U0hXnrUyTmE2w1kJzoTdDfB3cNxkyH7Hll8w43mLydest8YlgKI45tieqdYfwTy0m
cgop9qogxQXmkWMofE2M87CC4larOJIUrx82XAizp+GebtgFit/vO622n/chBezTPNCZgd2LsenM
3wyDTw6wQsDz/p4qFy9ZXf9QTM1drzb8yKmVq4k+u4ySEMRbR5veF2fyZA7rCyJ0w/Eh8lNvz+1I
0pFA03abfUkrAu4HO70XFBwZl5iXk4/iv5AqPlGfFRkVnw959lB8Hg0Cyd2ptpe0HIWWh1AtbXNo
HViNq8tlVLRDXo2aFF+WKWV5wfV0jorjZ87Kwa6GKH3GPYGA+CQDAMNu6Dm/+lD4d3V7yLRUVtOp
ZDagFQf9b+h5RqOSevScW7St89FZqP0PxYqk0Oi2B9SjWWuUXeAbWIT+h0JlWi6gTCsxS69hyO5n
WOejdPeGuj676Ena8QbzBf+GpmTPDJvzEWnVQ9OZl2Cs3+Kla+b6dWTjqIbjRpjlu2S/KWOmnWVF
9p4ty6kYCyu2nCISM1k7EIcniJkEE/hzjwkC9/tigHEGQEB8lJHmHN4+CiIdCkAsvHEKxUGWxF1E
bBVsvyrxZkA6+F1I9ojGNAgy9EUTJxeVF3wQq5YsoIJzlKYRFMQh9D/nN/5E04LMmmhA/9uoYY/C
m0gtQc55fIYdrNHJ+6t+AJBa9sm2W884SBeFC8lF6tseY8vJIj9et1f4hQQbJPs7P5vHVA/jJ8Eh
SpyDQobU5X70Q557ta9hUgu+iOak5F1meDnhEtrr3xjUvtuYwm9U4eeOl/ZdCv9h/7eXBZw9phD9
mC0QDilXRro4U0wPKvxtLbLnUMWBBYIyv5PjFUaw+wOqWejzlluOTAqpYsev2X3BWeSI3NDvhjZn
QUtsXmGlwS5Exfa8roc27RP8z4n7Q9cSCPeIW4IP9Iqaz/0Old3gQGLW/hbgavoU3zkV5WWSV9c7
hYVkLUi3AE5ITrSSkP1Gx02Rh4LGSVc3VAfRehOYWpTDQEMjfEqBXdzB8pZzEUUX6UpwlB2JCMkW
pV3msiCpe+zpIiJ3PqiwJLU5dcj4/6FWG0ddaZMBD6QG1V5J6fCR71vsXzQuAXEhfqJEPOcdmgSH
DO9q8EBnz9G3Qj4uUpK9tGEbqFAlpSsj6ClCfbnU0b8YaD1SKR7kQn66w9237fTDqPNnOmJVLCl8
8yuu5TWlNywc9TmofeS9JaXxEStjTgkjX0PBQa6FdqjR4ZZGJsVpECNNAXDFXEMRD+UtEAxjsAMl
LBf3GuOKdxoIa9EHjZjtduggC9HNds/lmxYILwfMp48uYyr+h2fISeES398kxqHKD1ByuJB8Pl9e
v4URgKNBekGuGksrCAgF2hRI2wzMperuj0Wu5JXt0KqGgIlDPrpOFbxH1Q43ZrMxnAGc0I36vXrS
wV5DXszbnXhUgVCx8sK4WsMf5xRWFsE5UJ0BEFWVEv3NU5jkab3UDwZMG4AW76VGMDqUGziUdfIL
FpzUBEr4x+2nHN6HgQ//vRrEEHIt3A8473Be2WuDfo9zlUb2Tj/+hF2M6W+LZ81JjuINxggE6WSG
ttv87u/6JyHPs3QI4cYtayDFGUWPoFhyFSQzfgoHcgmMaS1GWM+eKZNzMyx+NXGOYea8VqVlAKq0
ixWAfWpR6UsKa/zSfFQZsETPTw64TMQdAeaxyNufy2bJ50n7mv6cVlQ8hV4zBAldTkKhnwNrLmPN
dS/DfkvtCG5AliFSJ8zwDp4JJos0bHM5QRaSujUoHHo4wFqTHtUF9QAo39d2hIgTI0qzlZ5/WDMb
mt2QLdCZYZLELRylijcjoW0BJjDIMfqiuOd94mPEhOTBLUrpssUysdEvs7Dds9VQ21TY/haKsZ6w
M5zHisW6K2HGtQiLOywUvQkCuHzwc0nlukZDX1/4P3pR09kEpAiThr5Ij54PPR6gvxa6f14+nWRt
YnjL//Q2KiY+ZW4gRzdIgggOYCY4R67ZJPJRurAWrzzMHeXaNl48Q6i+H6mWNWUsIbExjZsUXNj4
jYAT/3FGwprBudKUwaLDhEp5qRH3eixi6k4Hwwayk7o3+lxFVzY19RMZa1C0yeQ2ui7xYe9gChyV
JOJOqnafvWfK5hq1h9q7eu2U1iNr1B+YvZqVwhac0bpgWqzfpBnV4oVLgX4bxw8pXvqVb7VIFFLU
qcVr3yK2s30XFRxnSeuc68Z08witJhz4BQkOcSAfWux8IV7HSmiv/3fqpff/IZn+P5nXX8WhRTqw
r+YLjkfMWAawSkj8EmO9m68vW05+zMSSDxZbbt0SWAsMzIekScg85YKyQZ4IL7+7V4gaHySGz7KY
VBwFz3kekMxAx5j0IglYkFtWHLeCigg7esLR7Fs0G5T7WMF5fYk10iQbnw9VgV6bjcpfGNck5fKv
LmTRl2GO+3RWpHZvqX9LUUCL+5rqogXHH+V59PyYSbeDt/t07wgbrw3eUPRB69d1rhzLU0v/Bs0b
CCpBtEJNr2mYQk1hjnMJJEABHNYpdir1XosMzGoj6lXAPKTNZYMnCg/eCVtzZGEFtvnx89LiWBdx
EcgI8wxHQg8rli5unvfPiYHmShnP2etDCmoRJXZub6Xt8TgEdQCqDmw+XhRPrEtuuqZACKgkrgvK
BJYc/MjN+DLiaq3CEE8uiOZ2ZH0XoYmNXbQN1EXoGyjeqRF38+o5FFtJsb6tDXZ2PakpH4C0J0c2
IwpOZwmQxN4k0xdFC22YwhsPpunOgkul9UmQ1oBIqvix6r0Akxja5kJj8OUCAKdPTcOEfTu3lw2x
N40rdXgOizDBYNDtb/vcM2iEG6Ifk7qoGGCLkFI7vDnviKxkTm0PhmppN0bxOOc4No31ZZ/Sq6La
JGuC41rBtYYzyb99F7+vO+k4JVrye0cxDXZgSvU8JVbI9ZQYSRy0hYL+/QCugXv8CtOUrg85QCnG
OJMmmAhJbaCOpatRsoHrWl79NKYEYoWVjsiV0fYj4dAYRK+oH0O4sU0xQeCWNYkjNpEDTd2jlwAR
UdQcK+ZZsUmLnbki2eMUGSArvL/Vo5jPOVOo3Tvyg7T6MdfvkOZz+i8EjV/c2QMGCe8dyJFKvglQ
+XrToE65j2jY9R5Su64p5PHWhvoiloIekyhRo8LZd+8Nq9P7Nbzs8BQi2yBI0BUHcFHSH+J9KJ30
WAT1hF6GbkkbS6wXtJ+shh0Rg0A+fwc6a0NKOCh5jq4LUJ5mS6k/7vzHdXjeJpiVupj+CPMXzTY2
5Xv4wPDVrQ1H2+TolCbGe9IxV/+XgGP+UDl/sXcEHEOllMqwDNP+q/woSYtMTW5QPUjEf2QeyXtc
u+89pRcbdBS8OE9a737rgdATEAEI85QOwMXQKcq7Q69QJhd9TnXKkoKzWF42b0B5M81Ibttt8VWv
uy32wl0NGVRFbD+qQcXdnNCADBy4oq8UiQAWxJB6au45qtS2RmG9kjvimaSdCa3IFpz3kEKAO8wn
VHJixiUhXyjzBkByx5vz2ZlUI6VBS4pFNQAMoOn3QbTFpEWdyyFzzD1+MapvpaCqRLDpaK3Wo0B9
QCUT1m922t3txfkuwZrLiqboWzkOVoQqzpMCBPg6PfAi1P6HoJavOoQM0UqfuEeqieFah+cpI+sl
HdmQD5G0VD5NLzhyk9+k3mt7fb6Ner8g/9yMrl4k0kfC6DqJ0In+03UL+kFfUf+1Syk2gNrBS45/
ugP+0pQhjc6rHkJZ/ZsKooZ9D1m8LQmfF9Bc+oVTSaQ4XislmBJquE/A39p7b56bSzq8/hZIUy8B
LHSEMSmYlmoBE1+zwjMlbSMHsXEla8GL2TM4hofaNA9bv6bF0AcgKv7SZpquLXIQ+pwRQ0ntqQnI
johYG8ol5u3e9KE+Fuq63eSrDCGTmx+9fis0uLuudOmtSGJSHNvjVRk+InN3JhKZvn2kO5PzjF/4
37K1tSa/Lgk3JbnLe1dMOsijcoX1nOwnX5Wr8xv6hcYev6vNOUpph2PvhF3q2K8J6WG2yam5En7G
OliH7HdyoAEBppeTgXtF6gJNzglrbYT2pMA/a2FB7cL0ZKwv2EvxZdXOdfc8cchsCPghumecHNQ1
gJESHHGJf2LdJyZQnkTrnVjyvxfZOCuEOtAzQC53RIctN+DceTN8kWE/vfIrpYvJGZB3GUPhfN/F
ooqrrEDDJ7rYZMXviA4DELxihXwDQ7IFMju2TankFkkXz9+cmHZxbIKACvdCBS2FQLQJmtQRTpNQ
/Ci0eSEZwX8WZ8HTGNE3CCuC5fPw+4sLPgXB+tzrebPBM0SAhYR1LoB5CD0swriBTpZfrHJcaAns
3GVMihKn8zoGzSJADMDcdkQmxNGJiw3mi/NgiRg+xb3/43QVtqfxszXS+vSO2lzsP6QQ4OmTjapp
crulG96AgJ/9p4NXeBmfQz0i1CNiANbpIIkjBcsOME0f6ZDhHCiLzRelRG6+wT2yUFEc9VWHBRYA
u7HxphRb4ygelcFS2pRg/wP7UacAaDlKqZk4CK8oLNg2oM8ZSEHFM7i677ChMeBBqwR4WkjubG6D
cNclGm1HsZMBbXlxpNDihqBO5IUWfEXaD9wVutD+hfytQBG2OwOK8X1Qkbhf6PHZliI+4iacLl+7
5TCCx1tevtrtzUM+z0W8d7F0kubQs1cb0RMNwIHPKMA/S4J1gwDP+cBf+hjmfK1DLorBg9KXX6D5
eS+qKQGRsiHqblkC3b+1JvnnYlTLsFS1j8Zo2wJP/0tiVJNr72k0qGADAvxAH+KJCT7r29aGH5OW
z+f5BzYcYwK3ttln+vRS0rusJcRbM9zjWE8wyE/6158fhM73G7YtBNkTzpwNir4rBBG22gAaelFK
RyvPjm8bYC0HB9V+awuIro7x4BwgurLhdSuOMISsNRGVIguJ6ukfUXnSkLoOeFg2EFVStAcAJ9F8
T+pp0NTPPu0DQGWYECBvMapDgogrP1lrR/FmU/fBT0K9bJ4UMTT8hJwCVInhgusdr3+oQcGaR6c+
6O5qgksD5EtVDXRVDaCsnSeUROeYLBY8ZLgnhIZQpPoEV6Y2vs5x3cFxWjjdq5/Fx9irnQ3X8uJW
CceG1/3L3FNMgvMb/ZgjkiOl/dMR99AKA3uKzkJxOhgVqn/wB8sRF64D1noTguD2gp3tvPw2f+ZM
Yb6j0TxlYjBjUeHd9s3WnuHRJnJmVESY8+tt9AYwUzsGN13j4Pnpv0f2yqJiqg+YulzRLQEK0AoH
FLAc+8tqixaH9x60yYc2U/QH2rAfihEhGpgNwSPNmtjVe5p8skC35yD3xZBODwcwHptiT3Mbv4mk
bFCcWvaGY2rapxSQgnwSrBuOmtx/I9JXP6HhE2mb/oEEEHWohceh1hVFXcIaKZ4/gEPDlkyzC1Dn
fQu43HYUXOK8pR4Yy/P8M4OdgjYUXw4MJlRjn4Y/BrwdZNGiO3ShyBbf1b6QaELPcRZh1g0viH8/
DtIH7enmBSM8NhQqw/uJ7dUGeeBjR5rox6+o6MhrWxqR1B44dFJudSyEL3qoSd+alNq6NoAOcLCQ
iwtDBS8bIolxuCIHhhZOc2L+rEXSInTRIqvaSR5H+JrorlGOreX7GyVLQQrBqTvNyLLRa27Ug6vs
eTmpezA6qld8GWhkOec4Jpq9aMb1VggJZA2XLoSO1JD3gFiEI2QiGkl2mKiu6LFvVvfZfzHMYEr5
1F5DP5TibnBo8XX2aVZBw9gOvxC+G9SRxIcM+oXpj1wjdfoESHt5o40szBgCBOUlBw0f6h2Qjmuf
Tlw8F4+OwP19HncLnWfWc5N4AGmC3Wj18rJdInqdk096EUynMe/pI2nvAiuwlua5+Ag5COg6ylqB
AMOEWX4lKwFfz98k9ZTnS9HpO/jf6TYI9//Xrk3rv+LdX6q/ml8K7fNEu6b7MA4oFesPG9IFH9Xu
6w9VhNKx/kF1AJbLOUEreu6R4eN+bG36f8R7o1COMJiouNgM77qmJ4Gcb0QHSob3lM7gYtVpUFcG
9DzG500Fx/aC0i1Nu8wf9x6N0y5DqSqjFeB5CDShjqYQowxqCZGD+gXcrQRG4g3x6MMoidkbhJTv
aLYFDGx351WF6xoH529EqIUw/SWrUtpOG4cU0gYmj6Xcct7JZpbegrBey9cCwD7uGBDDm1zGg1hQ
coonDfPKHNHpC6sANV4kwXgKxc4kgq24YbGnUiBgTLF+0wv64b528jqwRNjjYQm0/ZdHpP9Du6z/
84j+shcUenYr8ppHVGP7Z8jgz/CAnxYE68u8WWJUWx6PMvhseQFzP5CEpVNtxiEltgBWNk2fUINi
tk7cfRXxc29BvMteeLoKgtoglDKFkloz45AsOAYy2oNLYUwGQrCpgk8WJmdTHvIhZy+cGUR3Wi3T
LPsc5nGOLw3PMSTpDSJOnMhi27XYKeTrPLt0y5oCmYPGI84ZiAWpLcb+ipkeXx7mV9J3Ei3mGU7q
L4VeKeIVxkb0Ux3QfecI4e3cpJP7+Fe3yChUUNksGYnvGWc4IIAMDYgS5aQN0ugNNgCLfDP7t6dg
/uNj+K888a+GIuYj+wzeJd04qj9wPsSpbPtGfXjuCfT0j2E1Sys/6GYUW+No8wUtLObVnztFGtgZ
YP+0oPhqCHjQwzD6eCewNuSSYq7OeHdNhKR2gxuM0mCDmjb6DQzb2XNPHkFugpSHIAoJ7qe/Lkjk
PXoNqjEdtApa96KcUWLb/T/2zqu7eevK+1/Fy/fwoJd3TXIBgJ2iKEqiyg2WpEdC7x2f/v0d2ROX
ZFZm7ieOnTyWKJHAwTl7/9vewLwDEAAg7Iwf+ZP1QyAALeIawC4sNeJ6ExrNlsTBNGHVpOt+zDPM
1zrjDCC7A4zkElYj7TZ+Cz5ldKEgW7fDs3TwqYUoxPAfcdugzjT4VPmuvJZfNmQohgr6ChVbA30f
bltSy6lMjtOz+IH0uZydxRWPGHWwSB6kbIM5F24koVMpGA1xhYrmUcu4Hh1u8W8rI1gq9mMR8kdB
BfoTIM/Cye/ScK+xKvj6dXkng57WKLpFJXwLV9xuhLfTgIrLaXOT+3RFzhn7PKJiIpzTbc7VL8lf
VN8QFbDz9ydcDvj7+juDIkm/lSjzKU1P+J3XKZSkSdVBZ8fNxn0cclPosY7TPXf6Yfxqr/m2xatc
0n/VfA1v8bp/HMGmknP7FsKKgaFsk5cSUrUh6OuOc0Z5jt+Q8t6a+5lDCTMXocV4ZkAo8fxfAFRg
SO4ER4IsVih60WQgByaT8FMdvfjRPCf3NOzwgwD7txmmkpqnM92nqYuCdoec8KB+xSfluSIKRmSu
kslMRSBwrPCNtXnSLlDnuMykx+R23qtXQcDjNKTC0UF9g5Pw06Jm4GKIGIXu0BBTTedZvuV7BAf3
MbrtDh+KAmuc42tFGHZPQDi2HBBSNpz0O7Cgexfgx0DhKGyR6V5+kc92QZjOJuYpx85wS+DzQ/AQ
vTdP0TfriZAAMjim/Jzg9UWNTBbE3fAOnHajvVNs8W+wVnJPNeF+5DiBIL8fyKKrngQuSvYzha7O
PzUf7WP2VD/nfHZ+/U2+yt8waFEEosm+XehcEeiCqxhYDCXCOQWvJ58RPq+1U0CFpKCsFAsIXpRM
tX4jwYwpF3mHgOElZ23H+/i1xxb2a/JM+DrfygI+lnsAZ+s5xt7VP4vOGH51NZyjF4PClqih2/FN
0L3Di3xH9gRiBvQKFL3OBzEZD+Wb+qLemuccOQ1rBZUMqSGe4P2zc+Sxz1Aaw2hGdIfLnU3yhXlM
rva9gOqlG+uRdhT7M1J8DCSgIzENouhtyQM4QIg5SGeyW1kCnQp2Yw8mC6WE2VA93Kf+cjswLQEe
a2fBZC6bBdOd+gTigj5B6EuF+d8+Y+5fgwm86JhfFNa88LqqwOemEIfDhJPgfWKyCEpjjHaH/AFz
xI6cLDxhAd6BhuUselF0vsdMdevZJeHRfrW+hLcDZfB1uEaX/plA/IcYPwlhWmJmwvID68LsEdnF
FkkTBPMPDVDt+ifnAZnplT2NzVCYFVJK5X4H/juQ4IxXjQcYSosksSPsxK3VQ6G1HNjIzJBnULXy
bFln6weEzYMQHuVrKDmaYEBX3DArWvBD/bV8DOivQTFpqvHdUbjZiG+tB/MUodWGjoW+VE8SQink
NQcC3qub/EuQc/R1vZtQoxt3EioD+HTcL6LsEz4+NLfXEE4Z2yQnVi8GE5CQP+y1M/cLQFUmADIG
vAfh44RzkIwJ9QEZKAasHYw3IR4VD6uCaxJkn/1quuMYfgsIQDFJExQUrvAY8r+bGjJe8CfYcZ7t
Hq0+3lCSSkDpYXdpRch4TQHaEFMCfwlAjJ6bugsqjl4NEo5qqz7ZLxl9J10hKxEbJdwfp6wYEQLS
xb7IlA5GUGDq22knHLHCPiauonWW6Bha9P3tQXoQRgToLZo1SVT6Z2er301A19BjV4NMfIRFwP3U
1OB4OGIvNEjbHiygFNZq/BXgjogQhakHExtmS/oSEo2kK5FXbAeUeCQkIVPcayK9SJhFfetO8KMa
vBlI9Eqcd7wPaFaOWz73CL0gctczJG4VP69+JwyToSlfItwduSuLKnjsWSnOPacf8eykMcHQQRvT
mxY3kcngkIpEguyKE00E0rChCeiqPxYwaew30H3dU8kxVKzhnph6EPzg6V7bD1WDeEX4+8W1EzQU
ZfEG9ulBeuXGYAWXaIp5OYWxSnsNn7MFHoP+wbiP1AZLRwFTR6rayoFGqQ7NacZ0VmO45TAmD2Xv
vNJRPmcnkTlgIlZBL4Y8jB0Cp/AR3xVPYIRpEbb6BlK87dBkGC/qVn6uKEX0NU8vMXe6CyVFiI8Q
JMxnIrQhbnrWhEDbMP9i4VkoZya45x7B40T99u3IwOdFD3wWCI5M6ANwKoJeoZhS6RcsYiEl9kCh
pxMeBoAUngEJZiDiQlM7Q7FL4gRkABnVnKCuKDxH6haqOVYoRQgHAmJDREwyKWXoMWV+uY5QtGD5
zgKzIsy4xn0htg9hpDBvYZq3I2HXQiWs7bHbQYoCVoiWEpaQJMN5UyFfsIj2BMGxSUaJT879r8gz
WKNxH14N/ghBBnMBSoheFwDOp/F9RHOARECmpo2fk4MJgcFFkO4ioHLlrmAhwmh9UVCfR9Q+GWCh
OGwUvGA1nYmATHGLgRMECGSQxNwadxCSdzqp5lhcOHaEaqRgeZWYrLS76FSqDGYk34wDM97hsKer
JuZgp1JObM4K2XQ2AmyhSEGh80x1hy9YepgYbpS/33cbOnakLIYXXEYeBIvHf8A8YSGA4pKfhGSX
mmcn3HBEsBBOkuxlbg9ONLxzAX/PGM9ruGpaQwSbKJrYVzi8YJ2kw/TRHeaXCiBUCItCYAIHe8l0
Xs54OSGaiGR3hDQEoEzQTWIvUG6dh4rcyfi2xVQwIkJAkkBnPeFE5O/IcypPvu8oc5k+AjQcfbGn
fIu3hM9deBdbtAR4GGiG6bXwJ4L5bh38LrACIniGOlgi/7uEnkaRB+bMIfeNHVGjCAQ/5H+d+xnO
k5wOhgpJD+1eCHzRtSGwgOJ/c2A8yY5gLQk8mpAY1OyEbcNlviheCQ4e8zyIPAv1uWVfAf4AfxFx
QMFx4ig5GGh+lJP+QNd0at5J0Xq0jyigAIbAyvD9M+CN9U5PKzC0eD0zW2LkslEJHoibhb9OePcQ
pFes7DwtgLv7BaJCLC+Zfpu3xueq6FIdzZ3+TVym4vyreNM/0WF/UT4HWq0nijQYFKsCf0P+B2+Y
sKlXGP10EX4H7S5gmxJ5ITlgtP8hsVDqymbtdGzsAuoVCV82ob9oCgWS7E/iWN+lWxTBHOMROgw8
kVi9YcWvFKI8wRBVTCLh2LvnIokoQpAkCLNVeIMka5s+0gmhAyPNfDsdpQtaODqiVrDZ1HwAe1sH
7A9NFJlGyMex4AnunPTO20iMW8KdxKHHQUNMDoz8wCWVMB4RDw84RbwJC1PoTLmxIDFiwkHAe57J
VcWKhcEIXwyLCxUln1psoxVWvREmEAUP9Sg6NUKxZBE4tAH9vQ3x3MMP7pcnEa0MzLmatjW2RMIa
NzY5IyFKTGNNuc8SsqnkO2EJR1LmoDCnBLwPecYww59KvA9EciLU69ARYgggMUYkUQmjoAj4+a6Z
tzz45MIi912RPEiIoYOtikJTGBxfkaRsKXY3dBDiV+ClBicURBcXFN0eFNOOxCG8d+qKXQW0ADSW
mMUA1Jd/7oREsWUYTrpHT8rJLATrGAVXLUW74BFFYFeIzq8AxxEhN0Q+7RgKwX8BbO/iK92ifTed
q+fuw1DYYo0f8NHUATkJHRqxscljfF/ek2dPyiA1Iog0Xu890C4b5a8zUdjMucwZChix59rCBS6M
v0eVPsaCkhBhDSC4SGqkB5RGkObE0PGXSn2DUoVTU0RUiJ8gFNkFuWsCLZBPIwcC+U74zGXOHIHm
iEFNmJtQSiKr4+SBciBejHqWV0WcVthhCVTIHnW+QnqSTxuM2QvR/zbhJOSzUCXiURDpmYi4QrSz
8CBELhj0vsNBXpl3InWVBoYgPjEIgFAxrn+Q4cYMVuRNn4WWE8O5UJhq9G8D4+yF+IVEOABE8PQd
wvsnrAQ8FmRRXkryP/NLtxsfhRFNOCbkbfcsLJ2Il4Xjj2OHzIazWFz8RHCXkB0VlRaHgUB8uL/f
ehkRhMlALuRHJYITxKX0sQyzpOkqqWWg/agfXl1SBQKGwaGLMLBfkztxi7mDmKw3ejxA/Y6Wpd5g
uP8SLT404Ml5BHZm4tVNC7EIkd68i1Ni01eYm9InJvaczB8hvGn5aNEo29AKAwgAq+VDuMh+RATz
QAxHHlQ10ZsYFw7yZ86bQADZMw6AwijdZK1HmEzf+TEaYjq1y/QuPi3b0LF5ki4oOXj7pBff2+Di
2b18ppejTezQAclMMYpvvn0zIfsZP05/oQolB5OsojN6ZZjNHExMJ/ScgXc8IRLaa4u6EpMGwkpS
L8RpxTPDI8pVo1plVw7WyUqwMUh6+F39RsAOIhJaY58f6CsR5uBDpQUGjiTIkMLEphYHrSIZmVid
AzOx+P8RhSgwHzo/ccoI1VnK94OCvoozRwQxkoZD00+kCEeLSJfo+N0kzwiBM+yGA/qF1ffbIAUo
ypMl4hZQuhJoIXorAMPzRFhx+4QIcVM8CQ22sGo7dG/OD/1UkXtwBtQDUIP146gGsH8KAZCQ/0Ge
FpiWIQQoqYH5mIYSHYA9H5ILpgeGMIqoj/IDlTMtDvlxj9WTGFsxv8BpEwHU8OZDbp/NbdRfBA1M
Zy9SE4g2FfGmE9sTVfBReTbuGp6Jwq/I3JPSNfR0isBuwTSBJgnSC44YokkgBYgSaAUQdbF52Cx3
4ZTs0EOx93FzBCCZgpfEBBhrourmlSDCIMBImYlPi/fCO7PgYEINjy4yoKvmnQsoh1UsENCFxlhE
ZIhhS4D/N/Q8nHMTGxSaXCG0A6svqA0kJhoKAbUYEOFsUJFRqkA1Cek/uQDDfj4LaSHvmgeMGonP
ka7K734D/OxmORLmjomViPd9cu5uI/4SeLWFuQQsZFUgXBOW9IanhEVOeSRcDBD0xHgLdJsFDspN
dPwB2IyCRIPwW9BLdt9eCYPtEvKO1hgYFpkWyw8nvk0ghcWJYxNpx6MNICHkJjpuMfxfnJ454BzZ
VhWXLcY7SQTQAfUnaBuKk31E44w7B9W4SE9SX/B4ifXOSueJeWzRichIt0HpVjniZuow8FwKTU4Q
nhOeR9Hm4GM5ugDaAJ6bCyQDzUfLmiKzCyBC2XIyinQRTML0msimi3tB3JEXQrFIviDRFwhRn9k/
kcYGxE3kbNwGUqJHUG/YJxQGLD1ZyEVB6YXjVSX/hS4FJ5LzAGaw1ylNBMgJJLVG3YipVcw/0WDZ
mg2FCvNrAaOI1srW1X2/wVqD1p9RJMi1CTaB9VY0wj7zw/RivOREmuXwN6NYXdTSIQG4bLU70dzM
37ky7WFLRMy35UB0jcsmexd+DvPBIJwZ2vcmf9eA0yCC6L8nNiWaQoJhjJtGRIhwo8y1Tq3JyCKS
uhHobRdU2wqlZi8AS6A2IlwplGwJkbH2ApQoeDaKD5EZjARefA5OcvFw8dD2L3iQRHf1winHbgZc
RxQNEaoMDkLPBrE6CiiVaQX1jY3zik3+jTEqJ+kxfki4ewWpxNXK8qRHThLyhxEsbGj9kQwT01Ie
Rg7VWsT/os/BeIlGDONNIrpvWmpxznKT+S3MLkOIk0Am1ojdJeIhRfBGvMu5hAUEnni3IrJJqJ7A
qTbdBW8/JtHiisNWaLc3RE6Rkdm+48eBJkV9RhuokpIkQwdSHOIvo/O/Kz5Fl08/ARaAiJgmyzp2
L9kznBXkPkgs6PVuflN3eY15RDTnNq/mSuHiBY0dcZIQEyedw1vlWwCO2g8Z2oLfvAVLZ8IQ8lw+
5ZP6VACskWQmQssID2PmlLisyam5xueY3I4eiQyK/h0UBQJ7MLxdfrO8YyK5FZFxooFDDMGuBWxA
B5sjhkCSckzeYAZ51BT2n+giNITLlaQpAiW7Z2YM7AYubkTsv3Qn34LF7MV3iJ1J9VueJJUSBwsq
e9UEWC4iX2jIrsYuQmHNzsYAG1HHUhARPVE8kIC3lmFzhZFNpoDigYVHpfRaoxknC4kDhEva8GBT
Uvn1mhLoYt9/8xlHEzIX/yBQiH5w2Ae/neHcKLqqYwEtxUJF1w3wAiuK8Y+roOBvFMx4y6sUmjea
HaIhGCuIucqghANaYXcXDhFKL/Y6JNfiCBWOR2IteZeUUXw3C1gIGCje0F5QId/EZwoVOBaKJ0gv
DVVZfTjIG3A7KAYwBrhl0X9lbOm6f8avuueCFHAlvH3OYRYwl1WA8GKdLfzolHaEcaqsHzwDImCF
CoiKl92APYYhNVRYfoywkugWLFYhOLGoyjTWO9QN5A/ZpRC9JHxyqBGJQvvDAUh1gMoOrBVM5y7H
8iPYMeap8QryiEj1FfEw3E5EaQAScNs8Wejxi0/OcRp06oY7lsYOLAqrgMAjRIIaUxVPKdg/xlNa
ggWbEbLhs8VNho/DOYEt6aSx+1mC6mA/z9mmwHZ2eFKwOwh9gY5HQqjKZ+oPKglulUDmLJEJj1id
JEhuM7YcdkftgcgdrgjoJogeB8u5oPqcecZQDlxy6nNh0hZYrFBNg8MBwbKL0RYyoYTBnhDdjPOM
EB4JYLYFY6W4OOTcRhnEVXyn6EKQZfDOWBsjb54+fFfckNcJkEl24RPiK3pAFeDe5FnidKUoAkDk
bbAJcJ5hTzqppPGCoqx13JNcIhgeEbYkPhppQ0QoibwD4T5nM6HZdvhoNPXEJ/OR9xqlFJ4ZDg02
FtItADDZZui56PIF+BYdxf5OovexfoIuQGHISj9YJPDYe+a4c3k4WtiqANF4IqiiTs72WQL5F7bZ
/kAzIoAx56XzjBcHJ7NCfRX8m4klqvIvQs1p6f8xR8D4C4FstWNTKiqSeqp3uOySN2HgzFZ+CFGT
8PjzON1PLxQVzyqNJ4U4uDoPDyLMEDKOPVZ4n0hrRqTLIkQQwILE84hdBqSQPKoBaI3hchb3Z6Kf
Dg+7nPMSRS3gXILIU8Ship6IFvYJSTzfBrZNHrd9F6AFJuOD+OHlaSBIQ9qSAnLLvnyfPSgfyNwR
10oApZSLCD1U8mnhGpCNLxtmPgLSAL0dsrue+lbEDMSH/pGSjlsoPFgMCo332hPZs08QaBwrYoaZ
iNyiQKcSMzHFcIDeYX+gCDfusKhRE7EDi6VH+RBsZSR9NoFDLOMdxlagt5CIRYsaV/4gfIWHdwFM
Rq+Kx7l+0L4I2kBYJfZ27C/cdb6X7wH3QxcDsU1NK0RR2gl0iPWH+JfOXt1R5fNcUkQIr3ANqvjv
JiygW/tXIo8/LABBbf9B1JYsoRPHDgkmBK14mEyA4U1ENoIuHpgPG/BokwiKzhXQ7jtAKcKYBvpG
hfZIkY6pIT6B33GQMJuUDyYuJDvaTmgmcnYc+qCdBhAhtmPuA/yheVdfwm2PxY8S2pXcd3HlsLvx
4FzUc35f8UA1Xy3eV2iM2VVml4EzDa7dL+dGe6XfHM/zi3RNTskV7OZEJhxpEJxNOHRrZkMhZ7gy
yXYFgrQO0EmKg51FSEQ2szi28b9TychCBfNPGnFHVhkhw9Cff5p2reh60I0WEozgLtnlQh/Do3HK
SX/WPniyuYZ8cDoP6SKvVOhBUF9qe41GG59hROpo5MGK1hQOItZBJDKk9EpQcpRZZGM8yXtnNRDd
AFKPKPNO43wA5aOgBWmg5UC6uS0I3ITUYZAtqIlf3kNElGcax/VXdANWhcaIRD2SCbkSQkWbXa2N
GJoO1C1zeIycKnSYnG7f9goQ/pQ9Xvo3szz+tXryD9fpL+BhFyWz0TaoJwHRaN3SC2wdI9z3yzuc
7pF8N8ZrFGd19X67+A1mSkY08jRi52CjCZmM0VO80y5n7nJX3OsfBqZZ+T7ktB7v4ltSBJnG7tq0
qtlpfCqxN9Wgajbmi/gSYdhHBE4wYE8Ng5cMB112weC7wjH5Sv3y+tu++h8f0/8LP8vzr7e//ft/
8uePspqbOIy6v/zx7zfxR1O25Vf3n+Jl//i2P7/o77fVZ/HTOXv7+Gz/+n1/ehk//bff7r91b3/6
w6ro4o7sh89mvny2fdZ9/wrep/jO/+kXf/r8/ikPc/X5t5/ffuQxM8narok/OrQsv35t9+NvPzNu
xuAB+I8//orfvnx6y3npfd8gmP8XL/l8a7u//Sz/Ihu2qjj8R7Z0RzMccSKNn+JrkvyLrduOjrDW
thWSNXiefv6pKJsu+tvPhvKLbimGasl8WXY0MRCnLfvfviRbCt9tWzIv4qs//9fb+9Od+v3O/VT0
+bmMi67lEzn/9ECj8HUcy9Z1Q8b08T3V7w874tJHcxwFGn4WZ5n8MMmV7VxmspuOwfgsOdHbiNzH
laYEF26UP419eJzm5qnMzcgb9aTyHUMhnyCHTFcmaor+KUiT90nSH0tnegoL0w8kQnHipPSykUYp
9Ox23rUVkrPAGbd5BfqRYhMvEuPBkJNLagxvUz3RGs0I2Dv7KmnKj2LM/NRQr2PKbLOh3SYMLKgl
nPHWYz90l2SxnaO0qN3eajuvEz+tJ0NI73eaHMiuM+drpx2usQMrY8TmppQtr3HihzT7GBbFa0N2
hr58qpZA4kwnsmrRE3kVWFPkF6XKG5eK1m0kLSYsCZVOFMeqJ1XKh1UQbZlFH0Vl7Bqp3Ms1c9ni
SfbrWDnPrYP/Z2EOFEb+2XRWUVo8JCle0qztHPJJQ8d1isjPQomxvSyGQ9Cn4SabLM0LmvYzkzXG
tRbW6zD2q7bSjkbchV7F7JgurjQvqSraVrWM/ErKGI2q2r0XGLO2DuWl2FdD5+kh17hJW89WCM9E
/W4lHTPns7r3lCRR14sRjd7SWZo/t2jY9XadKAvGYYOmd66uRtnUrjWkB23QPUceUkxKjATjLb9E
4XDpK93vHWahadOqDizfVLrHdKCG7WPLNyZmgepkxgfKUVKngmhWZ6MVtZfITB0w6J/H+LE04T/N
djUyCX0IW8OtJ2dy7YxpaoZSaq5lFbdFEF67vlwvWTVcbIs1l8tj7jsFUgNNzr/6Lqx9xZI6P+qq
cJ2M6mEqpJFYvih0m9o+WH0br52kcsvW8Lk8mucEoG959Dn0SefLOe7hrviaAwIyKmvBQmklmstA
25WdYE5JqaPjwguz4WhoRb6Ox/GlLBn00mSKG0qWG9cSORFz8Tw6nafqTug5ku0tvblR7GZtNpC8
g+z1o+WXdXIwyjE4pBpKKa0FAZbjH4qshfsRuk+KDJY1aFKo3jhdvR1DrfFSxXwYgvmcZKB43fia
VN0pbWgzpAyh2qR8jRXsvdGvKHle8oAk8cBZ2Znl9TbTWBVH+UzIDtsWgbZOE/M6RcQ8VPGXNVnS
ahyBXsqZ9JDmc8hkhrzrY76VLKQfxfKZFjhtQ9sNx/DVoqB25SmQ/DRua1eprMGfIx4svWt7t7Hp
NBJWjatV+kEv49wLwvJhbDPTG2aN4KV+Nl0GTHbb0BhSr+yqW8Npto1B+FhYVKcxBkOXk/HZSNu3
Vh2ilRQsZPEE/dGou9c5CY9918leglbbUlFS581enYj5NbLDLGGECiLNU2w73tT8Ker0cqUF9Zva
1aNbODF57218UsKBu1C9SlpxzGPn4Fjmm1OF3lzXthePJY9qilyjmK5aO60qfP1BMfuDAbpvTGdD
YcpZr3aeJJGs1qiD34bOwQonZEVJ9aoVpu6pFRlMirzKjeKl0MtDO6Fhjju/CvVDrufqOsqpWLRk
2cZp9qykbbmSkT5XjfMRtfap04dPzSkrVylaqCOHCy0nsI1oqtQpYoCR3f0IarTgk0ywCNucM8ar
2dJuWMIkvphSeJQz+VKFneKNamW7qYT0Sgltv5bqq0Eu0KJIuptIiZ8Es7lph0T2O6Y83RRL8Bxo
zn1a1749Bu4wG6lbD4OvlUnhhq38rqTZa+OMz0mLH8JRex785dVOWMJOykIsGzVe1b2s126qc2Au
nQ3FF1flRl0I0rIjZiqYiDhi+a2Pq2UVBV5cZ5/qrB6SOnnrI2clLxDqXbM1rOEcqtVLaAboP+fJ
T3vFzSR0fk0hu6bWeWlq+UtTeqRV3arzwk4/fBlGeApC2S/4SHNiPPalkrppixS5GNbFWB30lqXQ
hH4/oJdP5q3qwGuWrAi7344NSSFTa26XwpLdrg2fpdy4GxTGyqjd/ZwatZsNsXkcdHP2gmr002Q+
Wrm9aovpwVJinMAmwQlcNYtAf1IXYnaERutvWauPi1qv5o5paM7E3uIYie3Nw4QGX44/k6hhs8X/
mSfSyi6ehy7b0J4Eh6JbBq/sjasZ5ttFj5BZyuZjLUu9F0tj6eZyurZ7uFedEdbDFLP/yG5rIN8K
Y83tuBp+UTjbuCUbnKu26OOLPdWFX4+qsRqNcivp0Sk108KV+sbw9Ho+V1Gr8o2MhSrIiIps3HNq
Hb/pcn1UsiBzJycgFzBJc3fqrW02zatm1Hs3kLXBH5VOd5c02TeTcrWnWXfDPrB9Ry6fUqdjl+C0
nZrkK7GX0WORPKWceG5tfaTB5AVm5n5XYP9XjSrM7DRth9DN/74g9aiNfyq/fkIH2HZl9sfK9PeX
/1qcSuovhiLrimPrhmErsqFTGv5Wm2q/KGQcqrKs6roja4ZJ9sDvpamh67rqWAwRpULV+NLvpamm
K6ZK22Nrqqwp6v+qNLVFwMGfek0syqTOWQ6/TZH5hX9u1lPTilOLQ8ydTKlM3XngdNvp5lIr69Fx
jGMr1yrjH66pY27D5pAEy1aOFAha5kKlw9rJAsfN+o6cimms2P2ZeaPaxyxiOwetC+KUL0D6t6Pm
VQWu37Q4J3H0mTXBoae+dUf1oYh71wrImEocpl44w2vXJeuqyLeynXUkKg2ZbzR35vjaTJO5atpu
HeLMCUd/luHcJq8IVyWu82U5qhYuniH9UqzmzRgf0vlJSa+pVW9awh1NqhaSuDF8QbFm3ji81KrG
vueH6XM77/ueEZ0Qk6Crji+T2xRtzPQ+7g6JsUvxQ0X6/Qh1mGdnTTlLw1Uxj7m8062aKtPZ28uq
r2Jf6Sx86J6U6XeSMrl5tKyKdNmNpupN0+RGke5n0It9qEZccNubLDKjxsXVGy+rvXD8SA2wDZkX
PJTD6LUYotXmFOj8xMmLA5cagyt/HI3YjZvOrQLlpWmQvRSyN/Wr2ZHdcl7JQ34JpeCYW/EPe563
ub2WRua2c296+6xlgAZFvqHkcq229cacYExD7e/DfljVbPzsS7sZbKwPNxFA3MiI6Z5grGQhfD4l
FKsMCAqTg0fV4hOxhDdB5ax1o7+xHfs1e3PQ1tR+74frOPOMePDr1vE751nScJt3wUprtENj1a5E
IPCUeHGq3ktWq7nRFD03+cqaHsLxS4ppmZ1x3aSHJVTWSWOt5iddfuiUH4i91Flx837XxfOO6mgz
sh5jeVovfe8NcrsaGhJLEwiJqvK0RDnMzlPNIdZbz6xAXyNRoEWp1r841a3cVL6uPs7D4EkBtSVc
SoV4lfYjl9yqeGpC6lQLVJbDp59fUxk2kjnw4VfB18fe9CvZH86RvKypMpqPsDwbJiVx7E45Xk0L
8Ku8Lah1Y/VlTs9yNay6cW0m+keJNDd6VGJ/GTfUs5QaNZ6tIfbqIN7W3ehp3fNgLCyocNPZ762S
eRThUbYJQK7m6oc0q5u43Es9NZS9GpxbOWfOc3mIbWpoqhkc3o3tqynT4Mm2aJlHtUxuWgSuorzl
FuYQKXDlJSNqbj3ZYI+s+bg/KpG6ttAdZcXBhpMIRlcL0FdXfsJhNMU6h+BuUgnRG+f1QH6M3MR+
UhNOa2wShhUtmksdtkTnQLnp+taVzWrf6gxyJiRfHdY6MyPUZOt0/bbTm72dX+P0o2j4Bc54WTqU
Q6XpJdmn1El+O02vTiwNK8Pc69NKD/udngPyxvHroCsrZdI3ed3vZqe+XQbNK7SZOAnKgCnetYr6
2UflyoTlzDrfaiNfI7ap6El8UuCIw8G3VGdPgpGZ2ft5Cp51xB5Wfac65L4kjl8hH8YkZF6zKt5o
2SVbEHQrkWsDL3Ntl4ExwlnhqzEzHmZfa/xy2GZoxyPna5pmr4wwwE7c7QF7bBuwc3TskX25SRIe
W3N4axiAHWeMve7Va1vN/pKGay1gTkt8rrvjmK0SRgZHWHL7u5omNA4QmUfL2lTVjZKhh5aQoqit
lzjBZzXM68oyqJJtr7W1XdeP91qhbEINiHvYG/BotsrYjuDaJ69Lrh/jsF7ZeXKTJcpbm+SeYzxp
db8uy36tOa/T+NlUuVelx9aKNwarcjRwWZvLyQGoVySvLb4qCYdUiw6myR9l3aCZbGmZM8f8muvy
Uow91zJdgA7mXd5Hha9UeG6Xvj4aOtdQ078658E2Z1+Wx1UvnQYajlr2Bi5s2l4nB9lKkOXuWEiy
Z/G1URk2csR2ZcfMN6GXKNnOZnpLr9XYfnrSfJnx1F66UmcX4F/p5mbMLlFgmH40yuMlDjoNyXxA
r1ooxo8lHWnEJzmejw5YSbHppyiX9+3kyKZbyWb3Gdtx+1A5c5N5aatQ5P5f6TT/BuTZcD3/fd30
BCb3033ftp/TH2smAEDxun+geQIkE2iebugyGegGFctvFZP8i2NYhviaZaiyrpsWr/u9ZFJMqn2T
SssSZdEf0Dz5F0tVLOFqdEyV4s78X5VM6j/xGxSImsrPkjXVIKP9L7BzW08yUE1JaGRtXwyzuFTt
TCZ+FiGQG+aHxJL3dRCxZ/H4DKE/9IizWvIT7Xifi81rWcKXxoT5rxkKGDevcdm9Ubvviig69EHw
qtrpXu1jnxHzbISS3j7mUp6uM1vHdRY6ZbkKy4Zd3Y7j2EvMvt5rY8RQjJKqJYskP+sIPlhs012I
ozDMZGXmp2w6J6qOMNJQG/3aFpRlebaZrTSp/aYOtf180dMStW+l4NopY+kjteT5WMu2l/YDh1gY
rVTZvk81NiEnvtNzJP1qTrXSdHS3MrpwqfVTfKMfYxpcspbojJIMxbyLgG/SRy3EkNY5CxjYBKKj
qfOK7X30MhOxQWsPbtjNHBhxtXLK+V2N0tTPQ57bbElvpao2XTWdMrecug9TH3nIK4JjFXWVWBxK
dYZuJNODleUwGK4lO8hK+x2ooFfm1kMwDYcoqCTwpXZYKVlY0d4OKqduNXiFgtwttzeDk19T20QB
2is3gWla7hgP3DFtq2rJO2DUjV0uVLG0c7ok7+SZLPFl+agVTDC18ZYazo9Y/rT0YCYovr2lf2v9
qFY3pkJ+QDdQi0j1Q56GnzqWTb3BE2mVrmah4IzIIG21tzxdfkQ9/ienQm3YiF2fBSBZO62UaCUJ
o1ZSkKI+Mdu1FSd3lt6d40I+mSNScTuS3aCBKG1r4y4dw00yIFV2jEvLlOwwzVVPm1WxzcaePnEZ
s7z3zaArXNNo1plIIBiLr07VLuaQXfg5CGyb6CGeyLBcqDmt+t1qQ19SZS/QMBeqKhxa2dv+1HMM
SVn6HPOQulaUMGXVIgpVr7ueGte4T/TsqarK51wNv2aTUW51/xTb5HHH3Veep5tck7q15aiRXzoV
0nQ5Nt04QOOSNfg7syJzvLa0uKaZcmMXyzZJprcmK7cdp206a+eqN1wnCNfpoJeeZGA4M2NIeCVz
wxA9k7Wsc824OH1wAPLCW2pii6mdkieHulKgtmOacHp3HhVcQfJPq60XgfHWAu0N9CTyU4EAA6ho
Xoe4FFA49ORZOY7AxdP/Z++8diQ3snX9RBRIBu0tXWZ5b2+Ics2gJ4OeT3++1JE0Gm3sDcz96KKF
bnShqjOTEWv9FthYdr4W1eX8U58Q5Xr1tSQ/ocxSOnnkATxnFQi0tBs/mj23481oHnPhneCKsAa2
dmq7CvNiv9VPiLbnUUwHxO1y6VpA3g7Qt9K3L2OkbwDszQqHEz5u6+UQuNrasiwx3OgnHF2VePaq
xtAu5vZlPGHtygbNA3sXhI3ZGIlG1z7ki3cE4X5OAetVBhJjdmQiA+N37C0O132RjmQ6OBtGm0Hd
+4P/5EEBuK800JZQAjPUgD5RJwFV4Gb7dwF1kE7e/bg08qqCVDA2eV945mOlAGEmA4HkiX8oxyLy
ISSyAiTOA9qHp0ib5kqrnaiBwDBM88lcs89ueqlP/IZjm8f0xHgsekpgZ2nKsLDAL/dcv6r65SLb
IErWE2WiAMtKe1lec4NnYGlTFNbbtEYaiEcF8rH13yfoH+C9f5kHNqoNjMTi5ahOoEkKeiJ/h1FO
gMognLjpEGi5PQehSNN7VebjjWaNzNiG/Ggm44NT9d7Jlht7/FadjxtHnbuG9yhEwb4rYbxzswkE
U2jsFNOxBy6K21LRZDGU1uXEgdA1YL/VrD9w+cXGNn06CwlN/jLEQtTnlrHcjNbAxG24Ydv0HGLo
DI0F1WJLaKVUP/xEFme+0cZVu8ZgkG+VOcW+zejdN2Md7YCawdTtdbyZ+gvwIOHiXGbncy1h2zv/
x9WQgbsEYNT2RgSrLh7sefxQmW2F26B9pLNwAiOfK/YcemO87ryay1tPNWfamt+suz9dibrhanFO
iOvaP41OOyT+2F2XufW0aGoP57I+V1V3VB0ipiwVh52MaJ21L86FielCNuRK+dIV7+W8Um2YOkv4
3xHr9xHL0EF8TEFm3P8xZX0olTfZ2DZ/H7L+9ZV/AVOWaQuXWcqwhSEYkP4as8zfHHAggCnISiAq
x2UA+nPKEr9ZHtONa1nU0Ni/w1l/AlPiN2GCJbk28XZEGZn/GTB1grj+AUzx07FAuDbImWWb/1CR
bFMuhEpdigYyM5DOQRo+KetJNdD6M+6Boe6W9rNiDVbyohqmV9djsX3POPuVfmPbS+B1XHeYdTaS
0Lz2qx/XqNgUOfXoPu3i6KxasJb4KC3zYK1maGck14j1Vts4EmfYHau6nz2uta2vrrVUtIQwsL4p
7byecvYV4hRVGRc4kfY75QW+STsWkhMPvZ1xNg/nRp7k9nrj+uzc5lOpVJSnPpZOItcIGj8h7ogS
t/e538L1lONgPNf1dUtlsllfjymJH963HEkNEBcaCSQD0V469mxwCC72c1tm8ETr9SJSAkE1xJ6e
FfWl9ZJunGTWHHDuXs8pUaX9TPiRU3N1PunzXWF1cY1PeyuGs6F2wq0Z30yEJk6/vC8doliIStu6
cmbk6fkUyuWn7O9d68pTd6up84+TcdcYYWc/m/mXIb1EuCQDAscsYEGld2RQZXp0wm4yklFxebWh
DeBhb2GzJ43hJRbAF3h3Kb7TPMkmMk1PwY7Fiw30hXB0fLLcq2qL0+Z+xh7KmW8QaTGtDItmoNws
3orEZl0+YV7gcl3Zhy3G7WUGb6rx+uYL4tih/gGUfXM9da/UJMNyxKUxGy/lyAdiv0ulGW6eEfQF
Dth8j5YWDWpO7NRY8vrjMhBkQjoSqD0jrMnXAqvuD/tSRoYg7dCeb9k9GDC8W4MMdI0IxHxKKsR8
BnfhSvKTj5yd7NA+x6eT5YeBu3Lsa+CCYz5/tc6DLDeiQt3yfluz2BxSTOpzYOUz9AQfA6Xh4TDx
IpiIxLlyfZLf3EAqwpc3orC261F2RjCadDj5YzAtlvUwZPWUDH1/pTeNS+7fSumc3XMOpysTCyln
JpbKxn3qarIh5YVbpQFX/t7UV3Vevbd2+9i6bR2ovTrTa+NSiTTK0ht3V4fJJUTZVLHG+t6s3WPP
2OCbjzsXa1tEbglz/wMrFtiUzINi9st5CdFdJFUtLjubRFw1wyXfF9z9RkmI1P6lWUa47r+GToOZ
7V8IQDu3VBHr9XaVGmcTb+vUH6QSgdfgdSubEKAiJgWlAXHKpzeLN7ukdMDMrvrMIjCamYzwNBhz
PgnKaAMNLHAxdWQ9xaCCUUHSBIZMYG475Ybl5RO8YMTbN2evI/9m86Vj9juoISjIVILPWvV7TQG8
zs1hnxhXvO6+1yBi0a72x1yr6rCa0DhBQB/2IlppgmJ3GYbpemUcLiOiAP3sRSnnYBZr6KS4MZCD
Cvsw5X44es2tS8eZFSzuW63L8z1fDqVthNqknQu53lrbg5tp51I+93I/tm0Vr5wghf6RWsvZ6F5s
uKrUs7000Up1mr7f7017kM03pdDKA39sohoaydeLM43IVJcSqMf9atZ8RoAwfRn8PJjNi8X0I6te
wYtM5yKHbbVxUPOezQZtUxVITDGGjP4jOJYogk02B6P/NieexIWANynXaKwx+xtbbC0K9QJ0dRa4
LREvqYOwbL7RxY0akwKmzmHQ2rTXvN+udWu6Zks91oQyAMVcdA0otOxl4HtVYBqc0CSGo3vDhkVr
K9C7Dy6+UQZdPeYSx2e6vHRF8S2XE9i9HzJDvPjt06RjKGayKseZJ2kJS0i7zpFJ6v4qsipstK//
DhZ/YDfCATD536cKsNcJQdn4owaZq5+/jxbUFZ2+9o+5wvjNMeyTGssU9mmy8IFo/oBvmCs898SF
odCyXWAfrvQ/5woTMsy0HW58wzEMYfJVf84Vxm+269qObpmMHhZCrv8EvUGJ/D/mCtN00IkJg/4x
Szj/mCtmkdqN7QsdsQXxEiZ5ZMfFSEEk6je309zQGMtDa4j0kM/TEuejgzohI/TI9m6MRbteAH8i
r6cyz992NhKAgK44Qxlw3W9EG5jNjVhymmlKojnGdcsPviansznVBF3Jq1mpBEZNj7W8G8JBGunF
qMgr2MvreurbYJ6IzyrSGdxdAr731muPyaj206+888/T3ifpMS9Y8CCwcmnZh3Q+oEoKbH6053Yv
X5bFDnV9fuD7J3mXM3LncS3Lw2B3XIRpcQnCGWjmTiVD6x32E8YpjQ/NLqKqVGxjdPWA4k6uzoyx
NV2YOeMt/+JgKlMMsP6IkIBUFaN97IAUDobS490RH/te7aGY2zHOAcEss+FeX/ak8+qvZSMbQlue
GguixhJmYKV+yVAgEM/afRO6sxa0tR1bZRONbv2zptXnpFg6l7GuI73ltGz133Es5CHD2tzn5t4l
/orSmePemXl57LW8NnPOf5Ow3EnJaHVPiZqoykKa0j7TGV7TdkhWzMvbfNP1ZBV0Tk/tEi4a4Xi6
Wwf2uBCGy4Yvlu6wFDjma8RVKR08ZQFplj8YnbqdxX4YBgkBBhU/1p9ACj10XhYVSn5tG8lleDzt
nGIcp4wrEK7NXtBhqDffgjbzix976frQqsc3XkjKbFznqENxBuzc0VqccrON+Wrw97PRzJtbu3fB
b9QZokCG3Tqyyl+OwpmdKWZNMfHS6Hs0u2R+81av4Fvjon22tRHnXnfUtaZnWrYCzZV3OrOrqWe3
9ewc+rYYE4DUHx2EIhadrhLfGPIPs8qmZFl6L0HrcWuL9o7Z+300BOp00yqiZSv8oJfyAEPYBHVL
srb0qLvJ8rNMzImjlx/7Oj+BT63HYoesqvpjzapaq/HO6DAZGljarS0PoRKneN50CmphPF3tvZqx
1E1aPJ5Gebc700raJ5Bl2fKpPlW5GE7cbjDL0j605nBvalOiKS3xTluB/mnP6PeyNOnH9NVou7Az
7Fu1CPGLRftGZYZ+NnirjoqjnLnM6RMxABVTq4uynWIVwdyfq2I+NCalWE5a3ee+e6GVzl27U3BS
tHQrdGiwNgdblm73xPkY2C8z2w+9oikOQ5VdpAUm+7Z78m24Jbs7VuzWuvEmLf8242H0IVmMfGvD
JSue852axmH9lWnLGlqtm8gSxYo3gZkhNcTaWWvouZzpuCkfhnTFQlUNUVuRCjT6S7DX7UOxzt/r
4hqRsY6x9EYSmBVuAte6WL0Zs2gLpbpgU5p4ytb1XuUiDVZUYnq6pUHbk3ReSuBUz5745EvY4nEY
oq6bP7frJTQucqVxqCE4ETtRxIveEVBKsthw6h1gRMr8pkTK6YzJhgTK7dPvwbIuhzq/5EX78mEp
e01hs6252ffKtSNLn/WomChU2eHeJm+/cTs98fbqzSonUjA6eB/dL9dwtvZv0TN5+8ZSUKS2FFEz
03GVZQ+dzYYHGlHMJE8r56bXx2AG6z9kefXmuQbzVO28lDU7BaIBU/XIFFZqy4fpoV/oj/enAuOy
1Gh7axU4TYWCCsB+seynVqM4QNvquOjz+zTNiqgbFjNwR2S6g/S7MxSHWThVbBGmh0tk6fBb5pYi
05+pESIv9AS9157vhkjxzu2Gnt+xFmHZ2XGHHpEH+KqvObla331x+gHTYL5a0WzIKWIdoeaTOCBz
03msBIqAgQOswGFrsyUyFl/xpzk8l/pQkwWQRCzvbh7KnkCEnOl3MPbPsVHfm8Fju6zu49YbtD8X
mAA2L73XHPDQdNAp6DoRZ0CqhLQMkigNzc4O2tzufArcL7PSH9cSMLEHYI6afRn4ADTa/TaRVSbp
ghTOmbDMN6to9EgXP7Jb34Ze3HUtObVFhwnM/mXterzKz9WiN3N/0w2w3F3XDjr6Cr0kaN7BXVdR
jTWkXdx4kqghZkZtQXUxLN+26un9nrfY0XZAf4R21dpax0FHfrrD58Rrz50zj8W52MezckY7MLbo
8va2hl+viQooFcJ9YXtBUY2x5tBSr6azoqu80BwaKEmKVyEVk16dkouK9WFsluultdZLTqg1btvh
szR4JmCe2GFHKu/cLjQ198g0kiWdNbosvrqZOAvpCrTmMdX3LKvpaCcFurFsQRCX27Ey+jNulRdT
H/NLw+Nwz5yk1zGtl7QSqPzSGhy4WFs+62K/qHSLbbY/9VY0TbLxtC09afBSNwPHF5/5YAbDfG06
Zhe6+qjxrBFUpdG42WULeo1puTS08qPytIy9ev7VzAQALeLKcneeG45PHWS02fx7fZfcArX97nW0
fI9zaM54XF10NO16I0p52HIivVz6An0n3NsSb5jJ5zXbxiEUHrV2aYoWbdRxTNfy6C4Esg/FGfpn
PL+u+ePUXTywGda7F/Yec5RVUVhjt1skMy6uOm85hnwRrpLOJLHND/qw3LuO/m5Ny23Zqic/X5IC
8fGg7MQo6IhoEUxdmlTGIiuyX63WvHR7xDW7RWav2VMAJ5G1T/WI2YolwC3tBgGOcVuNZawvHeoC
p49cbybGcHM/8n6SkZI8tVOPR0OsT35rI+ts9bM507bIQHMULJa632QRjSUK004QFgkU6zrjR1Vt
Z3M+13HtqniaWW0d72c2hqPum2vUK+L3MgqScpy1w/6kmZTV+D3pC2k2Rrvwijgday1URfVaq5WW
jibnqGi0s00bzhYleKe9lf2MR7lv+KlKi8W0hD4axIY8vpZPa0WyB9qUbF5lbCxLHnCvXnUya0LT
qO/rfC0SV2bx5It3o+19iK+U06t2aMxamVT4B9EZ3NrXcwZhrpm0sIntUvrWcjVUuAWb8bo+UT6W
iVqivkf1fy7VkMO32GgcIXSiuXS4lXv4/NS+V3pP5V7O7JJ5CEecPhchb9dpDElv7BmVpbbn92Jy
CMfUyfSp58GK/NLsXrgL6rAxUfwO02bHtjV4VzovGIfUCESEmkiJ7UNXo3hKUWCkGX7OlZo1ryij
ziY7SdSvMJlPZY4ORYeVW2BxtBEkZHfwMfYdyMmu55HZduQJ69WbNkDq5fm5GjsVlUh8+Iy9jB3A
oSTGw7X6W1PzsawWVVRUNKankIod6ypekiCT1S/bL+68bGKcI3XQETdD19yskpgtFN6ebUTOzI7b
IopnBEWDk5npYUcSl2slyiLvtqXjJFt+LJ8Wo8GLVY14LSfEVJHx54wPfQkEt8+xmivIMH1+2qzu
CZLnc4WqWm2C4hDhr5p4LVdCXBDnZSCLuo5nrtJQz5NCMpUOdE92K338JKq4MIQbzYK0BFWcT3u0
9eE0ZbHFeqLTBZFWixF0G2VLTBr9PCV6v06hBhs7Uthg12+i0BnV+h8vwzNV1tGab1Cg0hsCS3pO
VDr7UZRLKNUSgR5xvL6tnMkw2qHLt+E6u2mVfaEV+dt/F+7fF27X0m3HQznwv6/c0c/c/huG/9fX
/AXho2hglfUsBA+6I3xW3T9WbYtVW/dt2uPZwT3dO6U8/7lqG7+ZlmNjk+IM5ctRQ/y1auu/0UPg
IFN1YNd+R/f/A9uTc4oo/pe0FG6ARf6ke9XZ7Cn4Nv5RdePM9Tg4rWkFW17MoVBLPK4Nzz7VUbv/
6efdm6FjW4Gcv8paI+ktm2rNZjmsUx31QGuu213voxa3hKjXZHIWLkXShiJbV9tv/TQNJDv1WI4C
QWBzzjr+7ZYg81oaTpl/rk9IsVjElIWmnWUhbSH8hl9S6w/pll/vxYPommjR9KvSW5KqR+hXlIeu
zwDYqUo2hmCd9VedDV7XFTu0laixumrm8tqzvjM1x3KrH7adpDrtXTP6gL0mcPXpgt0NtVHz/ymt
f3P//d1DZvzP4iDH1gEsIGV4ZdE2/OPVVKOHQGNw8KdHV1cX0RW/Rgn/q4Ori9ckuTy8XCZ1wG/r
4OInOgSHMKiCsyAI4jAIkoBfzk6/XB4OMX90DPlNFMVRGB2P0em/v31U//DA/f3nPaEo/3rv8eM5
J+zHtS3QnBPRdPps/M3xpmbRcbS7BHH5hGAxgWWG/1iQuF1/r+6zYCN1IMb/7+9p8LH/57f1UOQ4
uu4jnuY/fHv/9m3R1y6VsTFq6Hn6UbopqGYWOu7LNHFf+Fq5QuBsiZ3XHFxz/TOid6zNBXXG8OZl
sDup/p6hADgOFVG5OiC5RxVzVyGWTHMXBSZTcl9vkVcjelRpwWid6048DT6BF1q9h6xsXpI3uKRG
Wc2xU8PKWzawjK2GaOev1vu5EhS07P21NOBSZ0xvnlUczI770qL2tq9ePAbKwmPKFeOFMcG84n+f
9hTb35aUC903PlQGbjujCTvMYuVGqAmF2iiCfGBd2dMSR0/5goYaZ7PpyqQjrLaZgWqRAJyeOKvi
zy3UnCUSYq2NV5BvzSzvYAQcOBKZksls0VO6yBsQGYeY1/mrFNvzUGePotkjr8PZ3R52YDEPfcUs
7A6iYQ691aA1wseMPJdXzgSd1LFVNxZ+mipaUmhjD7LYXrclUJJ0y2IA7u2O5vo4Gb8G5cd1tkVW
bgcZkH3aCkhqD2K91pFK0s0yZ2cdWu7cZ8h3l0jj0ndbHuG9u5Noq+z5YRnv1pH5c7wRqEbyegkK
hJCqHyIXEYzZxDmMQsr0teKi0pAENcQ7Qcf57ZXImZldnIVm6Jjblz6pQ7Wc1jUKVyhbWIAK56/Z
qaNsWiK9XO9GcSwrdBjWhzd+mAYlGPu9a3ByERa3O3Ffnw/b8wLBDdQXVD4m6pqS334NREln5FSH
beoc852w5MMnQw23ebjOiE/H+qqHwVEISNb9uce7l672ecaOusshrLYLxzxl6PzSmaWC1z0gnYSy
5KNJLV7iQ8+93GzxLT/XJZ+HJBmCxAlf753wKli/E1rFCtKw6uOSj7dNwdu9P5UWEASSnrN5l8km
MnAjxqmw8cXjltN80FZXVu5dVaUR9vbzuhfnbILfOEPBoUS9BVtvxwMrMXKP+a4yPjNE/ZgKOI+d
M6ndrdYYV4M8d11oG94EVycqKCOtfiesR1o3u5uHegZ5KV9HG/SJU7Qe20d3Iv1vzJMZwxgL3GGw
tHBS48dc2gFmv8NOfgXeAtPfWS/utpqzN0eXPBGnAcuYWl5cpUml0PzsMEbZr6limWo7XO8bVWeW
dZ9at0v2WIosCxhcnzawv2pYzqqhe+WxuEw1lTQjs7ZHw3ZaJ272bkt1PqN3bReNBAGq54w0rv0i
9Pr7hRiedBKHbFWxyNS1vi+X3H1roFl+su5z1CzqOAvrsNn7tZfOx7Wj3y1vf2kZwi6CtqFNSxy8
aGLPLWrxWr06AiycY3yGSMrBy7zLcafdeHYw0S2yDC2qpf0yUWZzlilMotZVP5KN2DvXa/mEm+6Y
IX/b2GWrcuFcMVXUux7br0sYrudBp83B1u7JpC93jjKowJLVzsTfvOzpd7PCPsECyONqemd5R5BY
heoI21xaza9Y9lgF90AfyG7f0rsx3ZNMlWGjM4mmBdlflUVLtRoAcYYuLJThRrlRYIRgPYK7sjlP
xaPpYqlwtymsRP861e5zZjiRMDhtoetxiSJA6YbubfBTwKc8muR4kONy3+ejfrnaxXW7DG89SE6b
kcYknbumkk+d3B6mzIi6EjIwW7dbBlgjmDXa6TQt0mY3Umue9FlN3LlNUW2Pa3khZGHDnMALPeRo
e9BAAe5HXF2HaqJHte2j0fBZ4ZtDPnKwcpxo9fegK/Se2bEbiNZU6rt31wHe7blP90NeGlj+uCww
FbqaOLp8No1Oe5dtiua5uvD3u84oEqcbonQpztOUNE21YpXBVZzuXTj274Y7H7cclePi4LCR412p
SjyL1XocdtKWUvNcNY0IB+AyTInLkzhFynrAFE2qlkRyVo2d+1ADjbup9qltTRUJ0x1wSBLIJ8uL
tBquS2woTuVcCoHQ3FPL41BAd6R13SBzdK49BVc/4lOcOvL1gZWYNL92R3eiBQfi2CObU3oom+Y6
dwgkVXAm0JtBD5fuCyrnGi4+wd9AGAbKZ2RxlTXcxhqkrJGaP+D3Ezxwtn5Shhi6dYsrMcPfZ5Os
JfTQcrHXVuObURVRbhLFdzY045e+p9TJW+hMjbyCmzT98mnBgbAI876EKPQnqgmU/Z5l+qXW2Cc9
HpicBd4i1+VRqWIFTK8NvKWzjAo+LceGXUwAKoTKQTRWOSSQTfqv1FVXGAyX6PQh7lszjdO9YiwU
xRlqW3Zw017v1109ge+OZyL1ttjIBvqvquJrGThNm4nig3I9em51Uy1jPONjrsHcVnOn/Ujph0XV
awDR1AeOtddI8poq9CSn/7rpbwaYnw9xXnnTLZJRjayS9tZF/N+3znNTbzjlh6s54w7fZhABhZTQ
rQFBzVlBMfneZWvLX/I0FndFu+Lw9l7audAOuVXeIJyTgZYbpIc4xJz7kB01zRMsvHVZJkWLrZDF
gSFEuyl169Vx8FXYnF88oVO4+TKyB6pAVl4Ns4TzR8yHqDjQzVIL6775WjcKPuzUkRerYaIj1nbS
99zKi/K+h5iuFJFUps2j4is8nI1xo8nmzJgypMSN+2Eb1Ir64yvSB3FU+KcYVlC3mkDObkNDVaOj
ZnWG7iDhtZ5svb6oER1fLP7gICTQOwBEsV6WZRvL2nyn2vd20LMJiMg9K+XQRb1BFOjoU+yhd4cJ
87tXtbccN4ld+dsB4/1+Rw7DFqwZ8Yh+/S5gCYFw+tc5Y6wvvbh1xUORZdfmmH/3hXkxz/oVxBsn
sqfIFCnTeNm8m0Xn+qhg38eV3gt9I4d7zyOmlxHZDUEHi31qlcy3E683WWFWSFpWcIoFjrPd9bq6
K1oS/1fnUJeMA3MWS0kVqfTeTDdlgNEvZqVfmzu6IlkzEHSaBzaQP4xlmr1aHvZ0dy841LKk3+Sr
Z9gfzortzEHVgRN5ZKGv79MSxr3Lh0v0QzORBQzMxb7G8GxfTU1pDshIK7dvwSXCpIa9vKmoWB3N
woAKYfNxKhGoxn/fastKvIJKrcrwI7/SvjPR0Nfba9ZNrnJUACZDX5rn2SGrmbf2aqbEIGumqDCN
9MmCKLvzxp2PpAmSlRfuu79vU+CJ6dVsFisc56qLfz80xIxiakWqA1sGaWMNaYV6GDhTbgXXgnC6
KF0rkhgb+/x0apo7jrttdaLBxjOFaEuIngcm/0F9i7mYb9vLQyOmLsxn7Tx1SbpeSzIRuh78bCIE
s09fT/fJinsNPeRo/hLlwHNJGkYy2SD8VdZ/2EClR6alJmwcOaE2B/ybqlKP7Ll9HlcUQoNN8W/f
BdM8p7FVoFURm/6Jx4yo23w42yTqr0r6foye3sJmvQ3HKhv2xNI2wfjXfo7K/rI8gdtnzS5nE/G2
5U7Hoauy04cuzIQzB+mK5nN1YG6J2LO4mTsqAMlgrz1yfUdeN+nBCollGGDM6vt80J/rDl2+aTGt
wlw4zpNhnjRhUDVZNgey15nLCahqPrrWSwoas3QtQ962TgRppKSIjKjPKKNe5xnZPzZmQTxBipfQ
88shLko0sI1vQMYtyEkqPmGb1j/l4xDl4wx3sMNMA+nZMmxXl/4dQ14IbTiu25bo3Rrsa43rFBdR
xti7o8nZiMUjxmDIluex9z9rk/e3NnpSsfFerXXFoOznMJP+8uk1aRdNlUF/K+8XuhftTaSaHmiF
j27I2MNOehdZ39zlUFV4quMG/MupYcD2Le4JxRhHho8GkswuNChbYDHIu8dqzuwrtOpfelbiemue
6p3s6xl+GsV9PKPTPzYu75FL1Jzvh8awxUz3yeiOjDw6ySy1ALPv+0uFaT+TU49iakvatEwaM01S
hASn7c2wPZ53JE9gkbgeyVxETaAyxwKBRMmneySeNaBuGZRnO1z5eLamiWwvk7KU1jrYhnifG7oK
GmiprKGS3Kc2XWtuNie3L1PH4ic12EUsyKwFKbKDQVXzfmXG82bVjCpzMK88AQLtOcxu28hEVgbL
LHP7LvDQ8crInLvfQ1rWtm9Z/ogMgcXUh/ln1PdzHkjzVqp3YyZrev7qWPKt6XtZyrBqnqRPjGFR
BZqgYw9Bs4s83W+edrm8pyxlRdvf5P2nIjw8g2AeMvMh751Y+Ppd5/+yiz1chtu5cILZ+JZQRGsB
XeF2+SkoepieVtwSKRu0Yabo1zN3wrea3WeAvhjuhXvRO2iGpqEOa95RR5u5dep0jws+kHFrTfld
MzXQPhSn2953b9jcThtkzcKRsM4PrKMQGHhTB8Qg+McCsbM0SzrJl+HaVPSJriYvOX3VxtA/zKdg
MZ4DK19i19yiNf1xuTAbxIwi5zM//pKtdYtR/5Jkn9Cy5UFnuUmLNjJqP9T6+TAtxZU5T89EiIS1
40X6OkSrFPhOy8jpe4I51P3u0BslhruR+zeTc7JmKqotTHSquezwMbRzelbI7gx7+c2ep7HMXJII
0Ohh4JCAyL5mnp6KQ7mZQcuOZg0uosZTDEU2MU+gos2scMI2m7u/ymq88g0ywwebF7AL0SnAezrn
PqiJv63Bmn6t/RgsmkgqVLVOM91y5BCcgVNvJkALqNxZTu9xcz+ogYcQjvW1yuzQzDLIxJp4izIl
Vqsyye6AKEhHlGngm8GU0hPJwJdUefNmTWwh1cTULiZ2JGNpwLRHkwNUfa0V1eg4nibLe14L4xTZ
kL5ko/qsRkbcbbl0zJR5F3ZiMR2sxlsWKszmPm9V2hVHBUhpGSTh2kS2bPu53Mpjv+Qv/iAOvRjj
kvCTOpNvdHcfyrK5K7T5HdVlMth7UMkeGbDGKuMj1+ys9cZsxivlOXSCwZr3G9WebfMpdAIgGqcM
ver/sXceW5IjRxb9IvA4tGMbCITOSC03OCmhAYcWXz83yMNmscjpOZw1e9fVnZUhALiZvfeuhX7R
w8afx2ovRf8+TtJbNZ4dxEwWLq7JVrjMIgTTeOcz0SiXujb30ygkGFvnvnKLTyNB3iqzH83BwzxT
7/daLzjMs/4waPPzJCLUURNPaObPykWpK9Smp51yJKlfACGl/XRhtlja9+S0azE8N3pzXNzwKW26
rWlxebiNtoVks2tr4hjjp6OGTcTkp8YXaPfpk0kY1c8pFYBtBHmsbzwM11bUfOJs2encHc4M/pJ+
OqVPEW5M6avv5sEzt7nX8rVDX5LJRnPUzp3d1wWsjEObWEwc0cI6WV73pqL8yPF8IzX1Oi1xTFAf
LluWfy8jQGr+x0g0D16n38W2RWEjbMTffjMkPFtn3X2lviLnWhHZZwt84XzZukb+lQXUI1lc5Mnn
JlQX5NTjvOQ6kznreKl7VdhcRaP1E5X5lz4xNpQhUwia2CTvkcZ5OCXOsNe6GHqQ/giz4Jk8S+NP
GfYVUnEbXudZ02JOpUG8J6XhrupeX+cD+Bvl8PfTcl9XRflk2jZlZid5uvA5Ttlygkb0KgvOjklo
187EvFp42jk3VEpkBXNGTCwj7io2+1r6h+VhtpWD0JnbeMduRAuKqjjIbPltAhVISKN5WlEzTM9Y
6mcTy8pTnLLzzASqz22f5oBTaGzXTixPbRRBjaIt9wbnHZyYvk7p+7KqunNzKJmpfh1N7p1OSb3q
9L7B6MuqkVB/rPW48Q2ErdI0vqxFOwwk2BdqaBl1bCoxGIkzPaW5XRb8dA5PVA1l0XZYwsZqVxJ+
ezOOd70Cbj5SL9RyC1PlFYsExi4OMLe3Tl2MxbgIQeol2rXbqdMY149WqX3HUfsUt0MVdCmxf225
XpREaI04COW8x4UdxJVxTCxETBHCtWKxq7R8sDhPHtCJVWPo7n60hnWeTK9xal7FWv+WpSY0L5fV
3wbdWjk8uc3oEcJpr7CYBBTX27h6c9DZA22J7zLJ+WX1Fd42tmWJZFNoWLL11nnM0Sx9MQGAcWJ0
jUUwFh3ndRot21m0pW8qvtNm6P0FsswyWBxl6UG5LFWIko8UyE/lQO2EI3Tsa/niNRK4kFXdGbqu
1sZUM0ELXaANwMET/d7SARSI/km47O719K1j8TDjQx8t/Rj31R4+zNbmCY0M/jjQIg+TiedGo2vT
mV8zP2YBzmwifxjRfqKAG5hwV3ZP2Ms+E5caVh3O+m5S65k8ns1s2Bz0tae4D5izuEuJkZyeIK+0
YEYxWec2S2THy6RV29Bg4y+Z9p5bMolKs/uhLVK/rnr4DQRS57p9jPX0G0s1Z6NiFyDDqkp5Z8F4
JkrUbgQgMBQ0Oa330FLEagMcrHzw7vCcqyZ9rIvpZNafMyVJjj+QupsCHDUpn0+ORXErmrU1XlIW
LY8/sVK9sY3ThoxY/lDHtu82TH54WEySO3FaqH1UYGQFZQYn+RyvmVK8TNXi62HBorW+D8wiZSpS
vJRcVb2of3rgJqt4fqu9wlvHFAG16L97izs3CUXPBOujU/bOMduVmqZnUUWIA/a2MIC9cqWMQ3hn
krCL6tqflEsMjiuwHm6yGi6F4Z71sg/oflZzOJM0m1eO3X+lJo70UWV+EbLrJ4EdkWs/BZCIUdYP
Zdk+jfDI0kZskulF9OVBsMvGgf+Zyvc8pI7S792U50qYBLpsqRDD3czfMxEdrqX6oNbZ6ANWUu+5
0Sj28TK6Tb5lkL6uEmJkmo2bSFfnig+3KmJcKjNSMvNfoAZdil3FGuv9IH8gb1BkuHsglwAgrFup
fTQGi5DzNFBwN+aUuYCur9y28SvCFUYaH/WkXTkYcGKuvkIw4x19B/iHx+dUMlUVCmALppeMryrW
XWT3+mvAZRea2VZo7GNpPho+Lg13j0EO1G72OOAMmk3cZK6JmWUo9Kecym9lLBPRCA9nrhjBuOk3
M1IeCMa5veySEX4zZcU2nbMHzHXHKu6OoVe+eqF2503uuk/jOxrfnJda7Od0OXcOOzqL7jEfgbJK
Ua2zoj5EcXVVOsPJdCK/imA5ZWG8niOoCPXIcFG000dTDa/J3D6aQ7ZXxARCyZIdS7WrirAAeEJS
Oep5jMzbqTTeTYw2s536g5NuB4WF3zAsMrsMftrCPqWZfo2bM+JHM7EqRlH6CMN3wkTpSmekn0iA
EqnkwVYulhEOJlFwoJBAkfIx07jj+QQaNzsKurGyUf4SY/XQJXcgp4x3I3NsI1Z5xn9xuUF/enqG
Sn//r8j/N5Hf9NDZ0df/d5H/fGGR9sXHd5O/l1+/2uqhhP7th/8w1iNsGpYQ3DS44FHW/1D7L8Z6
EnuY7jHYw2STqK1/V/vtv0gssvz/uAEgFnj81N+N9dZfwE+ZjusKcFJS4rn/D9R+aKr/rPmiSgvD
NQ3swHgKHPz1v4mvXqTPTVyl1Ch6c1foya7p+vTcZ+BOUvJqzaW98WhdiglTNwO2z6wxQPdlRkhw
3YnPjpHtMLMipTggAUetfNVGJ7nOZ/meLuauWljUI0TgSlaLin7ctLLFTuh96kkPGRSjLBY29kTV
6tucfuTAQzylRCoXoOg60zAXD2/f5miCYRMom6Sd5rGGtIPfVgORSq3bSBgXUN+wSYx0I132KyQt
+8In8GpQslaW1yzrsCJTVLenZrCu2uXLyXOSxta4JTEeqAm4Psa1kpEkrnTrKnVjwuazvtLr9FvV
0Q1Ir9esV/d2Vd9HC4DSmUVKLtZEu7789fveaW7jAS7UIB6YjV5NqpS4uOZN6sldxTI6Ui0xwGF5
Nur4PLEDIjw0Mme4IJzjzJXj97WFIhbvCzxi7URXi7bdMXAFnLTU13pubUwFb3ux8RNnWnEA1jDl
2q5ykHTqRa7z0VGrVM5vswMz2xvfOc8vvS2xgbEhBWSFXzy7djOsGw6icdh24K4ajXq079cV/wIj
wSGI4963NvWN977UD70zesHcOtvMidaOHfLhyPJdIJDEnrGLK+0KG+MtPqh1l1PlHqPRD91Tam2J
RpcqsKzngbkpDZziEEhRmejcZLlnA+hCkxmkoT/dXyyi/WZ2T563aXYJYFIqWnWY0dkKdztWW86z
Lg4WCt3mRRu3hUU7kfqEHzfWvE74SpJHd9pG1VfU+jpb4kzGVmHqc7xay4srGCjQP2JiY3cow4h0
i0xxYddMOvSlh5n3BcdiB+g21rcDBkFWE1zGFGwQae/b/DllIfCwxuxf0eNFYHl94R2Z82g7daW5
28mlKEUoKfCoPWLIFKkvFNGsoEE1kBvGGelWAjWv96irhn2sCchbq94hRr8uNMLke9rmkZxDxR6U
orhP7JtFO03Qny6zWd/bw2Uk7mlT1/T+eEzhLpanUOLLtANTK557Q9xEjlwNMak2o2GhW+NCm0rP
HeH5GLCSTimQN27u66LG9o9DPRpvvIrs/swCBzs5Na179NJQbBgkUxvo+Xqe2N7BxxerklyFcAo/
NabNVCrwr+Ohrui97dIipl8na2cxfnjsfZdQAErQASEEzTxicn0JvKCxJpZ6wvjhM8JZufUDxVTv
bGgvFTa7mDvgLdPfhnF5xW+UQXhighWNgcbskUHesLXPeOjWedofanK0GePjgty8NW1nKMqpdz1W
UXSLEw4yJc6GokrUNhfei5yTa9Xy3NnBXggiZTyG5njblLjmmLPgMblAENJ3NObLgZntLl2AS+vw
NUAUScJ7xP+dWdP+UpTtEWkLCaeKpCEdte5bJDz2dXtsDsQfU/qy9EBkg3HwX2/6VfoN1W7ubvQH
vcFGQozRJwHc4GUP0vLVuZIpBhYC+KCSQhYCYLe16y8PoAEdpQhqy/iZnAxeavvdZCKooiXoEkmn
gD2IOVBXrxKxtaRf6AfqH5wFkuLrFq4scb6rwX0Mucx0bROCrkslhbHdvi75dHD1+WxAtCqJIWez
j1fKsJf73kRpnG+dCO+l8eak/lQTrzBJ84pDV7i3GouHALGmIfCJdgDvfDvHDWrNVL/IlocT8sAJ
e/cVoa3nBhmZ0wI1C/yDZbOjvhjIImBHp+XtSn3vDAuhRGPtdhbha/IGuE7dAuOtiPeasq+F0cc7
3TPqnej1hUutYwSm/8w5m/u61I/j+iZs7et8AlTG4biS3XfrlbdchZvMvfhS8Ha26ieyW2wLznvX
QKHOLOrOfi8q3JOjAvpnM+ozc6fihCv3i7msvUjuei6JbmIXGBa2JuWTFhI4NWhkKj/U64ii3NON
lapY7JVN+2WI7mmzfCwuewcEn4zYsFZlh5qWVIE6sQWougrVcdiYk7du3fBBNuELAwyfauyhz0Zv
1VZM4B2o0TJKobiEY+0XrbvKJ7QckHoRU/0C30aPKpxZ2mtUJxsHzO1AvGgBFO3FZyLWcBnFqsal
y11IZJf4ZMQ14lTpCdLphyHRe2hih2Z4Dk21bLJsDsGiYBsSE8FoE0FohbSo+V7NpDfp2YOIpRf2
9Hkmjz6J9K0K+wevrQ9TxrHYaPMdXiEed93OKNgQa41grnOsztNbNxBDDT81jCl9RI/E01TF8ckU
5VWSmlvaM2a0o+/O2JUWbWfpbFVs7HU1D35tFnsZDbt4vJ/st8FwPjXdeMUZ+5GG1U0/OFS+bhBG
hM4vI1siIzpSUh5vHD4ni+EkzzB8QEN0dMEspvQCej9eJSZ0NlJ06aXs5WGfOBVOQLgq5DOcCOjd
IkDdDg9prgUM++5CA0xSn7QOQWACK03jbsbmRW87sRu8JvDin8hF6FNZtEpRYSK+r2U0DxBUwo5L
WpI10YjJzGWzH+hNLdXvjD4LpuoJMyVNy+uImRGuEqabJUhK/c2T5kvIF1C237bdbqnu8VsP55Ah
V710a08HBMzkh9gOQx/2Zgj30JbGWmrsDirUaVIm5DoIg/oUFFkDuF1sK0jkeu6tQZOvL4hfRrB7
kE7Ehr4jQEYOhdDF6Syi+dgJb09DrplqXXLZGdjXHBazoDlCXeCcTsSNMdCDieZ6Sb2g86pDyac7
gNF2GdyN7QvXLTZkYvQR6t7EjRF9i/F6RCrtcu5NIEk23gbFKB6DB9p/+mG7z3WX+1POkr6GAdQQ
QXMAm9skNyOl11gYOPmym4bWva0YbQ8T9OyMtZaI48WFjVB394bUrxOD+BSnAMn8pWKB4JjsWidd
F+MUzDFrf9T3ULcbyEs45xI8fMMqtTw/Kd5UOB7QMu+TZfIbE3uf/mBgLxFDe1WEjCmsi3OFaQtF
ZizeWw9eBKN4Qaq6yr8krg8x21dxjwuEQJb0Qt+s7WeojjuihX42t7cEjdaooGeT6f5k1M85EIrc
tj9id7mPUm54UTkpRBv3WgHzy5nDZ3EKcrHeddOwEVlvoFkw9Vq6py5ughIbkmsDrpp0Ah7oSJaY
j+WyXGZUBUrlEqAVr0mkfTvucluNFFq5cSc5pjOSisvQ8T1U/KGu3sjhsGW7JMxY2OLbqj4chT4H
2Z2o1UY1n1o7tH63YCRwPzSQoY38CGmkrdQ+Wvpzw9mnzx9j8a3nBDvs6taCM8kI7tjPL+Tjty6B
u9UYFdsiZyWx0KFzvZrGk2SImZo/iI37rhDHyHsSLWD6CjZWzfMtQqhsNUjI86rB1ryyUu9ehPVb
2w4MF+5dyFS9eJ0mkFU8YTImPsWrRZ2aqC+nCh9z48mOsj0y8tWCgSVNHhvd2s3YJMw0v5LmO4m/
nV1OFP3eWp/uQpCuU8nWe42Igoarj+0WK8+KfqpyOYfgwKMwWrvcQ0b/Lha+bV5rq6V2AJFq8vOW
qwKpL8Ha46MZYzTirXQTR9mXI0nqY6Rb6YzDNbzI2nh2ItaY86GGKVmdrUawkiAl0zwvgE9OygSG
R78axsKv82FXjW/K7W4T1212y5iW9wLv+NmclwJGYnYTzcY61QiSoEbualP3dXjgoyxNrFFQSw2M
iw6BAb+T+cYcFm0zNMV7H2n+bGg/Qwlwf1xYLlBgPjTiY2drUI3mfd9Z+3oID5PnIGCoDedHYKjl
UBjDU1oWD6bb3BktY80wu3gXaxmee7KRx1KrKKSSsdsbiTiaUM9IFeAqWSD7aheRBMhHiMoDVgmq
0iN2FyAAyE51UW/0LMYxYn45celz9UniJ9S/zk0RFw3WAL7qGZdIa7o0fgxiY2s2sNe4RC+N4VaL
M1Ry62q2P8ManDlscdYdBLyX01BBWJmeCWVeRR6aanRnW9N9Qfy1k++JZC8gBYnR5NcjZQzAumBy
LSCVl9gLdPO0xS7s8IAkRwlCAjRvX4/r7jKLnPv7Dtb8MmN2anK1GYf3njUMdv1iVM4utbItD3PQ
eGZytpX1kGSkUBIG7uZg7BpGtbBpb4eR1F/CUw+ryI3dYIXSzUs/Rr5TTyy8WfzLVCK/GVN5JGhH
BLzZNfiB1s3Snto6f61KiLxR52qwO5uDrb+17pUVceabmbVN0mmXJPqjZY/PSV+eXbWcVGfiJtOR
jEuJwkc+PWt5G+XIXT/HFNe2AthQzC+Ra7iB5ySfY5s+qELBKrYGh+ILEE2LTRITZuKHw0Ioz9ni
oUo3+mKVfj2YDLhFyFOXhaM9mSNym4d56Bc6Ff22G73bxquKXesycB4hw0taYRZwyO+oZ2qpOuvV
5pjUJszdzPfyvSdn+qFpGi72rskfzT5fuTqdGkAC0tnNSdV87Bp7Mi6oND/RHTomzdl1beb5uQ6N
SzSghXLF1cPQO06A3NVacect8X0MQjkbUSsWSK0AzUpWLHAKnVToQvhAe/bKHo3FowkbElJyY/sx
DHPGmF/aga6plTIYYIdeGvlGynESz/oWDRHDdpYfw0q7L7BqgPlXn12JmJbI8kE1s+XjS7+NBvXF
UGSg2yUi1vbDevCQEmn4Sh/vmOnjpn2cG2GezAzYfDvV7M3rqf5Kp8WI0nGKlwkuiKHUtjxm3EPJ
AkpNw/o61ztz1vLVmArWPc3Rc5xyao6O/qnTKin70gUrvHGyUsGcl7emobEABqhMZug4T0bnc5jE
V9Zq114bvhVwqKOhAkFQ4510LQ1+gvGZmCW2N+e9nYvm5DmUSJor24M7utjZ+m5XoC2TT2bxZR2z
p1C/PNWlWGt1T6q4En7mkQSNXQjLnjSuppCmupPdQ5yp5oAN6ltE9MIdqtyG1TvFeraL70ZXd+PU
b1VeVHhR2bwjMa3BOqjeHYKfwRSOjW+KIvdFCumhjY7w5z6rIr0ZFuuzdk2QO4N2FGbhXEeqwGap
6DumpaVSHqarup12ms48ydWk76biWxfRXezVgeng0c7QyfxJV+6V0c98WrG6Ief/RRYRBsziPuo5
8dimD/DRuGSwX+eeVe1ddt9kFUtILGQPS78uitrZRoqpcO7F0ZuHtTGJaa5S5Cy8WJLpVgdCDgPv
QzqHG6VGdRPW5pqcc1BUssFdT+8fNeVWXS47TcCL0r+8GTZ1bznfXmy9RwQKkK+zkjUsSb62Zud6
1Pi7F/AIVXfxbpOpBOYQGNbEhOkyQC/wNLS5t7KMHv+1tzM0yx9HTA5pwsZX9CH6KpLf5qs3k0jM
8Cs23brOl00a2qux0791SjA1clSEcLmJdCp83h4Tcs1wTviCV8OSoSmneLhaLOh4Ccx+DzzvLGmh
Is6gNlk+QBA8xS5ekEoMx3laHjxv5GDABhcZ0TrOsLGrArQoMEZT9mhrzdmpCQgBi+zxsnXSvAUh
G1ScLEVdPKQ6oFDRHUurW1dOdBSgHdRQfXHoL74zRuiI1sZQrFm8nL1icE825jNLsubMWnih49os
rFtcS0wXR9+w1WGM2URjdm/xhOMkISoSjgumx2rYG73EXIypf32xkhiMldwquzgb/MWmzbDmXUuW
zlnmVbGk41ofzG3VxgGJ7ZMzTqQAWAmi4ybFeIog40EikeznhlURhfVHmei3I5zPpvc+lwz7e98/
KyN85LjkEu8OtRa/mxWiCMbZbeESm7rcpTxseb7ycMABVQCHKL3hvsG9tUrM8boyDSQlI6XlXdDS
5mRnVTkHRvmTN/l60YwgaYbLUgu72paGce4LkWJXQRPPnXbrOoAbRi1+a5rhXEndL4jlToW6J4q4
zTPsSxgiN9Kmu09ctBHdnnxpiJEPNo6ueWxI7I0eLhQQs9wcT7rWYQXH1rdteMSuPQzwc9tDMbnU
p62MfTPxorXow3TTWG2zC0u6xcwxLzVf9+ZF7mbypH6QxvgyOBP1ox31j5an7pKex6rbhK84r59m
GYOpIEgLjFfR2otkvJg8VJCEhHSduCCu3RJwYcZAyiPeG6ZLuTwwwcFumKm02yU8yxp3uoz57EMY
1T9WMq/dxtzaWbMZZHhgxsyh3bDiech3WssYjjFLUNnzQ8MAipd1b7VLQkrAeQptselzVsTUFNRj
qPZzw94PvcyPFVfW5hft4d+ktvR/juxJdG+pm7gPXFsXrBkUv8W23DArZrt3WCVkZ5shNdclw2g2
GCDcz3pQSE65Ebp59qIwkMItWzf5fPXnrwHSzz8nx1iTZtiGq0P64R/zt4UU5ZIaYooYms2mfc23
vjaRDOaU58GosXihyPBFZv/H0lIdTeZff6mErghTGsb0RUD5Na4mB7zjMtOp5FPv3NTPasRh0lrj
LRlBigbi46NzLnNCgVIVFsjV7mZietqakNKhjcVkJFqvv/t/fBIe0ynDEazmEL8l/jo9wVJG6hf9
GjKAHa4vnJCxhigtWXYY5sjs2d8AV38SM/x3H8Qvv/O3D8IrCzcthoUowQLFz+jv2o7uwSs16s7M
j12Gh9aM/bG8ziouyll8GJb+8ufv+1+25V2ugF9ewyXk90t20HLSNrRr3nfDuWZj7BMgmJpPu3iv
+/L/uOKRv/71i//ld13++y+/K4xjCvPLZ9wakk2bEyK0ju3hz98QNKx/+SWXm8ojWmt68kIt//WX
KJ6VJSR/hDFoNTkcyrq6LNOyt3/+a/7NRUwBdMFvgsvU3d+Jma1OeIszSq5kKg8iT16HasQRVR0X
sgx//VX/3f/DY0840uJW+9812907Sd9vBX/vV732Hz/5h2DLDAZuKcKrA4YMufwPwVb/i8mDjT9x
+JZNgWz6D8EWVZaHnxCmC+jVsmz+0z8EW+cSrEUkhLBGvvY/I6xe3tRvl6WtQ8NHLiYQbpEt/ufL
spqKEIrBJZ+thWxca4k6unXz0SWsKEO7mrE+RcUyr3Fs9z6gj89OD6GtmjeNah+ydFonXvVswy5N
uuzdzk7dDHHZqRS+UvZ4dGG3bWPtyelZmFKvx2TezPmmYnmW2e7tyXnP9BMbwha3PkVYS5x+2ELY
MLSgDAOdIpItFvjI+vkcUdAaJ6f+dBmlQPFZ2fm4Lshug3XYZEb/kuqWvzCZlo7+KKJl3bMDhmQP
Bd7eK16T/DkvvUOvj6dw9PbzLE4VtDLPJsBn+jz4d+h5WXrWnU+TuTT+sJs8B1yN4z96NbIDErXu
7LwCAMIGu2fffpjgxMG+OBuX4eYyn1V621WUzrsYoHyH8uhBVje2MjnTm1ftdWegTc6UMS+M+q35
rjfvXXfXGmeLYNl0YkWMyu4N65kRah/t2PThogc1Yh0z5uNDRLvJ5rOprpPwaZ5uGm/TzoAqzB1G
K8c5xfnRkj9q/Bn1a6m9zcah7ljK8jCa51rutfS27t9bQcrAh+Vvm1ig1V7Od7CBcvdk4HnrN4wq
0+ScyJ1KH4bqGBNF9fJNW1zLPpDsfhdAprQr+D0D2/DEJteu9OWKWGIbXkfRvhMPLvBGikqQFcGc
bXNDbrqspTiw402llecWNgyWopghcvpURyTpFPRJQKx38eyhUb1fgDUenrCc4mz2DdU+Cbu5LTD1
tkv/Y6v2pc1jNq9pP4Ifnzw3iHNmiiGrUrQksKaQhW/VcQbB27W3S9lgbOwR18YVcD1cOC5Zl2aV
meesvXwzz6XWkwCm3k4fOtvizAdkyrD1YtkanKuuWL5mL7/PteZY581BH4ik8t6cNzy4ga0uH9ym
gAQ6Naxz108DpNKufl+aN2sBJkMS0E7BBuVZYMbPlzQnUgAd1mWIs0micmXIO3bqXRfjsstdwUqV
hrg5l1Q17mFpr602Y2tRzV0EeEk6ydYdh2CsGVBoi09XyBi8Ta4YCp7CNA5a65JBPy+CrM10B2xo
Sa29RizXncdgwFxKAXFInGYlquzYk1sR4btJjvzS1xZA9LudzB4ql+BYjqfJ2LTmj0TcYNQHQjgG
yvZWXL5b9eKRbjeS69YKmVFw69MOxJSDmenuYoYbHd7sqrn2cnz2WfhoEsooS80fRnUYvDNqfkWO
JnUa6LDi6KL4pjBJi0ixQC//LBP3HNUWTqbLjj5yj/mtu0R+YS33ZdJ+2dgtenY3ZEWPyRg/fOtV
N87soiSgeZjDsOUlnyZEK2IufUysRg73EoNINU2PFZ6/xf606f7nfF9aI6ssKkq6vTfewhqknGkh
+QD/PbaYS2czYFjh0TGoxocMcOWw9TlK8ZZ1MGgwOLrljagD4PT8cQ9dBrcUrr7ZA0cY4nYXGSTj
qzGjYkmW+i51YROjHbelPGjqvYTxlZI7s/ob2xmPjqtWrZsFCo+1Zthbjay3ZQNh0lYSSywuSTb3
adiZYfQNCkW0DWAUokEsr/1wFzluIG12eEGmIOu2M3EAt83zvNyHKeOOGVrgsUOrMrJbfX5s1Fsb
Y/+0Nl74sxAj0mImw/dZygCz6kn95Rur3NXRk7a8NDn9GEYankJGe59faAqoJOaY7gZVrrIlDCYn
/Fvt8t+CAmiLMOWf1hP7Nv++7BN8vuz8/rWk+ONn/6goBE4tW9AIU6QIds/8UlHYHt0LxYZjUvvp
zi8VBetvHAoRKg0Si3+luvxRUQjYqhZ+PgoVtgq6nvufWMCok36vKNhaIHkBpmCgyuv8zQGmNYkd
EiwYQeoRCHaHn9zbCPy9YJFVt3O0+Slu0m3pBnp5nJhmTqDBEaYGmuJql3JM8KizkSBmicNonHdp
lD2IMmHdHPkLlKosUfVqNJi3zkS4nSNbGOzsvsckVqQctYa2bYkiteHZMF9AiSUjbYvHar/WQPi/
qrL2CiBkynPUIoXADvaAyeagpg0sV3aw0vXrMKppszmnF0YkaCu0wm73zYo1c7gnoSdUuF4MqOfR
tYl+iwVcgytp3cy8SSiko4lDzWbhjdp0YfEssVaYFuFOfFxX+RRI41UbrsvExplPytBiB++qDp9z
ButaOfguIQPefNEyrsUl38tdWFTnCmRkbjVBjYYdWjWbyL6oXy8euZWRAxbMfmQDMpu5T6sLgoji
4GjTnqnMRl001yHkfXCgjIFRsona3E3OHTh2vbtXkjGcTuYvy7qbdHGw8XaUgM3F1QBnj8mJehL4
0zUC/xXptp8Y/22DOmewTjqFW9ePX8nADKqK3Z9x8J56ovystYVXsSlq9wHV5agl14OLBSvlb8e5
G7kV0E3ylxRsY8nWWBRP9cN25/MsbHZCAqTyhonh/4h5YjkD8jzkYuOU35Ivf+rt9cAyczC7Dvmk
oYB4BSu0AL+v23A4Nnp16gSXU39lOy84yE30crnh0mGpR5DgQuzt77J+yFHg4yV5FsMrx8DQRFDt
zlVnHU1GPol6Q+NN+ApUOeyK9D3LCzSZdx7wi+B08uqNCrGEeFsNvQVr+CC9e5KhJgmGWxvjFspw
2wZTsx7baFvaoa8rZ2PyGE9sqL8aEdJeur6dFkT8LL5FkqQwI1lY5lwl8ATtM185MLptZFabEK+H
4e10aqLSeFHNm5s9Lymjac1cN+4YePW9DSd7cixMypNfaSw6j5s7nGNW+THaTD+p8OJ503YM/Ybx
mxk2TP+y3QyQUeqeZt6I26D3nFvh4t+ZWTVsnfS6uYbrwJdgr9PxpkNAqka2BHIzCAOMpBZ4DP7l
Fm2ArcOcr+nWcbdOdF86Rz5IE/+9RTLD1lAb+2ytmfOhmb2PyG4C5jZdTQQHxREfzPyGySsREKHC
cp8kzppuovcs3yyem2K5iu2IBcHDjlZA4R4qbYY/bDkpqmuTbEaR7BacLWrclAhc3rHS1iHuuthe
DSwW6Cy5avJkd7EN6uEN7lliXrd1zPY39kDK+QznPQi5niKIdLUx+laIuzEm2PyZwT4pykcWZGch
ELWSSfh7wzjEfZTTNo2GbRU+ge47QLMi08sXuDa8u8l9l8Ot1x1klW8FTkPPfZvrB3sp6b/FlVl/
hKTqCmvakZAH/QgGoL+mZ1wbqVqrIoiL/2HvPJYct9Is/CrzAqiAvcDdkqBnkkymzw0iLbz3ePr5
IKmlUrsJxWy1ULQ6UsVkkQDub875TrlQh5fQx7pOaFDuOLsYtnBPPSZsgtjZIumuNtE8yCPOkcLc
GIpxAwxvXfb6sbHNbSwRdYaj/BLmZ9tSwQ1+sJtNd1Z8OzgKEggCFLm7jeZoJ4/JED9lJUuZT4Wb
IHyBwt8Gq95xloIra/y27J01bmnrThEiy+acmJh502Q9yoIBUBGzwqDrE92jqch7LTXu5xGZWkmM
Aezqu1es4T6fYBf6a0dVEZUpwx0uMFegNArGCzLnjUihkDjYg5SIvhAIq1g1SCMrh/SKfYhBI5s5
gRWWlgn/SkAB5SFECoudj98+p64x+o9o4ppElkY5mDvHlvNhOk2WW2EtUOzboTsTSO7K6Eaz3CAn
0aZDEtVrbtesqjZ+IPXsNgTBhI4jJ2vAa54clZsJi10b3/vDcGOF2C2RYBo5iYjGYuqops2jZJ04
zW4YO8LhpqLvC9SHUFtZ/vRO3M2sF8EwPSbqQaJt63nzEXkhTu1ckWfvMtbyvXivLVe5WrgGVgp8
jbI5k6BgpmxcjIfCvoy2v9XybdgiscpdXQyrqSze2MD5DUQaY/pqFHlrZgCKHnz8wibBhaGz70Bh
OBimeo3MA5GMb14oniwEJkFtP4ryManzF7O+UxzQR+Vw0WhmFXx1I+pfjXQFVu+U/QhL6tEtTJ11
0brrrTeZqMc0QRINUjAS8iZS5dYhn1eYDrtHlNHczZ4yzjrLd4utYvDmCQJGtCi5x9x9cXrjoS2C
/Zi8qvFN5hiYgRXecNWBuOxHbnFTxMzGacx8luhQQY94vf0V91I1XT0OigY2zuihV5oOtme4RUK3
b8nsUqSoL533Msf+aNovXWbe4sDLSD7IB8JiEHB0eBeCy1i6UwagCRvOhr5TxM9g3TJUb2SqyXFl
OI/4k+CVoljlZZcK9PPSzRk7W2zR6xujOUXNSwEe2sehSxet6wwLU3a4LJ4DBaFGhskH7xliBYr4
BfhuKxnY+q4ZsG/TuF4HwUeibrUQ3o116WDZleZWcTDW6qBbdeKIESDY2L7wK2EOcvwt7Iy1l7oz
w1SBXVf428zEMRYt46xbRS3uzG6012FjsJYkGWtWc7bzAqPPHM7RkTvQQsPN7MfiLOxODrbcTuea
UFvTIgy4fNMtpdtOETqJaE4sKW3/ja5zVwEV8+B0DMHXkA5LKaZbvOX/x5DyX2ahgmkrXDh2DZZu
sWb489BpkFKBf2ERp2vcdsnNqBabfEi2P83jLr9y5n6mz/27XyLwvcAfNGAf6v80xeYj60bTQ84Z
dw91dw8DmrvsL/4KZnQGjow5mUCa0v6nUjftiXNTK3SBcFII3EKftpZGsfx//RLnnz6sSIlHxcr5
JWZhsKBDMMKALPn1l/zdes0TWVtq/7X3Woa/ZrnfNXn8heRIua++sj81YX+8ym9dmP6DV9WZ4zNl
J+zKnn0wvydc6NRU7F2lOXdoxs/YTeMHVGBbpxvUbAOzDW/rH3Nd/YeEk8i2jVxRrDMMav+CEecX
I9A/zXUN03Z+sQOZ+IKMee77005jVIIiUMDnLWzA+4T38vhk2NkiXYBDE3YoJ7w5Ero4TmitZwtw
EeJ9sJRjPulwRubnKnGm0VkZyKtLreUY4/gzQBHIzziBQlQ86ebbLE+AfdebTI7L+E6oFklMKEpp
brDhHJuWaizjed1gTGnr6hyhG2WovVH97Ern+N1CscJWv+/xWki/PqsapmpW5SLbOBSwFo0eqp+B
NAfLJ9X70auMo/B6nDOestZSHXb2VSnVvYN3h9Ky6ZvTUIlbE0bRmOx1HqiQojZ64DyQPm2zMvV4
JmK12VbqgGjMP1jOxKOZIoUCy9BxxBhfCoPbFk0fUP51gnwxoJBGhlprB8YjVt0TnRXB0t4ZLVEI
tBMRIVfBwSo2qO4M66ZI1hFquek1RnGRMycsm006bMeXBxMtrM2kNcJMcFfoG5tPNBNr4Pc4bTdN
7qZZsseV+prhz4n6/pD0YPh4U6QQPtX5m2bXiMCPJfYcBzmr+S3i+gMKkok0yb/J7SOWD1UO+7y6
FUOyK0tt5VvFc9WRSAQHys/e62xtq67GhDSsH/Xoo4RKFswVPAnZ0Dvfhuyso8FTNBKaQ9Rbn1rL
X5wJ6gDaq0GHTjJaZExUIJtWI0TNaNClABPovrS0Wyv9B5r5gYV+8aXYN1FJ1WEm6Y68VvQYS7MK
1xw5OGGDlTPDGTh3M+/clD4IF/00TrvJbw7cMjetod6JcjwXo4L6am4rkPZHIC8qCs7Ix08rie3m
ioG5kPpPELNy3Po1Ykgm2RPa3Zy37ER4OHVXDo9Db7q2vA/V7zjc5z74JzEdg2b2Rq69BHPLMR1u
6+mGmLIe3p+5Qxs9BXD0D4Ev18yStShbRQ6W/6Igkwwzpwh3GVCw7uznzNAK5xQ3V7jf2IVXOld4
yNwd6F1Sc2YrPkSIcosVdTfm+lH1l5Otbc0uge9N14cuVcv8dd9OazGIZSOfKXY99FNYqLSRnkc+
YQLfFM21ItQTkSnH9yrtTTBJzAbjs+3feP5raaU38P+XeFK/LKpSbxxufFB+UaBd1PG51nJXCJob
3KlFp5IZ8+agtY/HdeYjsgOU2ce9i3MDsX1xmNCjN3r9AcABCTzzCJ04eHonuKX25Jw95Bhq6mGr
rp+Fae50Uk1Fodw0ojohwUHkVB7URH1sas/tBUXzdAOBiaUncLP+W9GQfZw7E6MVU1oIEMO4DA1I
1m22mor8g3nHJgcoVqsPGZd2pehrLQxXzniXI6fIxw8yUJTioWO/Ye+JxSpycEEjQH6FbvRB0JQH
wYNQDiw9+vTGFsDaz4W2RgBl01jk6gewSheb7Tatopuu6yBafqahcuMLMqSgVkwKIVnzlzEh0wEJ
FzXisbX6TeZ7C2ZayMpw/uf1vhggiyuZi4aPfFXtqYdXWgHO6YRP7sBzVo3uL0XA3+fzrxvT/34+
r97IDL+GnyRaziPSl7yK/yWA6o/X+fWEVn9opsMolGEonlTVRF/w2/ms/aBo41SWhi3YySL2+Hnv
StQlgmgTPSg1o8GS/h/ns8GUVGWOy+HOWhYpxl85ny3jz3t62zQdfjsbegm9CGfuXAn8fD5n2H79
qmiIlYHn4iw0H9nTpKqkEI06yCtLMTDkN9oa48GrWl/IO5jD7q8tQCtvIoYJitD4aQEcwyLbMWsi
43iV4uu5ZMQgxwyipuxGb0L7IQ31lw5LypHc5BKSia+U0IxjH/iWHZ4izvYLqNp812lY0Horxx3p
UWhOLSNjt1R1UDR2OlwkjAX2SFp/MCs9X/XGVzWRUDg/h+IipHuO7WtBU22PRfmooIMrajptEKPi
pq6d8JLYtkLmNnnNZh1cG1mvC+2hIAgS59TKLD7IvONkiu5KuquGXeNsD9ajkTnxQ0NGTEW3pfQk
mMCK+poyivqsdkdOvJEfqPwHKQZhXzwmIrzpe8aQfkEwCaMnhjHx3hEJz42QJ5u0KuTIfezcarFt
snaV2qkvgnPiY2eRSNYzQWIIvVMEd2iKoK0pD3Zu+4dOtbA9+QHxCvPNnpWhhLozPJM8eYsFitp/
9Fh2tkO2UAAJQEUv0AHbYHEND2a0vQhb2E9lxtSuCxWFaCibsMCC9KOG3CMxKpg2cFoW74y1YQhM
Z7gYBH6M3dYr09NMJ0ODDUGXPHUpO2guMAmzZa5/ohHYCtV5TfHidWPqgUlUHu0mllfHV7utbBX8
CrL9LkdGe3ZjWUvh5/teGcqd0U+fVlG1GBxt6+AUcy5QjMGy1iXhVqBq2ADWH5mpagddCcqNEjrM
YeEUZUj8m+E05YwGGib5Ug4viWecNAaQ1Nqc1hnbs9LCh4Cc2SjiBg8OGA/PrDahTZRQZWZ7I40/
uervEZXxxoZgHzio5zPJHCgVcAKtpO0+9M5mQoGq/NYoSaZWnGvE0JPvzQYVhXFgYXcYIolrDTcx
5ggnrbZYBxYlwKN1G1nfWhzdOezw46ael2MJfgbTjQ2Wkqnmztgf5OTh6zDWlevFzrEqM3uJD4lU
EtzpFfkHUie6DOsCfqfpAMYExJCWvU+qw7QxZLCZbaOwfklT/2Sq9jWwWMQ34slAV70URXsrx3wF
JOdszLuGBud4EZ2SYsRyAWa6Do9w73blVH1pefSBe+K+CJpk1Ve5v805Td2S0mMcsvuhAFju9/B9
00vrcNXUE+hcKykukdl8KYW5DXWVDEU0GV5MnEXpK0/9oK9iQ1sHUfGugs9YjoSJFM5sdbPrYW0k
Ch6acNXLdKdNDWP1xPo0jOhL7wX+3bnaEzVmxio5Obo8aR2iYJD2Gp5qH/01zwXSxwlfNepVrdvJ
vcq6F/Yfq5ASfTJWA5IkDSzMtSngUdhR5SI5RtWJE9ngG4wsDP3NbM6cEmZd5Ezl+LULDZmEHsJJ
dCpgzGOivwWqabiJ7A5NHtzrTfacBtWnYyPICINL4o+3Y9s8TFYPIxRIEMTTJVEIJydqj3FHJroV
B09p4mydsnosZeyhpPAQiqY9tZRfw+cc5Sb02cjz8T4p5IEsAWqyzint19YrsZylsLf7bNg4eB9h
tQFnN7kVJs2/tVW8Nt5IOEkUvity2LVhS6+DJXSRmpis7YrFRXdtJvxSPensYOU9477Tkv2QtjtN
dOcobYjdNXG4OTn9Tqp2+TGJeGtlZbh+oL+OGoRJU22GLWJ2lkPA28iJ8eWEC6Xx9+lQ8aSe9e5Y
Vy8TzkE/pPYd5wpyQgrdFb5DTiFF3aS/YSZFFM3pspus6tQWjJsDNPN9Y2nnMm6ChT0hKxkmVm6N
QxBdCCA4Kyi9w2xcArRuVqDgHQhzipFuQOBu7RLeUtDK2bmd8rlY43vMGQoVJsjzt9GMix14+sbN
yEJyoy5LGTkm7aZpIkyyJbpWPmpP4XlZtNMmHT2Pww7/chc+jWr+aCKOF2yrRFkvg65foVolr5B7
h01Oe6zr9BW82pot6LRSJ3WtC/hoRVVDVB/rncSmDmiSTQDq3VWf40cqS0a3AWAVT3kWw/CCvnRp
6ohZ+mF06aWb24JdliP6x0KEJ8HcTPa4rUZCiOP2JEyWe73JcDr0P70ItFZF8mgYi6NSQ3jlFCBH
3fQIq9Gp4suPOJuudYlxgoUshCn1UeY0LeBFOdVTeMK9K0swyoOyrQMdJlQGTrE71dD8ld4C8+gP
lM3djiSXuyRtjmpsuXUvidhDF9UkJ+lLjC3+Y03Eej5q4Dj9lnpfTcxl2ZO4FoG2WEbE3XWBCWBT
zd4srSsfQ3sy7wbfTsBUdqw1sgQDSW4UV4X9FKhWYhsLVX/QPZqHYhQYjqfKW4kqCJZV6kiIpBVP
+FHk1Y3sMsy4BSZfydHkVxwWAeHyE3Adj8iOxpqWkLveVc960bVx18jKLUS15Qm6hXcBAjXAZxXO
QPlIY5EJNVlOLARUD/+URDKSkAAyvJSlsVYMJhB6uk5ZmeVVdG6mEc+bo3BYBahXEq9CJwWHO8N+
3A7eNlb7v3UJzW9R8rPQcWa0/Geh4y9wmv85htlHnmT/qezmFX4bjKmkx6Bvnadf0M+glc7Zqr9V
3uqPX3QL0GsQMFL4gof5o/Q2kDyCXZIq4gaTap6C+Y/S20RIwIvaqLNtwzT/Sumt/zL4/VMsic3Q
TgcdqavCRu7NG/y59GZmO4YyG8CKOJWx47wsmA8MxLiMDiprMhMsmlV1AKxbS3zzRrUb7eYTa+Q0
E1WHXaTTZ6ooCDCR1cWDpRNLbjkQEUgev6Sptm1ymvC2V+Q6trzxpZ8mnkM+hBFhEE1OGB75ytpm
UustpqWj0Y08UVANViz/8Jc3FgKtsdxNCanflNiyBYyWNtUnsXTqfTXM4iiCRRa9kdpn3xuzTTQ/
rlmoJN9xKWCCJMDKgyTkAI+2cFOmUNFWSRY8ZpI6tY6wpjqYT/pQw1howePJhJF8GlrXuF3eHoux
upSzytxE5ISsYDVVjYPTssNuqQAxDJlotXP4jo4Zy1J5BPD4r18IEIh3pWL2+Gjsb1nEipumwWts
Js/Srs5CEILRdTM5gLApNX2b2CfDVT9YeBkXIDxNHGukrHVJF4BTtvoXentCQAcWOK3dXnNNOZUI
AFqnuYbJdIRz3Lv8dgVgD9EanvM6D9ucpoX6z36ywpTpE4TexM4uDzGxB6gtDGs6DGZ4a/n+XVIW
m9GzV11csajTLRqxseAu0K+h578Fsf2pZh5sjw40eKbq0w6oEedE9hz7xtVE3NXimKyUjRZmbmsw
g/Im8rmNcPqsOmQVuAa3sQ1nOMxb9U4NW3B9TZ7d9AYEo0VXGf5haDyy2W3HGBacleBy6j4/RSau
VloJb10FRFxrRc0BWVr8GMgex6ZfcYLG81mKWwlV/Hy+hqqT78LRyt7iuuL4LZOejVjULPz5bAae
pizLONh6HNspmycInQ38EMQzFGqg8upTIckBaEQ+bg0jlmvKdbZpY6vxqMUtRZNC7Gl1CtPW2hlN
G6wVX31TjexQGQJAzFxojDEqmDFH86MDI1XyS2eNKbCZzFjgUvL31qSaNJLdl5fw7IcFMZxrThKn
xXgX9T624tFeQvN1O66nta2hRuv65jzE4fuo4EyEFQ/Jfpr/iNDyDTqEcYmm2GFQ6TwVGRMbXKFw
cZKMqtOaRhzAk2yuWVnOmp4x2Nn2jKYp5Cs61jRbDno0Hf+e0Px0SJC4/X8eEnc5psr66182J7OJ
5/cDQv/BuuSXbHDBAIbQUH702/lgkP89a+UlHSVPZ/71j+OBAHBVtwSGBo1TgtnJH8eD9gOjCCJ6
R7JvBuRs/ZXjgUkMj/8/Hw/o5xjMaA6bI6Y9817xp82JqYeAMJNGW1gmKMlxgipYginyB5jx5jr9
ZUqcdOaB1R+D9ZK5IKeBkZ0tQMXL0pzu+wLQH2i2Q+g13gMuZfydGDob4iJD4R1lkuGDH9dmGC9b
6Z3S8B47bY/vkUZ42bXtupn6ZeP3CwvFjmldVGIuCk4r02JJQttFaeS/NsOaW4pea0v1i84FkZns
Psoufs9BFKaQWTRWhgaiX4DwVd3Mgu0gJH80zF07CjfRDBCxENNPIcbbXC2PXnYQEXdK4H0Phosi
Gcr1MHd7EA9eEh83n/49pf7Fo7V1YErQRbyNEFcawAmGDu4BIc4TdtPBiQ+l9Fc4tPhMUFBQYyb4
lLjrUeeVqNrn8YICmRZgxLziCXOQSWvNkhTLxdIZ94i6WhMNF6EyTbnCSgyg3zF2tYF9NDz2VgZm
KAFCHT3CUyWIyFVQ4EDGas0Pc/RgJWAXVA1cjXx0LyR/bxzGZMK1il2CSIF8njUGxnU0RqRFv/Tp
ybaz+w4dX2YB0WFTBsokCUi11Lsldj8iEM/48F3bepmi28x8bwT8p2er3QrI4ihXWvtRB8TZGjuz
/Ainbglv6DCoV4doBdoI0RUQH7EPGu9Mz7Rub9ZvI70uAY5Ra77G431G/EoHx6ssLdYC2VmgCu9M
+K2bxgu/pK/sjEBsGvGs6bTf072n7HUMo2xuaE5DCzvDKbVvmCz1nKK5TNdGXWHPDNa2sHb5nBpJ
BCfyipUpX6cISsfE166hlyQ6T6vOFVuMRMfmlsmtGe9xVbAI2TsB6HFgMLj+WNTbwUXOOcf0esWl
wtYJz3aBiW45Bv7GalBvdNmGAgUqOogvmMbe+JWbykGrfdfBtRZbeBic6SOg06+zm2hEyK/xSK9Q
tSHuslRyIbBPNthxo5ENz5AymMEWoV4UEoN8q1xZ6NMt/n4yaE+ayg4JiGVKtFgIKG/8AimxrtrD
WDwS8LaD/LBuy+mGxIXFrAt09FuD3VsbeOisP3PcF/yukM7d0h+l9xD+ok6FiMD7tn0XMQuMhXWT
5oyk1KM1sEBogYEBtIn5KokK6Sn4Chh+pCRjY07T92b8bh3SXOABk6G+0ILAZdu7kN4Vyy0e0YUD
2dh4SuQD8YFYUqruqyvuTRSMWdUv8pBg5b2J+3/Y2P4GpzPZ5Wlt3Xkziv1zcvK9Od0WuACUcSmn
d5hsdP14v60vKR6c5o56YOHEmBUwUJwdagX1JRnmPhwSC/OWEuFmrsP8ZCuV5c/wW8r4sZ5wRTAQ
zYej6J60QAA4b5ZJJJkBkkpCWHk4Li0SOeoOXIzZbUlgDbvvJrlI4rmUQHUbvQJq1rtw+SdTun6O
PE0/OjaPBG2bt95qqu88AgM6EkQNHBGDgr6OlAMj5NbeqA0rlmJbeNpyXu7aG0u/NHlzx1htb6OK
LPhfGAkH4j20nufjtAXctGAKshriS5i/5BFgZ3kqbMTxwI4VxKXAmxx/BfFCb9QNqvwG6HQHGiqF
h+F/84BAFgji6FXXEPwZmFt8cPrqU8jPkQMPY7HTyqOv4O/NexKQH9SWhZly0tsXVMMbPbuR5Mjq
zXM1E/F7pkHaQQ3KZRjpLlhELNINxgG219a4HgKNh12zKYZpV467lsgGqlE9uU6J2wX3cWWvjFRf
6z1P/Mw8Ks2hqWHy99/OcM9ucajuHe2+QLZlM9QsviYghTDLfDDG2g0l9XdZmHfkQSBCO9Z2uagM
7SAbb+Wbw6GoXkKWb5rfM+BkmLkwXHkWFmHErioKSkE3FkTdWdipk/mezdygvG8LhfFYPUdEvQag
JO2IuyIBjtFtglocFLBEwzTxSMWArPUTmP6T3/mbyTrLiJCJmDqwJepQb+8wlMExAypLgQ9yIAaD
BnfOuehAsyN2+5mzdliIe7H/iUDhqHXpNecpVlCAc9CSy1tX8akEnBJyZs4PL1gtRwxHIQBKBEk6
XiG9OjXVoeh6/Dj3kSRqmria/mNoEQEsOTdHm6ExMc3LzmfBEDBPCQm/0YBdDkJfotfZUXnjdhoW
Pqb9uCLWzKG+Dlyn4WSWe8MuXa/aQSPwusepvIgMJIS4hOZdnOZoeHdRcxDm1RLrOF3rlP4GL86j
UidYbh/Ez7Q+lQ7GoHtpWNroq4zsxwxtOz5hBpFjAcTsUVWeRM9ct3jztODbsFFBTUdIp4uJo2xe
BRFj4/VuAGCUw7srK7Eaw9fGv43CMnHjIYSORY5IUcAbbJpXjIYE0FjOXUSb5vN9tiGCQN1hNep9
Bik3rVdupF5hdgO20Ht2tGnC4lDoZ0sRx/m7yehll1aW8oXnQiIvbkgd43zgQlaGcRtUh7q3tqP3
UFcv6XinQpmqrONY5hatDwL+voX8pqq9AgbC2o9FdA2zgfxy379CTERSobzLISDJeAZU4NSbsZVU
J0NgbJSqAHeTEjE2vHnYYlFme8+DgE+d4J2xxu7oFDUq+9hVM2jYMLx54TIGgkIZQGINjcWlgqoj
gz3mgC3SuhRAZ3kfm2fav9TcUe+5IiJ0jtSxUEf4a734CMAdB0u1B6k914jklKQ32La1CGQcERwo
3dDQz2NzaGc0hKIeCYW/qkZ5BFC1mRBB40q66HqyHcyWAsQiISHBiTWh3mePk/cb6Uc7YES3Vhxz
9Ri39QiurRBnJw84sd+5LXY4rWfPXHKwc6B3dJJ2kC2S0iaG2ivdVMvBMGNbIL8XaSXHStRtjb47
yaE9mKjJJTYFoVbLqQYVVOBOAuREckpL8GTX73+q5/+Nmk77N2Uxa1EHqS51MbMbyvafy+IaJ12T
miyFtACjBBx/FjQRPRvlJEl7eYXO0Dhn2jWr08NEWtlisFUoYsWmJM7n71brp1bLROH3n+dxiNQ+
YkYFv+jUvr7qn71Cvy7B5z//2zSOXbf1iwlHn784+iO+1d/X4EzBcBKhYgOnYdLz/NFsmT+wAuuG
ACVNM6ahRft9Fmf+wCaMpBIFm6pa7Mj/SrNFk/YvzdZv9mOVJGwbF/SfrypziHDCOKgnLc6iscNz
y0EamMl727bc8e3KSkc0XSAQC+D6+kYbKvKKFoT4bhNAcTnXVt4exPTUhY9YZZcYRwozWEG7Rn8T
uT0iKHPSVrb9QI5aWAy3gjuOCGVimjiyzHotMWG0PEZYAy4Ek6QSrrAgJ8ogysU86b0O4wlLkhHc
hLj0UislIfpunv7YHiAfxXJL65s5G8BHww1qxtHOKsb5LKBjCZ7NnVVd5PTNbGcDXweeV7zovadK
mDcJO3z7o+ufNPO9h+U25+92OTbNp6okXzCtHJwXgOzQVxmU6x6HeyHBhzX2YdLYCBsrgZrPYNdf
IGxzlNsCh0BVXMZJ5x8F58KNwkowSSz2QeVDLx7TSd3Y6nAN/COZY5hWWiQ5w5NZ3KfptZwtxMal
JN2nZ3zY3tPwTXWNQo3vIVgG1WZEHNWRrUalxBvC21xNVzbqrc1hgeeyBlzXwbNp9afGwkS4ZReR
5kfwLKzXlYRQ1xUZmtimo3StNhme6Ts5UK89Z83BcD6iLFqx8lmoIBpZdihavKTUUySxg5kHzgwm
pn0W6VPf4cbQdob+JcJvgkeq5k5jnZENA0GOiHScdxNrkknd4OFnt5AeOdOctRKd/dH50NAPsRrp
yc+CBaarl8Y0H8zCYnnokytoeGC9jArgRMGXQzIuZ0NVkxtA3si8wCchgskdy8FpTjrwHyPwAAtZ
B+CCGU1OJEcMg/fSM7BFdHwsKv8jbsM1ESILQpQ42b12I2oHHZv1MDYFeVP4pAHvk7fVrk2c0fbs
r5+N9qZoRrfsSmLJU7fGi58Z+XtQEeUsTByhI9bLBAtmjxUzwgWjYc20eg1T/R1MK7InqG2Tq68+
l82jlW1Z8a4dRmoqxIkpvSMtVQmpzbzvqDLWsXZXF6+D8mBgEuHLtauDHL8Vrj2h3DXV05T7K1Qx
W4HFVHLOm7pY6dE1woCqZPhjyUX3OrQOfUkNjgwrTJcgxfldCvNWljnNyjesjZZkJKHFqxF6t0y7
g9WyYkecyuyXDWesif2ARTbmuI+wzJqkzy4E6+4iJKMH0UGFxhOLbQZarMJyq2NN0EoU89klxJDL
VH5dYdBFGplh19VgLSE/0LO9hp8EQy9XGPJCaL5wN1DH9bdJCEU7PeYYgUe5TTqFuOMPoitgfwwP
NTFHwmjuQKWTzMDWHBEA1mITi3GP1ZisIpCdXop7FyXm7EbusCWzpTzm2JTTabhzsC0rQXOMJuMU
1W+qehHkcJMUZfXbyKBAvATZUxLN3vRDq1/renCV2ePQ31iyW9Z1wk5iOfJHkqrbZgX4PdnurIZV
KAEUjixOXS2uoTJsS01zKz9bVwVujWTTIokRXXtqxbRWO+uFtI2l1GKqeJRpMEOhJgHUGe5FiQaw
HdaDsa8LuYrkfUbIRorStiSzGpNgYK1jZz80x7HJVrm6NvjaU+bpwWNYr2FZAjLlv2ca3UfvqTIz
8xYmCL6Bh5sW7vJm57EFNcOCsfHRb7ERaU9ZbC8M+VVXE4OeZxznYTatdSp4QxFLih+mKQoUvOG+
op/S3qixw3HcYFZln94tpbLLymzTEmih2bexR2aveLWZ0IBzrDx0D+TTyL0MM/7fFgRBrDxXcDUD
ZHjEZcpoZOshFwn9GwFv4UPadu40uCnkhj5cTTJYQ2DCiH2bGBtnfPeJxSv6Zauz8IgfUqI8pLEb
4+qhQf/Mdb+37fRoKfYK6Q4OOiY8I/tMbVwhr8Zu19DfyH2qnjJFvHjh+ByZNR2ZcegF3CLfZJSo
VPciAbelEivrdPjggv6aJP5eyy4tGifYuCoCJEnTWGj0rhNkbeCVBg1v9p61N7AOFmZTruXUbIcK
0KUt71AsuYq4i1BCe7aHg4UIWP5+Abd8ShsYJMYHbF0+N+PSc9wqSbuTZeZSMUCYN7n+18N4bhw0
3+nJ76Pn3iH2Li21zwmRTYBxN8JQ1YUdzITqblSvbInWWfkgTR62gzjTAmzVQg0Z5G+KkdMGnW8C
qtnxbnXwC6z4ORq17CtlTab05sPIMt7qS7cmfYDGYSHQt44FEopc3w/RcBB5eiQ08tKLm9a2uWeH
rc54NQy4IJWcXLrxWUmiV8tqqLnro99d+x6KYZiuejovXPOLNBI8kcUxVF+Ep6Jf4TKJnZs5BkWY
i1APN5Bjn4vpzFxGJyMtFMmbAwiIrJb4FgC6XnhvXktkdtvv8y5cRynaPH9XkIU0cOwZ8Kb94CCo
uB3xHtlEfb9P2O+wlo3QR7x90L5wcVnMbrsISOzObDehsYWauWyGt8G5E+lzwIX5d2X8e2VsSxVD
+3+pjPsw+8yzfy6If/1jvxfE5KeQg8L0zYYSQQH8U0HsgAbmR0Lj/BC4Ov4oiLUfQuo/CUMpo/+x
nNZ+YGPCA6SyMrB1QRn9F3wbvOS/FMSsQIAFYQPRZ1s+f+Of2yxmpSn2eaoFluuLWlwqA8QqhdE6
isMnp4+ZZbT5jSBHY0wVMgp9TLU2zNwWD0YCj5DRHmEkqWQ82OkpNP9di7wGQnSwUyaMrorR3lqR
tQs0/wscwKMuee4yJ/mMIrENHbkNWQyUMvw0jeQtYfI76eFtqREdi6gb4ORtIPNtF+M9na5lUzM0
/JABBEFkpYtW3JlOaeMeBJ1q4wwEyWrqT3qBepqMdlRQhxl1bdIGVzvBOHsgpy1dNbV5ZCeeQzPJ
nJ2RQgJHpFY2xEIEbm2x+dCSx7FT1zUNdeeHSzjjrNHZeUPQ3qSV8Vl4kprXuSaYQH1p6kDDGYME
qXIEwpm0nDLNRkm3cebOprgO/m67aWEXdji0gwcT9X67CpNNP2Aa3mbqU6Tu+h44z8Zr6w/GFDtC
qraqxXHOOLFBb4563ci3qroZpmsenNNiaWgPRrEric8YgZArl8naD96ZNHVUn6l1GtgiZ+u0uNfV
HWFaxUBi3zpp3nL9hogTAIK+vRuHlw5LNQCh/2XvPHokt9Is+leE2VPgoycwM4sIRjC8S58bIi29
9/z1cyipW6bVwvTsBuhFo1FSKSork3zvM/eeC9s89R7n6GSDhmA/JYdM2XBa6+09C1NMBdA9XZtE
jdmaHL4iAgqYNjNqWWi5W8XHiMCYTlkh+dwM0GCQ7rPB7zT5vlFWfYMft3cNHMzwfQBsR36xbMcP
pXcq71HNiAJB4YBP5cuQnIFkADtGMTY+JTWDrhlCsi6MW2wTE1989gGZ2wHKtnxpvSkmxQhM00Oi
i1VWb83mYiJA0neSt8vUd58JJU9Z2+5ixu1RETnDLCbEZKKs6vRrlM9dREgzqXoKtdJ3JounXHV9
kWyVEXYv9agndpDUHU3uHzvVmmkp9DvBcmIcMUr5YUCaa7wKLKElf27FmNxYwfCtStD6gCNWXbGt
lTt5uLJ7U6WHYMBZA2hK2s8/GOzaGOhTflitspOLzpVZVFjTGV84sg5HY38f0NkV7jycFUvStdcB
zOcW/6jaPWMHMoYXvbgKE0EUNKLEWzfhTWP+zNs0IperXkW695BMeXm79Pxj2W+Y86AKQUotvjrl
zZtq2JcTKGeAAP0q03ycIQzqTczSAkiWOOUFbRslCXVPD7vIwpis0SqoDABxwOM5z3gzhU0x6d9q
rV8znuq0zzT3ndxrHJlZXkliuQwYofsci2bbFJ+gXUv1sZf26XTJKjIw3kBwtNJRC9c2qul5o1F8
KfF9W0lO0XuL1tzlDeip6n6qH2TxacjqvipuRfFNCB16PgGnn4rWohj04JFqTF97GEklak3L/AzJ
by4w5BBedcm9jTApDxJwslXJYBodKmLt6ZSSUzc8BjwiwXQTqN07v9/rVUhb7zk6/UkCbFP+Ms29
PLOS2AuJ4r6p3Kh+b72v2noP+6toH1SxhSOl6BewRntdHjECHdLotZxAqEqXImZrk73b0rs/xsde
mlZVcq319w63EQkWB0SfR09rr4AUFkmH3A7ao3IYw1MgXbDXy9Rew8ytRZEZ3fVYiQZFXzSd/zz0
tIg4l62qPdjytlDM3RAcpxI1sd4kz7LMnJUtmzAy8jYjc8PyR5CPxW7RhNYEH6rWeOAUbPNG+ZyS
lJGIgz9ddO1egAcay5XSXv18GzQMeRVCikicuiOYpy3OpoBhJW0F7AtIIHiPVtM8J2FbEqCojUF9
rYwObop5ThtpXbSHtltn6bCSiMzCxLWEEc7E7lNFpa1Vd3r7njWvo/Za0Kmr0RMDpGXifcv2uZhM
NDwZEJFwQTa4hhzUeyxKwlEYnqCzZBV00aS13rBwxP0DXFgzQVfDnX0jLqpD60gxnD+TW1vET2yt
B6FxrK2y7jYyMpmEm4Nb9dgNeWX51U/2Jo8FiTxfVKcSpja+C/kn7ycrvaVBZHA2Fh9xFawTL3uJ
sGAXSNO76inLiDwifM/uPcdXh7U+oE/xMQmSzBh0+rMYr8IId61KtKh1L9rzkBkLPf4AtU5Yzavh
6Wx0+gXHwpKgk1LaZVro1Cz9WdgvmnTT57tksq/tZLqBV/BHSY4kKS30kQg0V0M2mde7uik4+OJX
5gwHi0j2vCP+wTuKEO24luLI05u1p08r25TX6JMOdi12FDN8S1wSizdJYmyUCnEA+x1psnZF7LEd
xp/OVCj2V2Tosn1jzKU4SUlKjxI5eXHpM2MzJK/V2CKFrjBxBhufU65isqOH1557068ZOhj1Zz67
wQoqB++SMWzWIapY5FDanOFGZR6H/H3UVvZAZpdK+S5h1SZWLHe04pjxTBTCOMV9tknS10iCHR0P
1w5eg6+ovDguuTldiR8+A1tPy1KVnSPqwB2HcpcMyUlYGN7l+GZ606ViE9ZJBvrretiNdutodfLQ
ZOUx6No7ZdaE/7tC/nuFjNCGevKfV8iLtyb4gYjBH34Wda5mX9VfiHb4rF/KZuVH7Cg66kxwlLN4
x2Qi/MscWfnRlPH/IfpUTUpgpsm/LZs1IgdVfFM0p7iqflc2c1HJWOZtjvvZjvWvlM2W9o9zZEWZ
h9VkeKHV4wN/XzZ7qZaGqUpIX6ArnKSoS+ykj1ZqRehCX564RrmK3XzKHE3K3ZEnF1jdNTcmeIP7
wOxuDVqIKBt2ccU9Cnkj7HZenGMtopR5Tv3c6S3UPtFzTifepRGB8USXTNcyKl/N8DUPuDaRAhWr
2cBAKJ6gqJLCkzynYpvn1r+3Iws/ZriUJ+YG0X7GOlZMeYZz22Kh6st3y1D2Gg7SQn+iLUwn+yXr
tkXC3rItMAnJm4kM8kbG5QlnaNKaV2hNS1IMmROQwERc1VuKiWZu/I8lnYFOhWKx3MVDsYmiZBED
low8yLP5Se+tReFH93NCYJXl63p2mFoDmuqD4pWvpfoQDslNVZp9l1hbRSmfp9kgMRFbU3lkumbe
IfNn5tKr0b6OWUwg+F4A9O/I3qvt+kzKzotoEB1mBXkL3bFBTZ4WAQkeLI8IazMK5CqM6utjPwv3
+3E1B/UgiShs+cKsclN16iEL8ZtWyFhqYIcjQok5tcWH71FQ0MnGtGnZeTVaeNdX9n2Rapuo1Ny2
JNWVOlBW1n1FDpEFMGQTAxUiO6T/wPucCPjj+Qof17Jhll0cElUBB8PPQhsgVV5SQeEhvBsn1SqI
bj2y0Ckn6gz7VdC/+OzaerBGKL8AdFHlIUiqqKCVSt76jPQIBOjgzeOtutb2eOvIT24H7W5emUfT
JegzN6exG/1w09STAy9V1SBAodXBQE60184o44vcpdtBaXdqVV6tUd2yRGW4f7HTZjsHuMXSJY0Z
VmRfZW+uZ/17rKJSqua0510cjZ8STwlZGIvKwvbNQMwgwoL4Vw8JiCoT1gjjNDtmhBTKO4WMtOFO
LeAC1BuN1lqCWpIvSmkzyKpjcXOgJpbI4MoTHhDVibzgKsEkHI1L02BvQ6TnFAIOu0AHoWS3HC8C
lVHfxucgTDb6KLkjW/teKyDTUzajIZjdfSgxb5Ci0jB6DEhX0sebPRlrTRFHhb8SKsCjHfV7Zpzr
nki92Z6jMk5jtztgC5yCZNN2T1Yh71uZ8Z1Ursc5F16MTzW73haTvSIOXmptbDtx7Ho4DC39cBiR
WhgU31mGQ7HPj9Ww8SeoArSmjKhLt2M8SM/okFV+bw/qNp6ki97O01hM/yN1sMG2p88xKnR8ojy6
JIsCHzj3snwfDOVTTbEwKBiqq3bZ8te2yZMo9JOHitD3dqXAOVitPbrBjmVynONjH+MPs2pcQ++R
5byYXkMfpG1ylT0D6h47fdWMcZ9PkVvBFamU9kGglqOkczvxFpvGR8KTNFjjU6ZtKrl0yvTDJxdG
l+geQqq+Zhheo9ZzVPkrzg305rY72f0trbJVwJ+cPrZatSvCZlPV4UY17iTRrXnqLKk5WkW+q5E2
edVRDi6Suh89xCv+sQZOSfyJ3AUOy3xwkMNaQFCKMHc0BIoP44pwcs2jGCiRhuVbaUjwFB5YA69H
lA+q5zSdvYkbYl8AzBXeIgVuJ4s3i/WIDs8mZsiN6lxgFrRw74h+mxDrR12US7spZX0ynm1rVREn
E+U7YXZHiTUZr3hHSLYgDKx5VxpSzLAB6XxvUlA5ZJhHmrYRLfHoxK8UTwOAKuoyfpTNETEz5sSP
ul/b6Iq0aiOjMgpYaHTqvkR7pKI4zvh/ParuRHWJZDgES3QpS7XYCOpTZsUFX1+Hommc83bQghXk
O6B3Guu7AvVTYeN2SanVDxJEATawDo7/GL0Un7ggFo3qC9Jwcom6b+G7ftNuiL6jHQjXAaI49Ffy
UMLKnQP+aA1pZkv7yUKtNbMBSvqh+NFAzZQ/D+g2ekDwY1jPjyvLIdJH2J+06YsJchE6AVFK2q1H
I2Y3d0H7oBdfM4drfs4scFVoykqGodMVGTm6wk9Jfs/QnpnZN0IcSV8ng9tPdyRtwQibcDSpHMaR
fVd2X34D1fJY9A+Gytu38dC5xcrO824FuRwyGri5TyEzYtnwBtXjd5K+d42+Sni4bPNZQ0UHG02v
57zvebfjaijt/FlxJ9JdhALPtx3JxG9AIBgFdqh8B+ODKB4jhHtz3l0x3oT+6fFQaIj76upaI/Vr
kPwpcLsMLrZijMDAPpTtvhT2ukclCHIByaCJdHCQ6dKQEmpICkVJrq8K3AGpIRMkue0Q/aXLLtE2
AYlzGdteQu0x1gYLMQzLAOGiyqXdZMdGxkaNrFEmu8hG5qggd8wjby+NXxnvrYYYsoYcLGWpqyGS
NPLAtRBNwitjtlczhDmjhnNIsLKCC0cBA3d+JsPGDB6HapchxMytrUbDWKjjtWbXqFRnOgrUdPE5
5y2S8m6t2694JVdyg/wTsSYzzq0JeljhWtGIoRv4+/mak5nH0D4x90vHlY5wVI1fvHxfT/cKktIC
JhgC02Cwty2C04HMXWltorhrZjFqrVKjGEuzV5HM3kuWeG0aZ6Awz73XINsRNBWr77UPghiha4fg
tY4OvXyzs3ofIIbVzPeOGFAEso35SCiHjmjWaJlmPdfGNdXex+gqZa8BAtshOAfIbTNkt0BhZpuZ
Y/MiI8rl9WfAltx3YBiNZ1IAn3UEvCA/1qx4Fho8OIFVDUFR5srFi9FelNn7igxYRQ6sZJ+mj+LL
cPihYRV2E4TDOiv/DiGxXx8qbnGjVkCCYsGsSbnV4KCh/FaEY46M/v0DOTZvOStDhS7Fmq5Rhb2n
IZLe9ByPiAyr/qZkxrhj0uWz0078W0a+FotHK5KQKbDbjZYpy+FIjg9TH2wQP5GswliyJFU58qar
SnCbb52g5B0nz16b6ugyBnaUrFpVOkG4LPKyQFnGPkBoHbSoD5A0gQ9jr+ToLifEE45MLgRddeJ6
sAYHkHZexenky+K78UbuSUzinn9vhN6qYn5VRcGGAYheySsLCWKPfBBv6hqms2ojGKRAVHzyU/CK
dhV2FRhAWkJ7DrgO80ly30jVW2+3b6rx0DbvYaK9WNZ7NT1YkAzSgOFw1ILOPBAbSoQoh52JuH3u
bgHg3Uex2DemfqhnuJC14TKMWWwyyzU9d5DancSTVRpAyAiP1cb3VpAnq7tV+MBSVLSsFtnCkr3M
RGXynwUqdXl6ErpJm/pWVN+IiVGnK5FgBM4Gtt834pJmJwWa+RzOw3hl5+WfKTLRn4okNNMlVQvz
nUFx8ta6/3ez+VOzCVNDmOYMllJk3N9AiHFJ/PO+cwlOq3pLflh8fX7n1ec/uAj/9ON+aT1lQB5g
N3CFKNps/+N/f+89ZXpPhSUwOiVVN2W8P79pPpUfhU2YLn3pT8Dj2Yf4687GknUZSZQGJ5lNy7/E
2kL39A/dJ4033Sybm9lV+DMS+TeWEcWUiN4VOlokYIwDxipxVH3koHI/gxqM+pqHOthuDj7DukDt
XJUyqmV8I9SZ9B42vhHixeALboqwWze57Mod3P2YsKVkNY7t06DFdxBALwEgW2JB3dZO7oMIsrvU
MGKR/YB9xJQd0io9lGVwMzNKFcOFfnfox3KnQzYcjMLVo1uifvVqCXtefyZqUV36iDOWuNug7jP/
gySojgj7Jd9ctQq9CQUwPU8lH+Qm3nEcRIuEbPDAGN8GNpvrwqKz7K3miraiXFeQ6TIp+DZxbBtl
A7S1uPYE+/mIBqa3iWMIHsBVsAgiPrxZdBKbLcmbNjK3ivGuG25PcT+GGur7Zd/yZSnsaiyP80jx
D0zW1iX6p4YoBnkcj6Wi7YtOP9ghBaJm/5TAmxnmS21GZ47UtyaMP9L+za9ec+PDGFsnqsgtL9tH
DIb3SJMPjNhoXIdNI5H5wpnIX01q3q0Gt3nC4kAOjlkQr4i2ZhuDCmjwngFDJuQ6kjaHezriu4VE
Ph7dsSRTQVMii/xUvu8cehjLvZlYa0XeuqwqgeSBJURUTDddJXWiz9p7YBErcI2Mxq1iiRPiHv0A
qz0C6pyYEW6nh1xTsKYxSH+UFZyWdnxtRvPZJiGhy0C7qt0mCR4IhQt0g6+8/pLV4mG0xlsgRS/M
uxVj2vcal2M6XlTzXRTFOdYQ9suW/5Bm6hFFKkBbm14ZwisguJWQH9nuSW2/RTvCisLpveqqJISR
hZ8jALLMd2Iyqdd22F5EgfnP7La6vzL18Jh3sz5l56OWUsrAlbq1XW59EmKT8ODPlyazCHKi1130
MCnAJTKqIjYZUvus+SgiRmRCmeSMMluF/pbBjKsSbeWVpyr0LzayJiV6MuNzjHrFYDQSRSZ8JsT0
8nGWEOlMMVpED9qwlf1kpfXFLWQElGvnUOA1ij4MmE2ydS19Gf893OTyAPMEnYcNZA0U1akMmF7g
2Q3X8CMqgTO/+jQaeV9lthsHtRNnKFCilDfolFmoJYralavmQYvFFbkuMRNGv5r5pEPV3WrV3sIt
Rij1SRmcZ9zPKwo8NWXlGHq7KH2283OWA6WVDJdr51BF2sGyAgg4AcuQcTcpHwWGMXXSZjsk6ZZ7
q1oH3Z2BRmmaOn7g8qomAKnx9IOp3WL/YIZbxuhGhSIrP5v5IUrrzxpvFOPlftW3KMMCG0O9rm8b
xVoVkwCGi4KbylyLndqLlqES7SQ5fbBzH8sX6AU4WxFqk+aWY9HvJm/Xoj32g57tXLu2KPQGxv1q
/VqwHUlZto7puhX8OMPvoHtoU6xUIQxp8+Ir4TE16L3qe6vGb8VP3gLCCZQr3Za4XiU+Khpf7OFN
Kj/wVefTkwZGLjt3GTI8kkYK0nalMl7TW9LtF/tAeRqI+paFdwiCRx/LDzEfM5tdoVVMaOrWbTen
GFN4i/40xccqPJRy9CHb3qtRAsfgRS6K4q5V7mW7ey6JYISWvMU4R7o5mi2Ih7VPeUWX284NcDa+
6PgXkP3AqOC98HCyTVb31BfNSA3PCM+IwC40mQcfZxEMnorlZiCZq3vRh5IAZ3ZfOCAZITl6ZR3H
7qWkpRjBM8B50HMWOYk1bTsQ7CHB89gX0hh5q6GNAGXrW0HSAyVSvVNHHzLyLU1wU/sFTzmq9WCt
ku+rcsYidlrAA1GbJYTnrnHD/G4oXa2+ADK37JVHbkX06sd4Du6qbo28RnjbSeSvOZpKOHG8v8wi
5lZ3zhQ9191D1G5EchVw5oxLNNzVTbwJp/pUR/ScjM8E0VUGow6NX3txvQVm5PiN5wwNht9Bc3p7
XjxLi6IUCEWXvv7Upuhh8Fp0hqsmwb4LbAzP6NyBkK9KrblPovBS2U+ZKHc+rvXRPyrde8Sczc9i
ThLPMYVw46bAXhXzz9YG6jO/Ffj5wpVCOR3nodvVYqu0NmFkykUpuBjziptVq6RvCZ1gPh5rxhbg
ic9NNe0jNsdagAEot5VmCdNxK0yMR+bM1iJ52s+jx4hv8uSlCPiPqZRdM8V+4oouHW2gGdcs6wh1
LhoObUk6M02Xx0pItm9NzcxHuvWqdaeVHHyCGJ/JeK4httDpK/iOx/lk4tJM0S0l1nsNer0ndMDx
veCxjNP3fGImAo0v8mqnBmvl64+p91kWLUkq76S1ru2G+DdSxidnorHUylevPMTwhjstxHkJ+Uji
Vpry+9Q7DyyORiZhrRE4ZsuBmXtuHMXPiUTWbAs+oyQewMRkElrKpuNo9Opg3Uif8yooC3IHLyu2
GlS85fMQNBd/uMSMByWgoRh5lkUowFM2YufRkGa5+iEynCvwigQdtupf5cnptJfEPkxDzUxVD8+5
fOo4qSUaydZsj2MmPdVpgJegNc9SIYDqKQPYBOPe1Ng3CcKTuMBNuXPrbr4DVkFefNkWAStd6CK3
/orCapmb973eHytbRTjKN1eu+m2hIQIfGf+C7oRrj6tQSkPulOaxQ53WUGwuPPSnnobbp4enzeWX
4FkyTYFftMMYJPR3ixaoVGNgUt/tlJz9BGVrityvC+vvSkoZU6yCWcIGYXxIzyNPJHq59Zg/6EQ/
WhOYBYsz36sG2kxfe5KmcdNL59ZCv2PQtIeKMXOzB6RhePSKSd/DxlZ8buGOUVGhbwERrZVQ26Lx
XuZTtRLoLH2dCVyVHdMR5SD1In57d8ohVJQ2qFWEqC2bWq9/zup5TAa+WkBcM0tG1ZLT9tdJya+F
l6SLrpU/isoguSl7SNL022xWY/oWE8fA+c7Vu+loBfVYbLJZxN4QWBTb24E4CwV5aFCXu4H5ciGn
mwn3M0TbF58/V9ODO6F6jGIci78ZGeMPIQmj1RC5Re7ibyHUXQc8h6w/64pbZIwkh9HeMpoY6KbD
+b4jHimFrVgk9yrFWqmSpCCaZZu2R9sbn0bNYhqeQZmcDqqUOEarn+puPHT2QR4GF6jbwi/Ur3Yk
Cqdu7nqtPNVa+jgMyIw7accU15HaTxGRRE1t2QdkSXwn+HYCTV97sYR/q1rpkSLe9PpRJyqqzhhn
wXEK+f6gVt0UNZN5iKnkSSOEBCbwJU3yqjQ+qh58drNRA04CXUkPCny1Ds0K8IQRh2XAqlcTL6Ym
n/MiXpb1Ss9LFt70nOocy8eWOrDMhWYRuGmKg8kUtS+jVZPX1wQBfpQYCJyxQiUrvXnvLAUOqUDr
emdFDwprhIosALSEBdSpqryVke4UbL/apjr3rbcZC4N9sn5E73glEBo/EU2IRwYXGp1hpKRLXj31
oZZAvOfLJB3PSD8syTpNxriGo7fuupvCaLhilJx2J8OGQp9YDyk+Nd9gJlS+6eUnkQFIUJ4bxtvs
f53IaPFcrFWfCrgikzn+sKpjyQJpzKgr409TZqDDYx6M3k2HHuLRGEzJu5yz32k2jWgd8t7mAau5
1+aA1/AOPDEeWaQuWW9iTFfWTaKvmlhh7JLgkkd+rPAmLXvg9ss61VbzeDprkGsjCLcHEzPF1N1N
sX7qLOIQiDgxKSUYE2h7ZWLiqq4QBK+a9ppBf+/dVF/F+jnOTi06I8sVVb2BHQEJ9CSBGU11JqvD
SesHhxqOc+3EIt6V+Tr8EQYZIk/7nnScdVHcuEsZC/ZGNCzV6lWymFVkBXbdCZF9qVuLaSjvwiS8
l4M0ONcogkp8/wBUCFWwLwX6uXn7HmkrLKCyRsVqwNiCPIOabh1ngtTfmKnxIqw4upJdkr9pY3aQ
VX9tgKCxo5PukfNicnbV3nUqxrdIqih+TwlFUa2Xh9b23xQ0PRl+V8h4vMleudb1+lSq2XaQDSfh
RKgJoZCV5JxKH0keXCI9ftWzjolOPN0kVNw6qWsh7xbWNvwiQu8uKBI9EtxVhydvqcgp+quYPBCs
ne2baK3/wzb/XHxlP1ySt4+v+j9nnupHjvZ4TlH679//sv751/5X7rw1b7/7xSprwBJe269qvH3V
bcJ/+nNa6vw7/7f/8geGHHzK/Vh8/dd/vIGNhX5ZN1X40TCw+PnfbT//6z9mjxYqDv7ZX8xL+JyZ
dHqX4zp9SwvsXn/+Eb/MSIiSZPXODl6QBwlQ38LL9ct6Hnkq23lGJGQ7AhxnTf/rel6Gx4TYlaAo
xLAMQwCh/m1CIv8IpEOXbV1X+FR2+P/Kel78maqVQY0t6yqOM01T/8DU8KPAbyUP0nhlWfoGGe0y
IAZN8fVLjLQ6MYN+EZnKxkzkhx4xm0yZOlX6S0WAY1a/aGXH5eO1d6WCJR+DfP/CBnNkREDq0EMf
cB8WlhsRUNxU255ts+ltsyF7bgKWMBNMJ2OjzzntA3xm01rUKg1qIz2IFJV6ooGNYxQgp7h98/hi
sfFQ+/69jjhicDG1NgTGeRHAoIKVaGjBORCytc4Jqop9G+fjOLtF/SfCJteCNigJ1aWCgZhfNviq
Un90U+9q1xoBK43Tc0TZrb00wBH3xOdF4ba2P0yvw34Kq4c8JNBuhBtWjlp/0dJK1t2YbppR2yTZ
l0ULKQqNEUP2VgcsEfXMuHkBWA0ICJmwXT/9yLKe3EWkZ365o+kjzUo8RjqaqrRPNxrOtnBmprEn
TekY+NKFpF0UL2TJREq5T2Victnqq358sqsCALxYa8aZRTe1/A66Gmksb5WfrgrJPwkA2mmqrT3J
xs7iL0gxX08jhwWqqjkvG3vEvpI5z5ShOOVDuNeG+jRvryMp/fQmirVB0+lqbQgOQU1znBOIzZjB
Rj05j7nLluU9xq2Qr4DIctb9/UDopx1p/4dT5Bh+VHmdfze/PzR+Ogh+PVH+f541f6kJ+lv4weEr
5ARtvqo/OWl+FQKJH2XNAJlmq0I1Ue38Tj+vwGhBg4NonVcdgPKvJ42Cfp5TYR7ewm+bET1/P2lm
HpBs6LLKGNn6SSP0t8P3F1cy5/Y/ja5WTE66P9B7ZleqahgQgVSE/pyzv9XPh2gak07uZa5ambQg
ALFJ7C8IUl8i+N/4oloGcrfSzOKSD9PbmOLJJn60q7fTgH6RVandg/+W+wuHMqgK2hmKPJDgO7MX
p5KAFZxTaEelXcpK2pR1dnrClevKbVViWtCq5KhJIgLT84TKMXNUvXvImAiqzC4rMzpYMarPAZ5n
bQhoG7WDzC0hya5PHiTZe8SitZErnbnphJcJuk1Kpk8PHAyKWqbcTV6zT+Ojl88QhW2f+4vYlFgp
jhBNU94zdiXFl6q9aSnsHzj/GplNgkY4qJOXjjeWEgSpBA4UJhIeM5wZzMFm38sd2XqO2/sYnYv0
7LU0ppeSUlDVSmbU1MdRt5cpaT2sV20+fGiNdq79NdOtitY0bBsOYG2dEbPTB48WbUGuPCEib6GE
SFbhTHZ5r5s7Cd1oX216xXuUG+yBMcyCpBcwR49S8IKSbB1L6JgjxY1k5SwrWMsl+Y1Mz60mOVO6
V6vPov4OCdSlEo6y9qkp9GvTfuGl3CE2yYE/ZJYLS36jBD4DXxiqInXiMbgPp9ZbWgP0H6h5D5lB
QYWyWA1czyKPiOBPdZMFqB0PKlB53cZgkZJPCN82njJMqNPJUz94fkghYPJK3k/6pUauZW3UbE1k
T8Fy1ts01MOzZsA40BIuCJdyfC68LHZj773FwmUjTpqzY+vHNt/aVO1Wxzyu8Q5q09EosDVLPEdu
XL0ljFlm4xrD8LTlHgNsddJnKomvHzWze0SSURBsWDbVgzTiDlSTp6noVrJ2C/0POqZV2TwkmOjI
KqLH99yc5KG8Ip8KXQFn4LHQpDn37K401VVo2hedPWiscj9OZJ/h+Rw0Rgg4okw2r9BYVk1Vymh9
643syQdf2E92lzgNCbqWtsgzld6yXtS9dTDN7lk3GArOdJ8MF26S9MtCH10bVnYfj6s8t1ZNcRM2
lKf+u4Z1GITTOo9ZR+Tco98xY6qG0dgQQh9OGKmw4gbGk/nmUmV03eU4FAF4cO+QwYAlUXq3aJQK
dM6+zggVd6wZn4IJk+lqrBsCp1/jhN/WWt//Xuv9oiFVOIfnJdo/r03v8+r9bfz9JfG3/+qXclT9
USOBdBZ3ov3EUWj9Ct9Xf8TZpHLOq3AJEIj9BjpADClpVDLbOCFUcj44uX+tRrlsNN1CA6ly/0CT
+8Od8Fd3BNXrH+8IQyOfdK6KUd0YpvmHO8LQSYaK50hbU30cEYzXgkhjhd6YTGsqTrs07lJbvTdL
gMp9/6mYKPc5xaKCfEHkJYxHFjAEW7IFG5L7BixYgbBJRWysnNVPQdTWkNj49822gno9tdcp5zHv
4ZSk1sIw211h4h3RPFK1w9SdEs7dmK6PxYdvoZHThw1/el4aJyOEhakdpVKDzJluKYbWuvoKFAeI
Db5eVWJDVpnGQZDD3aCdj7N8V8hI7wicrljmixCX/8tP00GSv0gWlZgeFv56ht0rOMsHGzEbfGA0
G2lLfAkanvEJssDMIa691yl3BYJ57KF9+MoyEb0lwSr+BSB36oeogjonGq31YDK3q+32kEnesiY1
oB9rFmgz4/mg1p9dDVWrvM0iBg99ayB1C43LZ0IDY2SHniFdg6Td8F89tHZwvNxI5EfNu00VyDZL
XncZLKziecAEbdDLm5J0TwD105i85fIdVpJRZ4absX+YSCfqbcccbrH2GI+PVAiIMpLuFPnfpj4w
IBw4DL4kzozYW7cMx31hrWMz2+tMIYWVr5IAS5M7D3l6+8qjyLV7ncbIUcUm6mT8x/qCCWhSjcdR
TZaxzCWjeXvBXM6H2p/UIVSr6X6ijq11XOvT09T6LuF3TXhtSbs1pxyxCD/hAK2OEW/V3JUgO0m+
sdRyYP9ULSNDSaTHkfdYo1qjlFmWMqrEaVOGbzXflqZd98VpxFLrc8IlQJBTowk5hhnzlPrKUo3z
aBV7tUCLhtzl898H308Hn4nAQKY31UxaZCiSxHL85RkY8OaCYfntKfinH/HzgcjJposZtWLMDTA9
9xwU93N/Lv+ooFCY1Q0oKQC0cMb9WjWLH/mtFokk5HgBDrd+g2Ghrcd2CoVF1fia/0XXqaLN8vhf
mZdzGokyn+G0/JzWsKL+0J+XlTdGfWUgwhx5thYK5v1loLAt1wGjlW2JtztAbUu1EdfTh+gDy+kH
7zCN+U/je2I1WW5B4w0PsSkzUpumSxL3rP2iLyNHADhqAUSSOqEcV1hHh9/wtwpDecVF/UTEyLrw
xd3IqFrNoq2NvLZVrNsYd1jfMHOr1rYimqorGIOTI9pl3lJOQ0d01kMyMxILC3pLfGF2e8lU81AZ
b8UMS4hbcrVkN86tTVE2J8N4kNr2wZLYyJIi2va3CX983N0pmJKy/pGGx6kYB8ZUWpXhTtV9yMCs
if19YHMmfttec85plJOJ8C1FXPiSNl5xIjJ0U09sWgzV2KlcFgkRA03+2pb6plb/h73zWI4c27Ls
v/TcyyAcatATSNeacgIjGQxorfH1tcCsei+z+1WZ5bDbyiKTQTqdDHc4/OLcc/Ze+yXUSMSgJBMw
r0O3oGgLrfU6u9brj1l+ylrDnOnsKQffR4ydHlEuHMv+Ey4aZEQcniTXisfRuLTw4EOkAxrwYHxR
mS97FfGPI6b20AAGSthmrNMuz9PXFZNlA6loU/JAY3qAQO4asX4MFWLhLruGo0zjoEg+25IOc7bK
Suz9dfeUDeMJfctVIqnagFVXlslRZlktGrJ9FekciKOd8GR7Nh2rtiSbKX9Wya5el94wXLpIgkd6
bQsMmY0vE6uBT2pQmB9Xh6qt9kIZu75Gs2BW03eGQAR+mlnUIMbGlAaBHnMiat60ZJosLLHAsjP2
7SaQJktCKRCEuNqI1sz1h6AAKBsZsqaYdVmPw0o0NZWOPGLtsuPUq/eV1nkBx3vWErcnM6VpOQOo
VTuCARJe85xXjYnnwgLBoHQZEskROk60NUQL5rfeSngu2ARGWAIGon6n4DtV5a80vCIQ78IR6Ju+
WBKYN6wZL0Icav3ie4UHjZlhVPxw7GIwkiLlqsxFLqRxxG8rH2AKj7GxRMKm27RgL6JWK+OOvzGz
Y5BETiFGC0ij/BoKNoPJuNOhw5JO159mqb/JQv2QCqgViExMCdMkbKBEgkoIN1Sr0fYWWmpPBpjl
v7/m/z/X9vgpSP/btscLvQ70aP8ySeo/f/o/ylnapCzCZElRn8p0L7U/KdBYopGRLU0PiYDARUv2
1+Vb1hCEKVxbZH7pPwvapWELrlgAqKYJokgF+jcK2n+FLBZ/rgOGrCrKmj7L/9H0wIBdpQVqnzYC
WDMQZtwMHeIL2DEGNcdopLyNNTbeeXhkAPIdgKJa6WzOy1IjY5umBZKMPKu2eTIdCgD5ZM+nl64A
4kFcUgPmTZOQPpcoM9nSif58nlef6cgUHOFlIJQPnUiGjPzgqDvlQnDMlZd5bC1ZKX5LnWTLifpY
M0uUA/2KiYxwpO81uBj6E9pC01hntpqFuxkOcIqKOUN8MJ6y/neWfrdA/qSZQeObItFgnOm5Jg9/
mKm9EOgSt7oCOljia9EJUyxZ5IbKIRWTLsQxQ4Jfx4t16qxIjGVmcP1NfdDDc87aFNR3SWp2+A2l
FEIRahh9ULcti3c5bIZYRAueWk1rGcF8iPR42+a4VFqnkPCdCyqLvZVUdyQJ0bojFg+XKKDZ6t3w
wU2puywkk3fl5eV7LWwM1spweEwM3oLBKeP1rafrOUJiHn5nfQV3USc7OLfr1QP921FvgVgN14ki
Njj5musHF1k+hYR4tlKMQoMZe/I6L+ISGPaLdqPC5JB+KllgtRxUzP0Ci2lc3Ev/hQHWnPHsUQ2H
X+L48OmQiOtdRIdq1bwvwnSRqRzB5pCsK+KdyCPWh6eigkof3UL6W+zTGPVcyRIz6wblf7NRKlpV
OL6g3CTIVwgrioSbxtGmf7CMoBs8OnFDlki/kzEqiNGzRhdCW+HU0Pb4M8BrJa7m/05HCQTQNQBv
pia8jAFDzNTySTjUxmgyfY3MxGzYR3042xKROVaMIPkQ9uW5nqlSYDqWBquwkGBDjvOHr6+8JkVx
THdgdV1R6xP4uV6v7SJQvVqBubIawMorBRcBcl8aPXiPp/whipjk0FkHKWqHNn1mDqjyhOlu5Ghu
mGCZ1TR/SAgm585TovkwZu2jrsgy71ZWTVa83pA5Up+XRRh5tT0SB5jX75XQ4sWt6ZbNu15uLN68
HAC44hfmcY4vMfuMbVAS5iDNizB8O0ekX84fhdofFdy0efSrFw/1TPoYOORumxGxlURkGaF9lJFj
ES0uVfsJR+LY3HuRsd56E2CdGXo7Ep/G+aLBlptONaYJOH8uzS0sQRQBUItk5tTKLVcrvNf5uVHW
52KUXoSKYYKkV7wL6Ov4XfCiEpuTIA3pvsVMISPW7tlZxaSLdZ2AZfp1WAvbMRLAZz2vG5Yb4xdA
PY9D4hrdqWpJUcTygaV86rZ5oS2kCwm5lpGhdmOnPM/1jnDKw5yR1sBFe4CiLemHoHFU3dWSexm8
VbxWYbnTiCbVlYuMNEePT/36tU0eMYaihZFJsQH3LfF6Qb5pODorvAAMljk26skgUFyUqu921e9J
l++sBjJVWVQ/hqgV+tToKwWGSrBpZGVQbAdc8shMnF5ItiuNgNQO1xx86tjr2EkFCEFDBGsgVJMF
pQzeWtjgHDFV3kACTb0ITBMyAEZNNq+HJwzHNpY3CWel4tdW0q13a4xlhXpdZyqLF720DMDCmEkk
U3SgJHBbl1H4KsvRl4FDzE/sum7pefJWDDlO/tRpqNoxIurRUZYNVGirVyLnt8GEzBEbajJgeQpq
BbQUBbIWPEtzfaJLb+WZwpskcpe8q8L0yvXRT3c1lnq9Y97fLiA84aMqnX5e2XTv36TiFNTf8UTW
XUe4nip/ABp147TqnYoE7VUk3Qh1sNMUm8BYQT2os9V7UUyoU7Dm4ojsMc7naDnhVaGThY+3MWDu
JfmTEdLmaINPHqqz1qmt0mYfABMQtOHcCNLXIMW9U2Swf42GjKdqdQhSBArimN1STDeKD8lRx2I7
4SVXMVHpw2ujGNjwD0MvvUSqaIK5UTC8xk3ymSdsJwRaCOst9DxH9bWvIeuPc6f+cGrNqih+V1K1
9SXw0Dh/ho7qUaC/HdaXboo3lTF6fii8x7KPhpTWc+eHe71rP1I1tYXEh9uG7iMXz0VakSEW9PbE
dmdus/2YVpsiQp0RTp7WlG/r/lwjFOKFuxe6/l7TDl1L+VZdbQtg4nMSvOggAE3M1Ui4um+dSDow
G8vvYztUtCkQnCb4yAC9a9ihWvk6+7G3XkfvU8M9y5qlQCBsWH0o8Nb0JS0lGBpQFwSqteAhYukq
aBArYAkMvnAjd4bdyvSxwgtK52j6NSM7sfJhbYqcQCW6CVKcDn2sohZgjIGpt5Aqs0nWtw5uSZaD
DUw4y/RR/+5J7CIaMrwXk5vGOq6uCUVezHGM5k9hpZ2bLnpuV+FR4epEGBdoCI2kEjNNCOgVgk2P
/CLNor3aviznX3DO5uGokhgrxAz58B1ViadyNlegb9atf+0mxCSj4e/HTucyQhDfwCIsYXkuVqtd
xbxRrJ5iX9sNobIplBkHNKbCXFeOLSekxnV/LcTnIfO3rDw3Q1296NnTJJed2ayuaqpAQGgvQwtq
LXsqGEXC44Msh7H8sOozhkae0V/r8J76GovqbKt6+Dbp20rcx822VY4dBJQO8W9B1BkiccA9OjwE
/LA2bvGtRiTKCimsmk6HekDDHELWlEsyX4DptSmbVLzVjHXJdluMjowTCgIYnSKdPWl25+Ary64T
AZzIdtwO/T9Bpcw6rJlZg/y7mfNNrR6W8C9/Zprd24lhFsU1qZDqYyprwwR+RccpNcGa0JyYPeka
+AprxSZK5MPIS7vUUdQF9iq89OG2VEJ3WRFJs5n96DmWEaWxkASxsUMcyXlRYwPV6A+qmw4pbIHJ
Ev/jutTMjoRutnQHA1dRBwZaD9ypbfdc3rNqFxGuPEa7aAqJ3LPFkBA8REJRfhrAEtGPRCgOSKlS
J1qsgj1VDyE1bGXdej7t0Q6blxav7TquHAPZZLiwkoLmUlFtKYHKZpAgsCrVuJAgcqmG37FfOY1G
9DAhom1n//1d0f+nI+Nl9yP9twji2/fHksX75+6XKPznj/1z0yRhZQQbo6IiIeVlUZf8Q5MikO3C
pokgF5Fm2GLNIQ+lDf/3/1JobBmMjjWaXmxlllb/P6YAfIuZAkIVTWOuq2h/awogqTL0iT81vXRJ
hOmGIIamBv4jgmN4zn8eFVcpJYuYY9hTj2Jgd1zLXokVQk1GxbpW7T1JH4iMTbtdvaPnaHxnDG7Q
yLRqq4wuyEdmqyyFGFQxLNjDbrDQf21r+/hs28e9bdv7/evy8XVPe92ZLD6ZAXf91o/vw621uXa+
bpX7lNqifk7Yuokgynf8utUdIzz3Q56fyk7aeOwVCgBIw4AAcN9GH3PoZKfVfFrP720umH1yKJJt
VD+PpFxt1OSuK6+DcUJGDekoYi9EDyX/3UhcfQ8kBYuyVc2bVXmteEMXFwSKVe6oANsxQhyTkzo5
ErgB4C3qbYmftzFQWr633mmGGQnoUrHTOUS0YkGk2BlTFwsJap10y/yQnpFNvIC6MrftnUmpwLo7
71cIPgbmeub6GYbbMnYOnfxXsiENwnDOEi36EDwrcSgul9q3wUOZnLe0ty9c7XEyQ2/4ULye4QN+
XbMwIIBaAlduY6fasR2QLy9YmnwswudSv63619QIcYVb9Tb9pbgV+huwSDykHu8Oyck7Etghl7vx
r37LY+svFHC5YLvQ2dD47yKnql1CEph1BB+fMA7EC04f+VfPuIcWy0bcrsI9CLgFwQNK8m1c0q64
EGGGbU2KOqq4S7VXT8EiEnenfCvHNiOPp+pTXu4rQb1AV947+om8DLu0Si/Q3pG2zraR35JFlmTz
JB7yhQkPrxPHFTKD6In6dqlT5Wt7qGs+rL7yh/p7IpZeIJx1Z67MGwdttX8vmUSYSO3N0MZV/bQK
TNMMHB6dFbqhvS08/nLHTWgHTuhyMnJv7rg1H9vvw3KH5Z43VOcmfARzW1jL1+OmsLiFCS1f8ok7
Lnfid/GD3KWwABGY/OTyl7v8bGE9tssXj+328XPTduvO5jb++XCm4t/x1dblbhU/m7qPR2y7lfUQ
N9zOJ+L+gR7pyNXuuvwNFvj62D7InLjeovfYRr/PPwNOyeI2oEc8gsr6+ZrHxsM1I3M7mjNPYHlo
JuGcRz7hy+W4ECLvBcEW9yjOIz7yPf3n+PBNhwu/Ne79t4wfGPccJnd16z/1GMeMtc08/9Lv/a3P
v0h8hd1zFEN7NH2bu3Ek8QLbzNW5bfnYb/74qHP/xMNLztfhcg8e38pha3Qi4Garcz+Mrdxj5XAP
bjFuK0ffLp8RUbxhb8NjNhAIuwRjsPtDt0EXIDpu24120m7BEx9P5Yv/a32R3pRb+dJuvv3Hd7sx
HODXy3ce/iN/Wf5WbtLl9l3v85/bhDfhbavzLWz0e+ZFN/+AVtbqTf61xFr+N8Ho/nwCn+nnxt70
/rjh+/LHtwyr3P9xS7s8xp+7l3t+jiQoyMNYtw96ZwIY335NvJNOvXkbUlaJo/cOyT1fW+Fb+YBm
Vx/AgNmyG+yDmI2ZrXKNt9LPmQRCmUxTSK5eieTkotrqLxrTKfYDBvzSvff3jAn9yUpuIcoY9MW2
UDjyHUTieOcwiRGqFhR3dJlMgif4zTqrvG3AZBPtILkv0bNgbVbXob7RA6vl0zAeNLrllTcUqNit
JbRlcjEODeEOkIySvZX5GV1HD11BVsnxKc3sfcJqhZNvH1FD79EG9feUXXNznPfBjpNpy/y1Wzsk
lpMmCJnnt7hyQ+McG+ch/6VDC2TzkWgUKQfIYRW98G/XfHBWHulQuNV3FFixu+V2ItaD67wZP4tv
bHYouXlbX6N33gif8kG13DOH71NzwV47ocVy5rosnq77cB9xZyqbPjc7L3dT2/003eHJbY7dkbu4
kVm67tbNdp/yZutGu3Nhubxtef8GZvvKNSmjGMPEyJcuUO/h2HfA4JPd8gbkDb1Pz0geYzuhm1/y
1l1uXpaA//yzvBHN27IYLYvGsoBQum+32THzbvjI+LPdLu/WlcOHb5Ys68Zt3/2e8tcdnNfXd91T
Pd2rD4IFnAwDIPj/c75taGoW7CAtStaQd5voCCtOvINIU/0rPpFI5Oimx6+LjirgHcD7+Y2s77l0
1vhtRX5sHxRW8o0ucsHNEZJtK/eYx8AxBvlDPACiJWE56GK543gvh5wl4xreV6fHMTBvpk9BT5mt
Hbl6wNtLrPAecuaXPBFR2UXYRc6YcvGBbLNLdClftq7JM92a3y9ExZtvbyUPl/9kDzNQ7RhH/lLv
yQGVI7YBzwqfG3t9rtZOeUzO8Xu4+y281E9X46gG9oFNCptOzHdI/uEmmp3LhaR2sFGYkSV6y89q
R/n6YorXAxQPB2zNBSUcwKT4o3U2RKBxYjM5soNr5iVbxww/hlfVXB3VMzfPphtzXoismPKe5p/H
Mh2YqX04eIfl16JYtQlnsxq7ODimbiq7ze+dfQfBuEtcYVN65VHYR+dpH7nEltiAHOz8lt+aLQZj
R/9avzYHXp7eKU0ghIeT4LIf3FK9cAC+wC9e6TQcegcgCFf8GtvF73Jy1Dt2KLv83bndq04D8Qio
iy4cz47wSVoR9G9n5fjY3iLPJKWB68X2EZhcWH6uFDwjmWQywXzctj9XKPexdTntTZY0lVfF+/5W
7cvlu+UFURxuvVy+vjwzNb80i/03h3VtvqTmBYec/cLHg+ldXkzT4/XkjSJebWuzsSz7vrGWP5bl
WKZzcDwnNw8H5/BS1bZjmg43mHxpmpYJytRcbmK1fe/c1Hzh1sb+cnjOfH7IOQFia4+214L5LXGN
tstd6vTeBd/l8eKY9TV4ZUN/p1H6iXs3NC0rv+ov+sva5IoBe9S8fH0HnnjyPO9Gxtb+e7p8I2Lb
mOMOaghBExYDRlN5X54dp5Lj0dI2xR1qa05OzTNf3m6jdY+2B0/0Sqd4Neer4rxUdvEaHQCjhebX
yOWVlNz7eGNhD0z9kX4agmU4618AvMq9CNuTU/yoXwCn1FyW6g3cM6d05HdYKHzAPwy91opfxJN6
YJM8WTysDPvioVX2UWibgzvuZg/C1AZrh2EF3yUqb3WH+HFLz0F3YhgVBNHWm9EagR5RKYbMbuFF
HX39XKifNITC6ZxNXoNrPUZTp08X0QPNpahWtleYnKE2jlBiG5uhYva6ZxagGR+5eM9LQh0i5oTj
RrwuZ3l1WHnAlcqTIj98CgOnBBtD8Cm36CY6brtI3mmCPK/eOUO/8D374wmlpcZewk1iu80A3Ujn
vLxL22pgNGPON+GX8cH5vnIJnjLjo4/XHu/HrwEf/6XGZQLB3YVvFYKIoWLRLxhjNobFsIWXo3pt
3MgKX1jWeCNDxzFuxntgfdD/MYvD6j03Pz5KC4acb+NX5pWQuIy+jKXHaJOqs4AsadNtM7s7Qrow
dVKSBJJzndAHd5A/DqSW6XewMKrmVWQ/MJOkJcXJ9gUJrWOPAXLYJOn8PmhbUKey4KTZVi7v+FCL
Vy3b+O1RwaG9vgwDRfBzESVmJN9ZnwN0jeJ+EPdT7+QlIQ72UD6VynEGa1LEF7Yy60u3MjlXXiDv
0aCo5Y1BBrJmJqRdzRySfMNJ1U63NDpjmwNKTfFEnsRNfev3cbFpSFMvDvx2SXNUxeK/cTz0uluF
dkUZAGKmaCGo0Wk6BeTQi54vYtbFu2/KRL6hxbeUHQT/3eQ2ndVzAFEbzces3eQKihoLZvs5fyYh
7pI0G/QMcFcgtk6f9/pEsxVr/X14BXwU+TgtbcRlwiaNjtNyfWo3Reg4wa8O6hnbPVu60Zmy2mOB
fIsLJi0jCh/W1NBNCJ47lrUb0+yVRpe3xabDR0plI9k95XJl4dPtU49PWgD8mcM1SMArR3u/OqY4
ddecFJwkitv/JsYhSB4AxkTlUtaMcHQJwyMmCfnexpdoOigDDsboq8GpGKffur5rGSDAWiNdUIf3
e824M6clLW+yCQRvurZf45fa3BbgfnGqoCbpzA30Wja7BvI/qJlmp7X8LlIhz7jXDYH4BReXAwUW
57mlFW6nso2KvUHxkCys06NCca0dJHWXfmu8AS73yK69xIXh7ELJCPdxvpuPuPo3+TtBMkdclHv/
Fj/Rbmfm9JnKLzppAI28Ia6LVml0r2j23rr9sAl3WOgsZo9W9mgjK7nkpxZbnG9+7PvRzebE5bjm
V6HaccfE3mRcQy0rNDc/X1obSJLmfcfX9x1LOp/fQ27hhp9v8NlmF9ns0K/4UvlGYlvLHe93mpo7
GHlrigdW0mGDe42+AeMQU/BNmmT9lWmlmNgj/tuvxQ1KWMleZ4BpNR1BPWBzEC7Tw/U60TIO9Lmy
0Cq/YoOC01EiO42gVTpdc/IJeO02seYQWSOdpON41sHvQDHHX+wye4EdRVZXZ+oOwUF2xF6TiOfA
Wnka7fotmXmWZmt2aZOMyp9Mt9SncEXs30lGaeES++wI1mjjNge8ZE7WZMnm869r6CxPP7CgP7bm
MlIg5zyz80O8TQ+Ct9qvj/VrzM/k25A3as92i6XHCj3M+SaTwdCZHn1jTiyZgJzN8Fk6Ez1hkVRn
vjHFMu9k2FkIteET2UhxOlN1Shv2kDftjtT5Rsf4kLIltGeKW2YBbCY0k+wNk+mhg5jbIUNqHzrS
BuLDS7PhzUnOrTlYwg6bNScgg2xLv/G/U/An3OJKT9DoQTTkdDfnt+tenr0B/Q92Novn9fNolC0g
qvzdP+lLo8HuGB7JZPl59BVXtC8Hzk2oH9XZQAfOwRPPA4ElR+WZ91B4TG/Wdb8+ZS+arWyr/fW6
Z8rJkk9T4Khc7CuxsHwFWd0y7Ouv62Zjb/ybzp5v++vK189cHHjM0LQOk6fwVFGg8DzSjXhcTsHl
zCM49EV6Sd/jd2pAuudUtN9AV6T1FpEnX3FZlBAD2dJn/B5fPc1rrU1i02ChpXoRvzFxwywXuJgy
JLXy3BKYM3IwAf5qbg7K8GY8mo34ytLv9PYruRr8ee0c45xuk4+Gp2UgzDa1M1JXWvKcS/Pdrt3n
58T0vytOG81D6tMnrkrmyjktHvTE+I/f8fNfvOVTGr8//7/ar5OVmYBXbLgGo2sf6aTZyTPj3z33
piOSPE8Yc38vXW5Geo5iLrfzm544kJvn6/4aW093Gdl8ZQLWAg9GMk8NGc9MVRN2OGwLZgvb4FE+
rzhtBltwxd+jE1x0E67fbrmYv5nWwXEowfgBAm5JsbTq1QYaOy8KvZvBHMxfm/v1ft/Fu9DBf8ty
VJDCxzTM9CUHHEixJdj+nLKts9YvCZhqANJEDLKJeIemz3T6Gu/Ep9yheLmX7/3T+KS/JOfoHmi7
zfUInNTc7xGLmTovPDEIG47k9fl5rzr7kpbiH2f75AlXySMPxg0P5GWZk/csm/bz3tgIJxvtMEW+
Vzi1i4ZsIx07a893OXNiq9hUjj125mt4ABu+q5zVvrf7N5y58321J5Zyh1FutS2Pxbm5F2fsHkzy
8slm/Yq+9D3vjTl12ivC2v/pp/8oS/+jMY5087+W1L8UCe10jJ7/oqPOD/6jo66Row6DmU62iLOI
Lv2fO+riQrsiuwQd6hqrzJ876gpx5sIfeCyR8L4/d9Rl/J2qsTTA5UUS/3dkSLLKb/q/GuraQnRe
Eymo0Kz/a0O9yDGIpDJXtjVn//w+Zf1+anW7Xv+eRkeokSknL40GgkGd3nWdEU4uOFqW+26f6PTj
qrOoBr4nxrHNPI7NWD9S/GNZ7kX9xKwAamSv7uteZZrVX1JWAkL7kLSHsHWkTSAEOIA+hEQ8q63h
pQNxn0N21bmahtXqbZTnPfQRR872hV5/xTEO5QHHaVf+Ugk83iLTp5BIqXj6MqPJ3Gi0hoWbOKnm
LGubqSjgmr639NPrgV0GRi+/r7xspe0T49UHr1ol0r4u6ueeOpSnqkebiuj0Pn/qZJoS6lM9XRGZ
WXG1GQNYku0d9Xi4QBpzt5PE96D5WGUS5qVDIDPD6vXzzAzTz8JDPImvmt7Zct28NjK2mFBc3ZQ1
bvZRIEwMPj/lk5L41ljC95eZIdai0/b5x6rMLMakayE/Sg2jdAbCOOFxnaHwz7rUi6Lh0IzFCxR7
aJ/SRl8le1WKdqgxnWLs39JBs8ZmOPV+4qYdJSZYBXzcyrCt1h+VGNIjUHNvLgWsPCKmOK7YQkoM
WfzRqOcV+1JdolwKICMV5I5RfMiMiiF/mFkWvvg1SxHqmYVRpeNqT8XNSqocoWzoVEXxZaU3l7IH
Ey0lgRUSJRqLghdR/EYJNKaCRWtUPXHUIaTWz5o07WQNOKCieU2w3kkNay+kfgbyh8J/Qu/gBMl0
KgqK9sDfKElrBxqtOnS2MQQC+Fu2j9zYGZX51OhYCfIQciwuWCgqgxagQcsEiC/DJlmPCwOSEjjr
LyuaisNPDm/gtm28F9P5ORNWGx1wRKl1qDfguigo9JlIJCE6YGiPmfqk+J3rZ+OxiYyDrr4HaX3J
deFVRkkW9CHGxZATSH7VJVpmwldbRZjEVmYzxa8lI2BeYbbDgm1gRZTQlUkZhHB925ArvRYaa5Lg
VBbE+1RrUorvQRceRsyKAp2vjFSTTCSgPPLvglBuhP6QULnoTLixbruKxmBJdUeSRXSUO7TRJ3TV
HbSxwM051rXxS0bpMxrPbTqdh3Ledh3MB8GWKzamaJEmwVYAd7ffyZI8nU+gh/xn2Ewv4iIsmheJ
EYHALzWaI5IDzhkaJK29rVEkceIdppotjLypoHc06Jbq4qTWXltcYvGpR1OCgjFYbzSwHENzj8jB
k0KSwak7xN2avjjveidFJUVEBCp0s1kfYg5npL+PEolCObgKURIfjda/1yJxL+nkU3BFkl0SPBLS
tFPycyKcGrk85evKLuGIlqxCohRaYO6Y+K1+i/F3BvN1Ht50ITg0M0w/7HQIq7HlzbdYmd0MPd2Q
h1tQf82kvg5AtXGfX1Yd2XwM29dvBlQenB/+fEoEjIjNwkradM1eSF+7Irsls/CaoRnGReOF8vfK
YC0BO6PPsqeK10TxCaBY0slAcIkkywOPZygohxodbPF/ptvtn6/G/62544UUsaaof3ISjh/Rr+88
ZN79Ly7N/JZ/XJoVSeLCB4dSI85Al9b/vDQL/4Yd2cD8QfoufjNNV/jeP6fdisYVU0W4K8gK7ou/
XJt1fqcmrTk1hSVv+W9IhP+49v7T4fHHsHuNjhlDCVkMAB/+em1uKmNKhxZbcB5mnw0rUU/wRqTE
1tgzkGhnb6Q3EgB7G4njqSL5UfO2m2c8mkJJmsvv2OAq1uzZX4/xwg9h+vtp+C/59KUJD2HYQnin
+10c1isCY4Ftka6NiL+k1QTVelkkVADDa3j+ybVb3TP+4d5n1McCBMfdnuTWlcXCVnOrKttnP89I
v10Zp1rCZ7zG0TmDFMApPIB+5qJJ+BHpANi5ZihxE/PanrnASM5JI8yL5W2+ZGSVMJeVzlLpznj3
2tWbQITCkrwVO3m3CUo2HVPtacx1MlxUw1C6HTvwnpDxpIu3UfUsyHetmecfJllRVOexP3II6VrU
E4Pq4VArv+NO8kop2RYopeuVRIrsM0kZ2Ofe+/BDU8FeDWgCCiqXkUudDLq2xVYsBm4PRA13LPSf
F2RAp4B2y7qzahhmfsvUveyvSkmYYpow/9F8fWekiacLDHdC/32YUh3wneEN/vOoNJ3tZ/zz6xkX
Da+BqLE97NeWondfxpoANqMkpl6QL+sJowCHe0oLt1fxMCOVDlbNmWB4U5CLM02nWnlkdNtqILxC
fe3G51pjZ5obO7IO8wi5UVlt/ExwVj7kXUBO1cA0RWSuniqDp2QtlYXgGgP/aEgqGemG17Keac77
YD1DnUl6hSGb5sD8xZ3e8i4HCBwwACnstuDE7KGmFepJb885T3slhpwW3UuKKnSoV55qkHtL2FWg
0srVFEdqtacKoQR+y1NcCDd1qjZ5HZ674lMJjQNIOjeoCLsouss4i+zhdUZVnTUJ+Ebm95Bg57pb
/ZrgTayL6qA17d6Iql9xrTsCHNO+l4+SWl3UBSI5KcG5DMer0OWPWG9vsoo0IcaQmY+3GU7yOk1O
WheekqIDHSQ4RTfShNaduSy3qtSd6nZ4XwkolUn1PldyvJHRfQNsaeiAqyf4UIiQmc8oysy8T7AU
6q5QJ2OAjDSa106EL0VIczssGVwNK8co01OGuLqeoN4byYdaCM4ao/NA/deWiEMTZddiwdZW0641
5FNAvUiMYLaRqCBl9uERFWWmR4eJChMX1XkloTNPSE2Q4It9dOn8jq89oDYVoGy1d8Se+ME3YQgP
aLqq+XNPRTvkT5MBXwz6wBL6TCagXzxHg7D/qcGQYVAZG1TIFe+Cioq5oXLWqveROnqinhaoq8cE
WmmrXGoqIfBsS2dyKcKVpRxXqcsjA+EydXpOva71+3L1uc4/F0RDNulLU93VIKkR/nQJuMZSqMLh
lxGCchRCud41cXWjYP2FJWER+4XQDEqDAzrQ+AjLNeTZtZNM7WaaGDzAHA847vN5nWQABSmg427c
devsLMKiGsilzpP+1FFct5Lxe03x6syL+WkRykkLzC1XhYcSZ58sOXBdWiKZlGM1AQbLjNxlP0cf
RxAIpZlqylyGEfWyOSB7nHFbN2e2IA+VpSTlcUjlndJNC9H1MGTJJiVarp6+I7IRZZ1CdBUzoZvG
dh8rwBv0iWJH1wFoBUN4qA3kSEV3rFnwTH81UUj35X0t+W9iodKYOs4RBDtSaXP88tGrHJHpGy9G
/3UknqKM2MI0PRZR8SuIBi/Oi21Lbx9Mxa5oXnQQPGa5BsoiPHpD3w5UotHgKpRqRJcdhDjZAj74
n57An6sQ9Gj/dU/gnhZdEP6LqoOf+kfVQUEhEFiKIUgRF4YK5cN/SOyEf4OAIpJKCufakCC26H/t
CMi0EvAx/aGj+0tHgGBUjPFrWRQVCVPR36k6sEf91Vi6lB36UsGIwF0MAZHd0jL4ExlbHPxQw+vH
lZohC+OU10Szu9qNBpRb9Pex7Znil38dnrv039k7j93qsSxLv0qh5wzQm0FP6K638poQcj+993z6
+hjpIrMrC4hhdxdSqQAipKtryHPO3vtba9k3pOgehir8n9ur3x4a+tD62g9zDz39K9PjO9Hwh7V5
i/DepZW1Nh1z/q0dnIIT3eBLiNCTCT5JbAwm7ApnDea3R/kX5lDC12BuySAMio3+S4Z7i535ebF2
+b0+j7T7rjUCSHs5cubObI1ypAWsyhjXVzauxfXAJvEIkDw+i7kLGpwTBnRCjwlhRu4vv5IjuZbd
PtsO80FqTpJPcH15npqTn1yRLBlsdT2CBlwiD5W1aQVP1Q/18h4ar1RauoepgE2bFQvuLRyGYY97
ilyXmapd248rT8WKv80OP/fHHQ6rd/q8j/yHFeLKnS9W/Q174uVr84Oprv/+Xj7Xth9BW+kOLMKm
fV7bL7bMU/48ZTsT3yVYER5Wf0vcR+UY0UO/vZf2IaXrnp2Kp9uzZsMGru/u80Fw88vD9+sBQTzv
2a/Ze48c7G1Wzsn+gkpjZA4OBSNBUz4nip5fWi4t/eL6PLnivvuygCuynXXB2tvX+ANHEWKw9yB4
d5fL7y9O330t5+SzhmRpeaL5R/aobzp3bW3irSfeDwwpbHlv0fRvrti7Yibn1M+Ue7byOPjBSd0z
h3yrQcukQ/4jeMYdZwUbQ9eN+Ev7wsvH4DffteM6NVjHGY0LvJ8fwhdrC/jJO0M3lRmMYWMzQ0M1
t5NHmhYMcR9yyJ2NemIwZ58W5Yi3dHzOdpOvMDfgw7HsT4IvQSWY7bjqbZ1IvCObaskcsN/V7KOz
iHo9tsImYtJv2FL02IYoPG+DTH463YDuaZx2L40Hf70BMGDsq31it1BZL2P+luQeimfDU932a8Ty
D5WXOZ3b/C0P7wSKysNDrX0uzV02T3L2hmkPwU3Tvpz8YIcR5TB9psbzaOmkNUJjEeJUjQ4OjTKa
3wQPZmtfzVuTrRLvityR5bc0f4DuVOJ7Shpis4ujE1Ls+zQ48gpUmpo/e6/6LXDtFHlBeMbSW0aD
RMZHTV7TJmo88niDLeGE2uAK4nlqb7Pu552vEe5h7UT0QOE5PC98GK/iM2xpRzYoaqoLvqKWT2cF
J22yUKpLuZKLYUoM0gp3lKpree0IBGCBolWHzmPs/jXYp5NPoJgL9LKxmC191ox8O6f+iudrbF6i
hgHTJ+AZlLuRbZQb0SwBbjBMzyeSyz+l5Y3+mVL7VbLPxA3AOXY3sBO4IuOtbEd3BbEhwmvIl/CQ
vOk/UbL9FOFtmtpGR73P4p0ZvVfNncNLzUMzZb7y4S7WgUm7oJxEigzAqAQ3mpUo0SNm2xsLU2P1
avYeCS4kYqA/xyEHqKWyr9p016D+sb/nyEy/ixesWZx9fF1+0PfEci1A+y75VSHG6Po3KKb1Ok5P
CsFOdgrSSBytE2BszXBeaF+19jUZyI2M7mGNqMtlYUp8a2IAzyGUAZabvPyF+mu2AAIwS14G5IWv
FQHmB1FdGV7hHlVu+ZPiEv7U/5Tv4xOfkIF9Hlk7y8Z6STqHSF2kYS3Kzq10yB7idwBJd/qUR/hG
yCwYg0rytPM9fjK4/dCN54B4No/INBpLZm/BX3ltZq1ItYIGhIlE8TU1Hm8Mwgnue1PdTxdOZe/V
q2o4+mkkhWANdfIayZWslQZD0XklseYYGIe+9KhrKxHEdS5PMAmtrR+jz1ZzskN3gEaYWEF27Vv/
1OMoyxjoNKmnBGujl+DIdObF8NBRcN21e4npc/vD3VptaXuOQBbQlLnb9ceFZAfM7KrLUn/XhJRo
niJvGq6G6BbYtYVfFMIJD9dMgraklqgrx8RP/Zv2VQR6yllWxxrcUVQ794XnuHiKR+LuM/w8n4Cb
+eP0hMQDjv10al/RflxUmIN4l+6mX+ZXdjY5f0JFXJuR0eMlgzFR9LfxqnF3W8xid+gyEu2YR09j
7KjOhjxrzpe6CxBI51kccUe17rWwy61f0/xpEoC9ulzpNwCbOSaBDjbiuzSOLf33ZY8DxCTSiCet
0yYsjgsnlBg/764gIEfQjwj7++JcO6Psl9q5gKSGE3yVYc3EX1niG9ZNm7dQNP1IpgPQUE2tGJWv
abunVRlsh8rNN8not2w8dGMHbnD7hzyse0+UTWtHGAReKPZXC2PJ7aedZgBGrPh3NjubufEUX/jg
VwAncqxzNCfSDjw//TEeCP7xLE8nnMDWr5YjXsVrQtQpcWAG4bFeZ9iwS6bi4mLT0A/ACU3eCgwi
aPAfy1fopuFQu/IDVUHQwNoY72AgATPad3A75FXZr7rdp+PBeLee4iN77k7liPAi7+Rd9DLspTMb
MQSoT5N38jH7Bf6Mk/cOW/njtdjilPBmFW6Ac/kjWXgyVzkQl7HJx4cmB5hgquwhhMUxw30jSQ3j
ZhJqYo8kiFJ1Brz8i83IfZN7Banthiul28nGaSvFFNO/ahuzeMv0QzZ85N1exqrGDPa8vnSPIU9+
BOU6CPf8Np60A2gAtpGPE813RtiCraPBs6238VKGaCA3hkF7hoxLj3QBcCrmLwjQBCItyQoytpiR
R84LXE8XOOO3RPuX89IzsWporEfRJ1SI4IPOiWb2Sz+rkebQ9nE70orgueGL7MYGxXnkQ7MBkDzy
1De0ybvGib9wA2I6+ovIhulMW4BvmHWf0+U5iF5EyRNvTfKsZpvG/KFGWqUDL5C1TOWbieaGPSIn
cBLYj8zTO3vC2aly49fKQdHIQcKeThYd0w+a3B/YouGSjMqr+f3Zj4/ltxzYMaCEsPngie0fIBn3
zT7aFud9DZ/kThvj2E0b0XL3tb9aMHBUfJaU/bR4qxMPMN3ioAl8Biv3ZXASlOVfySlzzvlV9jdc
xg57CYaAY0+7BcG7U1qcJRWbhog0u8J45AoFiGsTWCibDUFtEGXak/YY5E7PxHUnWN9i9dAmjip6
yL1K/DLU8eiSzKw5I2GUTWQL8il1ihfQ64WYxNxBNr1Z/2e4NT69YIznZEOWo/Ej1/7nonjqvvcW
n0HcLntlZteFrvA4XY1d8TUvb/I7PMlSu4K85tGH82Xe/65cc2ONnEOQ3xfm9BwkgamZtak3stPr
XwArfbJNHyI6B5/JDQwG3T9N7Szer92Jp/Cl8cXNuNceKN0hrIiSAxyZLmw8DInKxOFARrpwQg/M
ljA2fizYIJUzmu/2Rbp+lwfxPXwJZ7TZTp1sExAA8NYH9VbskExi1ApP5cc6SR7cvHb22LM+gULh
wkWKFlcjBzyXhE6wlVXCsjjSa0rEpH2T4NgkW+Ordp8DJhWwM9GODckwTwTztZ8ZWjM0GqAmKsaM
o1N8FV+IQpRHrodK8uU7cEgoeS103kHjHQYESVCHryx5/VmjK0542zZte2CcwFefkALJOMMTQb+L
D4kJBn7cxf1XTiMlBC7b6meSVvW98N2TKYvwH57oU1F43V4T7tdDes0gb9wqb/RuljdJPzKviFQi
3rGowtm15A6Ou7PMTVWLOxwWSvWRLJMQXC4S0Y1sYBnWhz0kT93gKeQGSA5Ly0sA8Kte6NnwjvPn
m2E3QSxWXkrm/WPyhF07r6SYNvV2IamSlkq4Ve/6uX4RKJJYYq8SyvafrvT553hIUpxN3PnQWJ+I
E5cGm0ccx7fvt2dlF9abmDZL6fMVDY8WiCW9x264zSaPnPabuiJKLWOzJKuQzRX4wwd4OhWgCcSF
9dxzT+ZderMejUfhqFzrT5AkXpL1XR+MR4LfX5InE2aQf/MofVvH9Uly3vern/YAucSyId4YzM13
9Sw8llsGXuYdzAN0L0YbO5U+xohX/SxiJrbhSmy3kGuqjCR88GDcuFSUL+sLqwmcB9HiEoW5sWhr
Vedq1+zCraiTzeAssktrNxk2gX6gAswH2D23qC5KT0zbYylRM4LhMoflUW8VLBfk0vCoEPczbMmL
fP5WjAMWpIm0M9udxMncOCSsshBRdJnU98Z8XlMl4/X5WUBm3D7LdYsBPJQKdgxMhqCHT/GLeA8+
Ij4yRs+jTULNQMjRjQao3GPwkX4ivxUwP0Ya0r2OwzdXtyHsUtOPiF66zTJOchCIpR94gsticoIZ
Q+f2TG4p+MiKmSzXFWIlAd0VdrGr3tV7/lkbdvi5EizU6geudPeW+3HnGKkHHrfGKTnSiPQGykaD
UvmcO3v+pDsXjSeD8ju+4ETMwI0srOSqmo9o6KUrz12ToHSpHljKYI9NDg8ECx64BRn9JSbtR0hT
QtGd/HsGLY/uwy/1a/oVXvNv0899ZG4H5Un1xdf6KLql29ww7ij2XIFe4/QA7LnfnVK/2Kvb7gY7
eDSfDMCskY2gcxx8BfzChrAmi8o5t75qV17ncTboXa/6gX73HlKXlkXjl4fcnXdPDuOM7a9sM26T
H5VCZtdvq6fsZ7iHIEFOcObmmZzyoXSTMyRpe6x34zG9yiCXHh1iUqYxK0DQ6rLw8JUfuGL50inZ
2RaIgCbEccc3PmbGw1zRK473QnIE2H7hkAUKtikjmMjXL/P3Lyhjizyy37+Tk5M6IVSPSVuP+GM7
giMr3rN3EDpb2g2C5PxPN++P3Tx6b/++m3f6+R7/K9NMmd/6SzePKDuCR/gSVVlTsMxcPdj+0swT
f1MsA/8gkX4diAhy1X/Sy2KdjIclMwfYHlFnuPg318zVZAjvd7yaZZLx+PZnenn4bNKq+8cEkR4j
3by1L6jT0KNFqP4L3TN1gZpHeYD0sT2a+L4ty0udk7EYq3eTEVy6UN0P1k1nUoIr8ehXKl29CklB
kPksbJgPuU1YbHPmUSSz2CPpvGJF3bqwWw8IUszC64HcZbyRQ6KbadApU7/NMUa2cutcTZFXZwjV
oxnHV6ecWXE05aAI9dtAjabp/SYFCzSHeCtG0I2CwPEnvs5Sn7iamLI1CddqGvdxJpwnTcXmOfHk
5HsRTnWXY78LpQIqoQk+flzeIlr21L02lorTR/2tT6FvldqxzK91thcWdWNER8lA5WByCKvEaypR
mcWd8jgLxeeYiw+m0X0pgXIZU4F2B5CAUtaYu42hX5cQ25EegRVKFnjBwI4eaMtHl3WSLVg1Z13t
Qw67fWGw/NJ97zmp4+ATgH1oNUOqBjVpmGyi2XhvE4zQQpmiZNIqAPjINvqDslo7EKv3JQMKD8GL
sIq34gcDl2u5SBuvylvNY/4Gj9N2RYKB0GwedEa0ZZnTukl+5UQGqU39VsyaehBD1lq9NwJPFyGS
Uyn8mazuUcbgTzTYhhngxpxcuzeghMwvIqqZUjePU2AYIOvj1yLBfsyI80qCKXqVI3KwsLFEHmk8
SvdWcwZMOhxACbtKpOmAqnnCK4CZ6qkx+AF/0QbBtoAcKeD7J6a22HtCp/+0yWWgc2WEuyY24MA4
nkinvEi8eoK2JZ9mLqsHcQbcUvn5YRcHNYHUr+ma6yqXW63fwoRFyoMyIZJgA2nEmA6vtbfq45iI
+BU2L3Uyb8LGXWO1IeQhteuaSdKWEfCm6pHarFZyXVe4Oh/C9LuiCiANlbujTvEthkgjw+neWtlb
IbyWHRlcxk9C3p2dTng5DPUhhmUmiHAn9B0bpcFqXRm4/seO1cwoCheXxyFUJAjxnjG+rCU/Wpwf
s/ybFL6vHN8LQs0xn8hOHe2GwsjPlSIgBIhB3Njlxc4bFevE6942GS7jlGp9P55knugCz1mW8dVo
GXotSh2hNvhVtNFOGajciKhJjXhfardxPb4l1cMigaLDmXXi0Qzx+mrqBxldcyetHQ/2rTF2F2HG
cJxMXbUnLaCaic61VC9pm1OcgoKbNy37KuhB6GqDcTVuSSoSykwoyYaM9rNV4CdhKeTMxvz9TcD0
0SK8dswFGQdzkZ1Qf26bckOk+74eZr/MHyPJVaj/Kpo7FjaNSaM5yUjznI6iQelpLj15emGKOUhG
gw6P2tK8VdLhf7a0P25pMCL/fkt7WLNJfopvgaH1w8/HfzGp4tf/treZqomrA0kisgbCKjIF+tvW
psvy73CMKFukB0Bx/jMcsw6jVACalY35p61NExl6QcVI0grO6H9qa5PXKdQ/b214QfC8CE4xLLxf
/wWOGbW0NauJlcJiRiWoREN19ZsR4kKedqk3hjTXiHAndOYwWmD8EHOjUG6mPrh2ZD8i1moErA4g
8ZL4DuJFD7K7lgWH65GDvKy8NRVFvvJQcAYdI6dX3oiU03MyP4J409LuGclNrultMe9zQrXdZzSq
RYXkHjTII2oa7XcDGweaxosyhRgr7o7Miv0YU7BBm5iqEJSh+GyKz8acYkXQzcpTuSDkiSZ8DpRR
dMS5YumKNiJPJS2FR63fD/KuT8wXiXCATTDdyGOj4Zp6zbobU3SRVJXj4Zm6cXUNOmNvmJTXMrmm
Rj3v+oLSX3CVAblz9J5reM6FYXqtYzwzdfg1zUkbYKNc17wJtkMm7qSjGou7NzhL/LHhdyqLXCAy
SKzEM0TluRp0TyT2HtXVlu74LZJQlYcyHklJ8coLZipjzozhZYpSBm2zTDFedL4YCXSWEEyXDTXh
Y1Mjh2kfLTR0i0a4TLcThpr2HkKQmFckEPiSNZsJg4ix65y8z7c9QaAApyd5xlZDxDz0kgeeVH+R
PyjS5pKH/Qz3N+OtVirEWRu3JO/cNa+stPq7bLwnovoQJCEqSjO/GgTRR2qIhSiOSIrSoJMwlRRf
O8WLTADGHIG6pJrfPWd4cuWIUB9hF8+dfuy5XOI1TQnJfBX/aNp8MOeocQT9SZpRZfDLJXAAPvqA
WH2Ag1PmLika5MJVB5ItAZJHmri8mLAqbUmNPksBpFZNvEWx6FMR4oZyokAyEDyN6R2TR+x8kOeI
mPWBCVBUuJnRX6Wg8JqUhncn8tl/CLF4ExTZa2nTlp3qFG3wS69oVyX4kqPV/0oErzaP5M306VnF
8nEeG38KDqN8EnNqE6rfnLOeBQA5EoFHXLCrdrSvG9fQH2SjcdWqPTUgM2mOr1Y7P2Y6GZxL9iYK
fPrYC+g0zSa93E918kLm1ZCHm3oiMbcgCzN9NjSNHA6cEkTai+JZGZdNJGibGRGQ1dg16v6QMhfu
bbfoDyZHxrHcDNKtFvcp052MYNbhEac7hg2nHr+SdKECFbIXInMtGpGYoM2p+BJGzaUp0nNOWAef
106Xfon1W8eZLLdeLYURgTTe2rqDwe69llNsYRAKSlR9mbyIVeZJ2EFhtXs0lQl4Bt1T+m6SptZm
9hr8EIarYWJI7+214/oiYigQ432wEI9Gv6It6AphWJEeOyn1FsHcJUFzjTvhXoYaGricaRoalBRl
nyFGWzm7mci/RItBcfk/9ds/MaH/begBC9PvgVxowH+az7L5N2wGj/F3NoO9ztApvpBDUM3hDMt/
/DucgUWrjpLDZD8UDZzBqbX+hoQSlWMgygAV1VSywv6IhBKVI+qIPJB4WDIl35+CM0jd+qddj2qO
PQ/EVKboNFYA9V/YjLBaTKXNZBrpiLTItD1mGSl9pcqsYCLrbaAsEu4161LNrDj0MwsbVEN3grLe
Kyb9kfKl0z08+j6LgEogwf+tF+dDGaE7WyDhFlyPBYNJrv6w4IHKeECJ8UowX3sB5t4Y9Uu1XPX8
LpSX8nc1go6kggauSFBOjd9Oj3FiyvaU434qPWfyIaB5EY0ZDpIb1s99HVjbVFk7QKJHyhXtt/DQ
p2RZrqhUhSXDnUPmTcZ/1RHxV5WtV06FtlFtGxHpQpYCgFI5SST/2jmAnjiUC5rNhElisFesfDOK
cHfhODIs6hPB0YlntucIL078z8bifU4pZrTYi1gCc7zjJGdQcA4NE/zPq3426c6LIQxIyzhY7AAR
2ROQZC7xecxIkq67q571kGrDtjMVL9VZKIrye4mR/IrC4nWJfgvb2TXldl3AGFXRvA/k3LEA29vK
3M5C8EDKi+TKcXowl/x5rISLYnr1QGeL8jJZboUU+03b8VQaS7pVpGdtgpbBV9U9LuLTPJJzsMiU
d5P+rDTNhZp+mr+DEgPPLCaDzHhSVXIRwexduaYr2Cz3VFHJBxs/EtbShABtPshRVBwtY2nmaYU+
fGzYtlt+yWtRBi60mRVAEMa1JN1vjDG4NOZ7nk9MfUkyiF7Tuj22Uv9eF9Co8PwWm4wm4EQg1seS
oA1vDMzcUYXG6eJtZhxF+RaV95pY0LkZXczcfSl4kck+midm9myXMi4T43OBxw5W6JiHAAXMvCvE
qwagPIPA85tVp6FH0Qc7CfctrcxO6Xzt4leDN0BnK5wjmN2zoRwsAzGNsbWivaE8TgnZ3+JugHpT
QhKYiNXFSgQ5bvEjzHe5xeaFQM9ph58iNrB0AzijXOjBUW2Ho4Gzk8wMBTtgen9KonN5g10wI5IR
HkoI1jN/Ud6HcJfQS+VCtAKS7U/D9J5UGNswiOkYOQlYGvcdY5R5P6teJyCaeUuGCwadbavalJq2
KGDUCoPEuAf7SFEgZy/qtqJxL4JrOEybRnobMFZFvGPrGkQFDEabMWFrhqdRRHOrtY7V6psUyjuH
kCEIEturdgTdqb8yi3y7twhFCKNEJkGlfBQY7sQq3o+gT3mSP+jhUw0VoL5GbbkdldoWrWNBVybD
zFlpX+jreK3wng0B+1x6bwtyQUe8WdMA4lHKSyQqnql5BZGoSNyL5XWRNVYf8OxeExxVorVCWoaO
BXKs3NLhqhEU0skPeahcOpgDeY6wB7WODL6IyyJmGUYjcBOjRutM0T5YhjtPxo+lVsBnb2afn3Rz
uPTjsl6uO6mjk00fx8XC2GNW7hZK4CxeABzTET2SYeIwtDGHkcCXiq9gbU/hSJyBhCr4x5qlxZqW
6luha85ocvCF4tOtQCNq8bPCHXoUICOs8YDH+35QJ/SW2AdXaRgdynjufCNCUCYJ517Nto2h7UrO
Xul9SglDFeXnTIgf2S5ueQrNFYzPKW7GynARI42PunAiAUzbujV9yCexZfozDdwJAcYfuF5G9FPk
fK9GEoafn0FS2wasWz3ak1ke14W5rPgvHB4GlFd1YTJLTp9TlMSocoBSgse4xLVxBHuY3TlOvJ4Z
yKRlR0mcvQh2RBX7pxiaZbC0o5kYz0P4MHB4KlVU31pP4+Urpv2TNQzrJbNVDnh6+hmHJ2UqPo1g
zTbtSX0vJnMD7Ogn7ezrNahIlwqHrNvP9ED+fNH+f6WfvUzD9d+X4387oZzLrvu3YlIe4a/nE3L8
6AmvPWWc62VFlCmu/3o6kX6TyYHkdLL+A7P0P1Tkym+iZOryfxUYKv8GUYqQRZU57uioYP5MRS7/
3kz+R0XO2QS5qsnhRzI47Kxhfpxd/sCNNos1p9WAw20SfQzMRIZU3MbLni4j7lncnymlwetq+Ec7
mBhPB7FfRMBQirl0qGz05Caz19d6d8wF5QHvtKGfb/P4HkyOrgf9tolZwMR+PMvTuNULY2MiRjDU
9DAnJjKKD2NmkD8EH4qiXEQySbBt3iSatlPD9kTUExLpMvfLYnmmb3AdAH2iKTmnBi5bQa3fc7E5
5Gq11WSEmCzTYXuf4VZD5S7rDPbacsdh4sHAF5VwEiejG1321btSZX5MA5qNlz2Z9nVlLs9y8REk
KjAWvYgcsEBU2JzvRdygAuXHZC3YGKp0qJTRt1DRFcjupnhgG6S+Ja5aSFy1FWy80l2lk3ZJ9mqw
KSUAHAM7QFwepZIquFzYkpjdydsW1Z20rQOT6rT0+qq/REJwkvgBsWxOgY6khJSp8gFlbB9K+wTR
exZbh0B+rWX1SWr7G867WyFPNRxm1IcSFoZquYH/LQDZh0a2Qx5DBh6XJuR9aCfi6NegVDf88n1z
UH1LOUQqyvVsuuqtTqFt5mSZv4bMgy20kYhAdi1nnomwVMhijO4z7HuWr1I1PgZzdimGnEa0WHXn
6mRRQNsVRaQ6kwUSvgtCeRBiyTcAexfZYILBLFosM3/UCGUhoU/GD6IfcGaUCzq0Os3HTketisOt
vLps0AUSeQ9DfaPg0kFfwSlxrgmJ9yoMaly8/ye1/e4IOKE37OdMN2vtq0nwSxs+uin3iDxXcvxo
E6zEWPn3o6qQ3rxvxw4pr0xGPJZfU4QF6HfTqX6Ufmpqj9s3RMuo86cMNzMjRsSVP8N8BNUuG9Ot
RF9kMZjDhvrHEH+EbXIwKJ2x4CVtcdg3vFexNO4DJWJmmEADAyumpu6NRVvZWpsf235gZDqCWNaT
G9HiIoOs9mU14+RICk2dXER2wKq7CNEr+b6vS4GwhGc9q/ousqTBFhEh58qmn6qTKnbbuHmuhBab
JMyqJ9PyjWZxhlDz/j9ZxJX/1lh3+5H9H1HP3NKsz39fuKkBLdaN37uVKoS/9PdeqsASzI+uI0RZ
ZPlW9D8g/0TyicwVTXSImi4i9//HmFD5TUEksHY9TX01CvhzK/e6Pfyhl7qu3GT+mTwzjYeVlDVI
648r90zKcp2Rl8JRDN1bLGcvY/rQoLPhvG2m5CTF0U62GIuT/DDRpdeXzp/aCNebiPqDszChs76O
RpGWY5IE+DBh8RW11wa7aC37VEXa/8wTn6L4RPhTwblJzNeJkh2ME2kLGljtthh8tTzPUC1UrwNS
KVN1zeAc4tOu4OZRKJjdiT2Ubr+R4DrDgL4PzlDMLwIYzFqPWIsSENDRyShktFQ9DmJwCcontZRe
mmLZxGN6lrTsW6yXF12PztJQPKrBgwF5pZcbLUqPmhqcrJlpO83DCRRZiejQWeniCRFl6ogb7ojO
exnPcSaeF+FVFwF2gBwFpAvKJRgucivvzRIsJS3IXVETreY4LTH8nIRDFUWTK48ENPEGRvr3AhZY
RXBFyQQB3VCcpwKKeUpJspj9pRH3wLqajpNqfxpbEdRFQMtevuC5/a3Hp7odNkrEACbrGhrMeLxn
4X3KJ2oD2Stm/TiCdVrVw2hRi8Wc8xoVw5Twsta4nEMNMqhI7uqg1nBiJNsIP8tZuGEKrlEjo8G3
R/OSA9ouM76KX0NONNMiYEzG8dPvtedYgEVi3a/PsYwJol6e4lzb0aAMVCgaWrEdgGIwX4UOYDXC
6Ak1Uw2gCfqME+FFGIxjEVrUbJEjpumhXzB0avdQmbLigaiGjzILLjst41Vx13AYQDSqdlBN450p
5RoKEjFIA+WJY29ZsEJ3Fb43oR/XLxXJf+gllTrHEgKtJOkPSvhtNvQGWTmfjNF4bszyOW0fR+0n
lNaEMgpQeCrdGulSrq8CgKqCGQq2UUPSB6SFKr4UNXk684H3x02ZNUvyPiDUkebrQzFvlabisOBo
zyFt4dptZPrJO6SP2SZEkVHFFREwGDr32idlrIldE3XowLS7C3WXYcpOxoEsEpOtIMX0C4fyYoTY
sHYP6AEvVT9cAh3aVI45W0kqzHiT+bkpbUpk9ANbUKBSV6Np0Y0WwL/0UfNv5ik7EI/YV/CblTij
EBU4VMxt7nTRsDghzLwow8W1NwXTvKJIChQUtbGzFOXjzy/8/w/7riscw//9Gd/OPr7Sz74p/uMl
7qL/cD+a8adgZyg62pO77//9v/5iNrM+yF+P+fJvhBqiO7cIEVzXf+uPu4Wmq7+nWsGGIL2Q/tCD
VH5bYwfZQv6ClLCP/I0pIb91XdkpxSRVJ6bjz7UgQVD+dbPAyp02J6d9titF+pfNQh7kWZ4LTEr0
JEAAxRSZpT07BIgjHqbmRrhf3u+lcasun1qfcV1iCr3CmKX1oBXtJlOISMIr2CK4GjKzXnH6rGGM
52TCERNJqtyy+DCGGIQhxPoVZxr4OXPZSsZnKpAIh7qa2qHwZ1C8vpqQaV0E1bNizZ2hOrn8Mce6
KBBVOJSURECEpH/KiImTfRsB+zFoC7GHmEgL5AYHKuUPVxyT+XOlF2S7QGhvWrQ2fNprpZR3xKfw
60RFxTisFCg5A3P8qSRg6+oj6hFRqeG5ERJmEvE2V5Zzn3dnJNL2gHLn2BuPYnMvm8+aOVwo7lIL
hCTxhPwUEBE04DWi3KKi9I1JxJkOua2J41pXhRvCEFlcqunViYEpTlJ1WxomZPhzVOxz+MIUe9Tu
+QZrENRsEDI2jD7pJj5ZJ7L4GpvuckQ+x1+Nn2UV1AbsYzqUMxIjpF5T7E4yUjFswWHvJRJgvXjx
xnfJ3BKIR+4YM8jnHBFzeks04Ajsmg/MXGB/VvUy0iRDcnjE1leCm1h3tyI8tOsS3IKjzh+BnjFd
mj1jUt+CTMaoCvFVtlwsbd6FRv4eD/0ngYbkRJfRkfTXn0Q0YRBNcav3IsEZB7mNj+Ks4lxl3phk
2/jmmLiimcLXPFamrRChBYYwTh8B1swtSb0Q5FPf6k5bu4v8Y3Ap4rWDFLoNFQhf/WlASKKRS1Ep
OxGRtbU63/SfurivzFNO0aQibygw8tMDvOTRF1jbJeyPAa54uFviWxI+VI11iBrZEaYjaFRjvU3A
FQvZiDp7aIKQqg0XjN83KoOjvG4QCGHCXCiLp49PuN7YgdVuTD5lIgMYiqZEpJl9z85I0abK26L6
WubxFHM8NxEHq+MjfpDEBXtdOuLZ+C7MzKvhWe7igvWlPly7fva7NmUeW+3HqvYtE0PTcjcvBTRV
4rfwUKn0bATnFm8WWqzExGtNjEJ+3uiruQIuSBSnAV7J/XAi0d4mpThMCX6XHtmdErN9i9T3JUKM
qd9mQCypyZwm9WLro5qYluIpmZyj8CaK36KI4x75ufwACIptDd8Bw06hl918RFIU0ZtXfzWM//IZ
k7d4K1CtdLSlEoCZ0nxX9Xs0EFGGe/4o7Q0mmUryHSQEvASHJkcrI+X+HI1QaPOhiukbJhLpS9Ku
TYFIrIqBMZ2rbwI9GXE8q/V/sndey40jW7p+IuyAN7cgQU+KFEW5G4RUkuC9x9OfL1k93bsnZuZE
X86JQ6lYFAmAMJmJXGv9Jl3JDbA0ShIFfl6Y0xTW10R1rSl3ZkA6f3B7PsNcxi0GtBEKxSusaCkc
ZGJdXqolmE6DTH27UPD8ak1XnujIgb8a2nlTxQST9SVp8l03/AyTs86hI7TOuIp7Sn7IziM3h5ZS
Nm30KtiAf6uAKIfLPvylg+eS47eETHvUneN0r8NiGGFeVPKh1eG1Gy86VRjzGCDXSj7PlUygziVy
GeUqsekWVFSYlwNTHqzFNPlnbQi82sg8P4y2caFihKcghKVdRi4KsIdNNxoAjD+CCJeeBGZYAnnQ
6Q+Z6by1I8qaKSjdFK2QBuisqmLdlJ2mQn0vm/gmVyg1W8ywu9LsMR/L13Ufbv75jOB/ZT5P42b3
f7nXl/hj/Rf3d1b88/4OfkAzuHtrpkNuzvgTNCqRq7NMjeyZzL3VUTEK/qvGqP0LhQyb7B7kcAqR
/46s4dZvMR3g5i/Anmz6n+TxNMti7vH3cNA2FKRvqGcyl7Bxfv97OJgFNRPLUDWhc8KCkLqVTp2k
7/tbm70lr/bmRzpLZ/gGdA47wV0BNzhScYEzeUGN8axMHVFFrhOyrHqEYbzFlQip6O7UjU+quh/l
xwb+mdkshzBy88BeKC+teug7RknYqOOTgVsxIUNZ4e3tWtiP6yynoFRWrXOMveNFc2lwMbePpeat
GmBoChaHWCa6+LS0Z50yV6Q+wZCjTPao16An0GMmYvJ3wWYijRQi4NhdwuxDsZ5Nslq9/SM35woC
6L7KEQNbl8sJCIslwStOIBcEG1w6gNAGUBvKJTWvCktk8l6koh6maT3oV9jb4LWH+Ezg922DbUTs
dATJ+K68thNcVW5Z0r7WUAtBelZg6BaFuaA8qZbzoTMapjx8W46U1h7TgnbCFAa8j2fV606HF05a
yHzXIfPqBGxuZp1nItYmWaO2Z4T41S8ohkjKc1bdYBoHHgq/Cd4Mr4q+waPx9JTdYumtIl+EU8nK
bt+S7pIPB9M5RNUj9SsiH7CnsEcpa1ByfKr6hzE4DJQHdoPCVADGWMU1PetvxcDA70LLRPwT0JFy
RYK7AL1veXhT2l8QEoNvLQfUCeQnOMGZWARLC8N7R9h2PCaovVEzi09SSarXRXgvoSY4HONVsm4r
POs921zmr0vw+4jVQjHCfHFH7rE9E0cW5wott3qP25yeuPCe3sVVig9c8B/4pAlpNEHmt9eYUXAT
AtAEpnBe4rw7t6/Kp/JpVocMWXsk5VCOo5z4zW1WfaNCqfcX+wypcZXsst2w7rfNaXqvkbnnYi/x
MsG+oYZkh28HdFsNjgNUth6AMwgahvxFhVkr/Nj5cQQxYwfI2xMyd8ryrEP8l4nkvT68EhgPNR6l
XhQ82i8L6Zlpyu4WSCutPmQY2qPYh+zHSNP3LFIf01Kv3O49QUlggEjh6euR6RmJkXKmTKl+O3hs
41SBkhB4HxtxbhikFXWrklImBnHVLl1ZkHSY/MXb5FkQxWggxbSe8TkJ3SdK7SXyr1D8a+yLa+qD
z8T21+QUow1QLdBFcey14DEEHv7QGcIsq9qrKZCjKdXP/bIRVoE2KGXu0RpcjIaybvw1HB+Snfbi
L7+dxS/tmG/MreTVzMCZ8szClMHtEprm0nhpQ3e11Z0DRFX5hoKR50DrA7z0COfrkJ2SU31ooKlF
jzYgGgwPqzBbrgyjAR4Ub7VoidlZdzIvuXbLQdypU7C2kifNqBfF7RyaKCDJXkytti2vWek8lmbi
OTPXPcezYA5WSP4vlnueTp54tcDraSmeN8vFZXG3BNgh9c/j+/6M2j9r7Pl4uencL5ZaCreADxZd
LFy24eIQsEAAmJU8981F++C+RTykLrzL+/flF4vdwru5Jxb33jwXs4EFerW8+P1KPAsVYdYS+4Ib
wX2/vvhztRLbE/soPmczscs3eye+n5XErmIIsuSH/8UDHVy2ysbEZx5b22BdcPJ4uIcFn1zYI47F
3bHrOR+J9+6Hz5eITbqswcHc3+YlmzmIU7a5XsVuuYs1J2Qj1LU9sex68cIR8ZojO73dv0T8zQF6
nA5cGp4wB2IX12L3VquHz/cHPBxWq8fVk4LVEI4VTytMSu6WDLgLCb+NJ/H+00pYQWwj/uSHD7as
jTHK9gmjFZZmFXf1vRUGDRwmnwhjBxcpBnHM4gQKEwf24sZ+4vwgjlGcdPE/u37igH5fhB1v3D/i
E+/m7Tgr4tDEcuLs3nYsyxs8xDp/PMQnvCkW4tkTNhJXlt/83vQfy/+xtPiQvo7QOD/L3eISunzC
FjiznFHaiLgcXzz2m724Yuft2j1vzxyN8Jq4XzK+iK1sfu5NRLxasuZ1s7nwH1foZ3O5bC7x+nJh
Q6KdPn9xixQN8bLskCXG0Sxxh8Ue2ZXXZ1Scn48oteyhKdniq1+XKLHcHwP/b5bP7NEPx7ocXCwy
7m1ZNLyraAmchZN4pjnc2zWnlOa2oJVdeZc2w4lb0yDcs+u+rHklLsdBHMgjr9Z4ltC62Kg4AeIz
2gVt5O6x4XpvfOjyJ7+r4/F1eVyu0P44rh6Oq4J3+Knc48PDO2/8bkO0hNUD7eHe8tcurhnrw1nn
uw9YYfCPb3Pd7zO+IOtzK3bhvBX7kfEtfO36vk/iO8XO3K84zfp3D+DF5HJ+Nxzc/aQv7119ufnd
XK6if4hGQPcXDUS8pGv//lA0IDZ4cvmbC0eD4mOuIw+PbrgQvde9fyR60BsnwxObYAdEe+JDFr8v
vfB2bNRjqwfxntj82/07hNb1fWHxNrvCXvxekzfpm+L5906Iq3Q/wPtoIM74fbmbWI/f0+7j9wZc
b8snV/HlLCIO477T4n9arNgJ0SP+GMc48j8O7b78fVHeOe3uI9Lv03ll1aV46e7EV4pmLPaRA2Ll
N3HS/liXHRUnQJxmsXOiiYkezbbED3vviZYlVrgvyQ4y8IqrtBN9STzunY63GKAQ8r+/dd3dxP/C
2WWx24nj4m8G4sVieHJ22g7GATYR+i/E/i7xx/xjvraIlbv5IxnZNXx02QWxBtddXeorxdtZu+7g
rI2dtfYfsu0bNcMfX2Uit+mpR6y9YvXhnXYwv1cx/FuAoo/KhwQc6Kn9cHa1m3u32P0g2RsGLmIl
z7XLFlCEWyrIBUBl5sd28Tc4fUg/J2k9ewt1NXtvPssIeXPvhPnMgScEjRe91y0PL733snjBjEiM
t7l7Yg19RRPi/iLOSHXmOx7DjRjxaRjsGozqzYmBTeZCcipFy/V/9c/E6NlZY3d9F/cJcs+b2l2U
j9woFwvKOYtb7fILft7l0nqnE//SR2y/Tvaqdj8okbinmtO7w1JBXARsGOgzP9eBfkPHWf5w+9uL
wWi5Efru1QZWKRJCyOhfluIZeBGDHw/uNqxOd7tyi+E3wUwi9JLllYMR15l2sIA046qHeM8F4trw
5fcWdC3gboqhiK8RIxlPe7TnGTiO9tG6Dgv+uI9twtbx9wKiheEG0WxV5gE0x53YlHebjzfevdXH
RLj78fPnw/hI3rRnThn9mTMqeik3fPF8H5/FzVeMVwp3uSe8iXgpRrD7nXhLaLLk07W7YuARdz9x
L18tRzGyiZe8c19cLG2ypFiNBe8LLY/3hZaMhPehD9uv90/swu6r8Hx/obif921st9R/3S0SU9s1
uyB+2DJef8IxSdxjWe9ppRyak8YYWrmfbEpyPx+6R7J2qC2Fi8b9ZGON+9RcqBmtHrbil9uuWJ8H
T4/8As/bUA48oym9Xo/o4xDZcZ9iYHfb36MtnZi/D/yIYV9MRUQrFO1QnEJxyncAstY7e1M9IAq+
wLd3S+37WVzYj5o21T11W/kwHWiUK98dDqfiaV6IDgPhlR9uPx5yO7uP3SngXuR9cEnELZLxg18e
uFwUS3slHHNEGysXt2C1jGcdDkCQLztcTZypXIGDVzZqoj9ozXMih/ibFMtszoqF3/aLLqyFLxp5
muFxYFodVWRYpgFHXAzMSiAH0yKATi+RN83RObAzkU0DLDl7Pcx9RB0nFRGZcD1qCJii6dDGCPq4
I0jHNJkOwHc2mM6v8fVFXEzt1nrY7FExGCaQacvYGb0RMkOttHvLSZa6MSz1wV/V3Lv1Tv+aohf1
skkv9bEdgV1OO1vV3+ywWv3z7Mz/y/Uakir/fQ7n6Tv9Keqvu5LwS/2NyP9/kcxhC38mczRFVSnF
6Lph/5Gx+QOTBSjctESeR7WRF4YS9W+gLMr+qq0ZgM2poEATJjv0H9UaVlPABZKVQepVVYCg/wMN
YesOuvo7KAt0ATUkBYQBGATzPwHGe3T4Sz9JNNewfgUFfa5SELns9oh4Hkw5fiaTSE6/s76seHqN
jU9f7mm78p6Ejl+s5DF4IdUuRBBKHD2UFOntGY5UKJ2DNNCXGHxH66kfcTUnrm8t9VwqlBfiYJ3X
GF4Fl7ZA4YMEqtnifWZMnix326RxjhP6SyHS7s186eAYQWqNXC2huhPVr1paIVeBmIdMbG87za6r
uqegbDda+SpT4SQsjsn4G/JBx8PQHNF+J+MvWy9y4H/G+BM46IHDT8NpNVzY8jKykNLIkMBoYTil
+nOHq0/vZOdMs3/aJn8ulBn+5Dwi0lnE2JAvqDJZubNKTWnrACSSVOlYVEhYoa0FohIQPYLfqIpN
Dd4+5dLREDjPzpONKlXM/KDaz+N3C84plGJiTxj76VeuQjFJp4utQjtTF6gJjkiEmJ/V0C3lnnyv
MaxsC3Fm9JhBt17aDukZaDSBQKRV5WOQfsat56RLCQ6m0pMctjGR1dHSAbPULdC+CmOhUSjbhz7E
cX6LaqFfjk+TP29BfJAK+DTa8ZCMsMaGzzkUTifFQ9sUV6CmmxyRlMGI1oaOLuGwk3KxzxZXGhkF
0unmSFLHunR94imoxghHhhC7GTnsFpONeYMMm6lfSUNxnGgr0wzSTnoz6x18M81+k9W3qt8CWo6m
VwufVnMl17jx9visv83Qccvgs+++DcC7cgkRbc7dWPtUJ6/H+MrfjmhgjVB6doV10AvEmZVDoj8F
8YBozFKOXsLyUKFlo/ZAvcDLmb8aGWtQKug5RDGNSdnBCpaVhSYcxQjnohvUzVdR/EJJJ4bAR5ar
1L7Hmfa2740dKSinPU3DXu8faGim9pJUILm+pXQtFx+jTr79q3T2CXmUrjgr1Q6puNnfFthcoV3k
ACWIm/1MEmc0tnlI7t2nrnCkG0SDJ/VXfXbUdycotVU4fGRo0jlljUBZQWIIgaERQcuHqnZWEikl
KUVNTjnM4WtfHsIeXSuU1SiVZaaFbtm48Kn2y+o+txxE4JSNPMcnecw9BwUov4/WGYZ5s558d2Ub
eY5D2cH212lmHW2gLYp/LVB1G8ApkLypwBF0AwyJIVbP0TDSfdt1o9a7LN9OQ3SSFIQAq20EQi2E
H9djXbCo17q2DetVJwnhKN3HXjXcZNAPa2DwGrRl6nozSVLwb2FwTCMUPynpptFiLH5swM9VvZcM
g7wRBm5Z60UVijsDdnZFvIcIvVaiFzzEKvS2i+pizM22Yfqnyye5nA4NRTY6wbqY3ia6y+Q4q5D5
RPILhvRrGwQnFVLmMtMQBVRxFNPmD+04tbiPjmtpgiswQG3XU9gIyQHeAfARmodmZHRdExqN8LZ4
jmxaZY0F0ZQf+348GMhoh3DcfHWEbDFtpLBYFo3zyhVTtWcUUFpSzgbp07E9dM4Xnmyzg2VRD2Qn
xZ+Qb1SjRzgkunQER0gBe21MRAzO2rRb3LvWeXHqSYj7D0247wHAFxSXCrzLR7cacUf46XD+ykdX
qlO0Et9m6tGz/wmtoKdYhAJaNh1HZMOCbJPOS1gtSwiSJhV2jGpTEsuI4+jJCe8B6rEIbknHrMY+
UIOoAFPC6n/KDJfdemtNP7EsxEsZSjX1QxEycA9RsGmAWtnIIo1k4m+zA0sUBl5GWQDNtmYThecG
oKMWmjAwEM1Boh6FVpWCsTUzOnWUmAA9zo2+VbD3sCQHmLv9BCRgbRq3NIrOoxkvqBd/ZWi4+w1i
Bv1uTDc2kx+V9P2c+gcKJqvJqj7sOlnXcuL5GfjFCJkptCFNPGXt7Ag4Eux5t3DMeClDimloiRZ8
/roBqdNSJCzCR1OS6S12uUhzfZvpGM1YiBTY2gm2xAGeyHqC9xHL2qGWX4Pw1NrMFavT7LSfo3Gd
u2kDRO4QwgoVDpQAfIK3WTnXFqVvRn8nWTQZvqPQW6ZQAakKvd3IY9LilYqMVOlFof9jk9CXK2kh
6z8GX6uTRo3eWi3aD/qwi2fwOAEp0uArQQIwSf0XMwiXKtrjSK0XfrEegHVR9YsTygAA/etwpTmN
F8QaZczkXE6YkJCZr9LLVH0KNxNwGvtsEG7Finqy4vhm1clDauVrHbl03UQBjbPGcNoPaICMHRBm
mMI5oOvQC7R0b43thx+RsJWMjd5RAcjAtHI/xo8mIIUrSWL+2h9mRK6M+qsvHi2BWW52DuCBHO/D
2n6LbRP26OOMMhiKeD7CIGMhcfvYOM7g6dhRge269NzUnEFad0F1bXMqMsEb8GNKtGgBpMZSgeSQ
jViaddHJssdNR0rZCbEhNQp8coDpaYhTWnP9oqcEDKl0NIrmlxblmwrOTiguc4u0HzNl65rMzks7
HuvypiOz3QYTEpxpjdAZ6XbQXzj91U210AFDJeiA6fYvZXrP824RGBBdLPVzBGKoJIxYyei1hbI2
kq0RVpgmHQJHXWRpsfEjhOK0eXyJhuixYGCrIDgrJpWrGqtgGepsD/dcs9StH+Zb0IP4CSAPjrM9
ZuGSUW7sFt5MomAiMwQXqVGeZRnB2Dk4ZNXO1zFxSeA6gwoAn2wN8cbuz9ZcrDTjU5muRd0vDWrF
JZcvXDamjNHlaxYqlxpGkRPpF12RZlxO5S9TIyGRUixSknetth/+f/TwJ1DLQfrgf4oeFkWX/2ad
br7rbxFINGFUf//nEOL3Zv4KIe4YX4cYAWlw1IL+pHVo/1J0haIu9ViNT2BV/FUPBiYmpBcc0zQM
FV4pa/1HCKEQXaCzAIDM1olBHOsfhRB3QNffQwhRiTYt00ZVBSSZKBf/G69jluMoNwYJoT0Bn8f/
xyhybKkbgJB+IW/tAogQbevmO8VnnvWaFxVzuMxS/8O0oSzYrVktZcxbzcJ8N/KcmjHaCHFkvmSa
EjGbKZOlpQL78mXGgpwYWoOmVtrWq99YsDkrXz0wJGAtW1MiKnN0QcYVAPyb1g1nqdZggU6PszZe
h5Ap+ORoiy7jZgNZFDNAE/BlUGGImSKNbBmkGDoHmYP8yYK3FsnGdyjDJa3NZGsPxiNOq5hk4jgo
+dZGR5fIDSd010Bgg98okhbICWSuKUaV3z/HDUIQBd67vsW0CAXUDHJeqb4HufFuQ951i8l5TCz7
veg1qlOmvBwH7Ti3OTTd6SezpWA1jvlHmk6HNp9Ld5QAA2v58JCPE8YjJjVocyxxbQhlFadCTBpn
FJy54016iXhSiciMgkFaFCfPWgPxwanxYR6afSkX28TUV2NpbxS5jQ5KV7zkebkdcTmSennZmwbU
RmMVqdU2joJd5LR72UdKSWqslRb5AHxyeeeP5dbq0T9z2iucabcRBfq8aD67zsf92w6nQxlNJ02C
qVBDs+2HfK92CUKwVJ8z+LWTUKOdUNqVrE2gGmurH/a56WOyW2ibLgluhcJEV81DHyBSumGYVcEP
DMxf0aWR9eiQD8pHmKLglpO8qZHuax0TfJd9TP3qOWpokIqGo1bQmTem35sumJmJOaHXt6D/yjxK
EVeUHgMlRJcN4TQOCKVA9asYmRI4Pl9rmagp6CWjfqBaUDRxWQES9BHVBjISz1LAUYCoXjkdigyR
A2CqguLiVDqOWilTt3FAxoMz8mRKwZZMTFGV2yjVEeCQQailIx7WyjAQmUoQJOeuBwY8P3QTgpBZ
+VFoEzxsHaiuAT+4HHd1jFvvwJdIcuiZmdBkrDC1B7H+EmbcCa1KIxxgBlWWzCz9jq37KdmoKHCA
YqlerGocXzM+Jb2AKUB1Xzc+IoNpZ/e7wCiIP9EXiJDooEcADeyp3WstSvpmQ/eQx2UVw22pmdyA
nep+mmS0F9HkQ3EO0Zks1e4JIAOq4jNZ8rZ5dRiMoF5X4bYIVOigubwIZeMha4qXAiZjGpn7tkDy
Ypp3efNWWjZ9vMRPOgxedaaWcya1q3yKHjs7P6Dr9dWkRbPQOePzrAjjGOuXHte3EvQHQHkZadoQ
BESIpDMU27xsPux52ult91KO38yW9TViSTE69plHMuasG+16VIO3EceTLlTf0hrZE0sD5z94BiBF
La/RknJOM7sD9wwOFWTnsY6wYia0C9HOtBvsYTBgcv2keNUHmRYjj5taqWk1hvSVqXiKJcVtovMZ
xlNQOIEbq9IVMhHc0iQ6WG18bMrwJrWTxPQNCH76WbaU6Dt/U5dvfgSyRX5rsBrF0GaOPwpp3oaD
hO4vtNPUuudC5OGi+D1t2kK743WGJYA0vVxsdJTxg/Cx0c8yfqDqKUAHDL+DWS7obwxm5UM04D8L
aAI1MlPyVKanEaLLg4W/cIGMteRNA9K0CBaS4u88U6vBaYJ08a1VmQMmGYzXNIikZTl/qYn91lj1
pUzwd/PDp6nPblX4PqXaq1aRZgHfqS9CLb/2VvEZVyRZdTaaNopnd/DQ8eHzapKVS3NImHzo6rDw
u/IwKiV5BFMi1ZKkwCqYTOZELA3YwkIiUpSwJJ+V6FFtY1z0FONhnoj4mfZ84vtoLCprfAqUkZmZ
eooxUgsrdqIqQPBL2rQtfCP5USsMsrtCeRwwnfVL4QoeoLLexdpzrjCfU/OO5EqnL1TBStN87Cn9
tV1DebavGbLlpS5frKRch1Ch3WiOjL2jFqj1ROnkRSZgXTWv0cEMprcWEyYfGIPZ2ItQqOvLHOnU
+q6cP0VKd8iaJgKOqlzoMIvWnx47aXwpLUy0Y2zsZUt79tlSOqKZFbVcNhk0HndSLw9NeOndV25H
26YrTBAdiYpyeXIjfvXdQGoR0UEld5qibTXreAHmz/IcIvDZRh9121Gksuz9HKiAWRJ7TeCvr3oD
Vos5ELENRgB0Oy71BWIQj1YafMCIPPk2cpyNQ36pS+qnGjK1nWef/TwAzpkeG+1RK2AfoFW77+zq
MNJrVpOqYfXt/NJtht9aitbqgHyrmmJB26bSLdFzBKnhhMrgkgy/XDFkvUyGee6mjsBJTrhDWr+i
3Iz3apaga2ODg3T0J1TpfmZNfbES/6sonc9mQDEpNG5Wgk+HUT5nkQUStsCiXUdjVS1DBKqxbtTC
dGF01q3DFDm00WZJemlLzvGXaqGwMKWXqJCzUxshJRAJkAwxyxyh/DLHExcr+snR0fbD8OpUSE0U
Tf9WTMQ8CBy4ZYVdqIOyUqZ1u8TXkaopSVzKYbUcBmdjq+mtUuRzTWetA3trRiCS5O5bCWk+aYPq
4GyTiJHWWTeXqFDBLJdg0p7S0E5xesT5ukOvPmhkbxKaVkrqSDy1T0lcfefRzMAQTBvL18/lzACu
AWYa5hQrjlLJ1kFahnhm2798M4REhDdYg4qxpSaPwei8qCUs97rvrlEBlnNGkg4xwAqOK6bRMySq
QEf6XFKyHs/FFJuA2GYErJ1jKPfOCrAoEZKe2gsjG5+dNlROKLwRyftI49o9uv6Y1CJnoWNSEcXj
lxyaKYq7MUkVqK0nK8+uVZccElpcOVkvs0WGt55vckRWqGey19t7hEhWWdedmUZ+tlb4kZttBc23
x/ocQZK0RCw6r6RNp/q/WkWhEBP7x15XXC0LsCWwSmi6CMrFVVO4pdw/VczCuDf80gegfvrYv8y5
uc3K6DVMkNbCAxYST9XfVGc897azyaexQkERDXQlOk1Gvxtk54XUPLWY6GkaoAfI9ckq8hM5UsrE
ym7QqEDlcS15UtGfQIB/2E302FRcd80M1nParvQ6RL8LaYS+Jg4vjAC0XYNsrtl7jUqyt7QHdDNM
b7ZSAH90j05daIP+OqkI7WU9jAfuIMtmNpCR75JtEkawBobqOqFr5ljTomiUYzObDxpmvS7dH/et
aDvZ48Wp06um9s1Czrs1ioO7qgBvNdEfrUk5BI2zyXSqgCoVLrWJt9U0R0u7nDyn6n7aRNvocfAy
znxaGKiPVQOTjRRl/VRHQOyfB4n/CwHAxG3/IwD4pah/fTfIDf13Ud9fKGDlX5aBeix8HVlFRs+G
3PlvdSNNFhqwsqkYFJb46C+hIZ1oj5UstF0VpGP/PegToSCWlACIkQLQlH8S9CHJR1D396BPg9qD
zJ9BEcpiy38P+kJ7VtUg6hW3wmVF6mgkcQ+qbviKS2XaWSGZe2KATe2X3lTUSHwA4W9kZ6sgNYHX
ILdvQpdofoMw7TnThzaTJ4YTmcRaCB17Otm1cYnK8a3JfzRqNpjHGm95jiluk25mWr0c5QhmzQNO
fmqKUW0yFgRx8pPd+7/mqKHDOgFqFQ0EAyMx0bKf6wAdFHiSvkkWBlzzY5ogLV5NlC2KyniKTGQC
KDMQsY+fhD1Aa6v0Ia+UdZ7km77WiFhajF6Ti6GCZR3i9AillxLMrKGkgtEUArDw/+S1nqnonjFK
dkqIr8ak6ktmBdR3HOulzIgU66ZGb8dcxqUBvWDA6dAEv2xouzY1dyYEvwUKZEepxfgkkOU17nWA
GxXiZlrJ1c+mcBH4KIM3WVpte10nC94MhHc+1jRUox+tOfeKFv3cXjduMuxZVFbgO+QtVjbS/Avh
I3lbDkO4lOruiq3oUanJt/tTvokz7SuY7ZcGsrEbRumbVUU+SVWy0DXDiSbfMr1fVwZp6ID6iKPv
tBpLGF9Bd1evRN65V7GOSMaFXWELYSQdRYioeLPxb1EN5aGPcHWIuvwwhIq8nFILY7AMCm1kKMHR
pn7oJ7gtZISpOuzcKPyeWwXluKBbFSERuxMn50FM1QzOU0blMHApX9XkiiXlSqS3CLuRuAoxQMy7
mvcpYpaK/08QVVB18VIsUuDUQ4Cjyiy8snFDxb2YNAP8G/+xs4x6TUHfI2tKKhuBYhQgomx4VWyF
G+Zg42XaESNBPO5SxOITqVswbz9XSLU5ko2ER/1kTKR0zV57KDXdWCdjfXW6+bmuUW+zDAdR4plM
YvrLsbiz6ek2L0jzV9ioV36Rr/pQTIqd5DZnxPldPkarvM1xe6BAu8YF9kMLNQ3aC7OiuV7NirMc
nOKiN/O1mn0m7ka0t3PjsZwJIE1JQjySKzvFZJ3n7qOso1uYtf2uKKaXQYm3DnFC0xdvaqVJK3+O
D4gs/hhB/KhoegINVn4nZPZ8qQs3UmC/1xhYD/bPEEVHYXUaC9ciEoRZOxPZ4aRR+B4s4CwZb1mn
iyqcujGm/NlH7hPXQvkjGtUKZxiCmr46Ig+RyxHzXUDuPWUROA83s9SOpvSrMbV1OREvZr20azCR
RNLokz6CdHNA3mGE847gIT0qjsd90uXbZG4pDDryTx3Pw6qo4IRzD3V1SYG3Zjn5Vg9tQU+avCY8
NsF1BiMR9DcfaaE+M/1lEGjHMZ+uSfAUOQgY9h/pDDDDgb4nBbdcLS9WD+wa1zr6UDuFR8dczwlA
4zwgSAIGj9nUoGVHQuIc1wfptdHV8wjnNwOjocnBsxYYzE2KnTr5+3Ck5hwD9abmmEl0DvxGCTw0
0hFzqh3tTKogW1lgmrVZhZTY76Wmv052/aLpAEQMu/2qBlQuhbp1Fza3KYJUNQyeCpti1KXXMcm2
NVIkZP8nrxj6nlCVIpM/HWLl0tbZPvMNCArpSsveYwlBEDXkBLfJm0mLDP35Imr8Ujwt5bk4WmGE
1Fuw93FTwUUzdukcD1FIMbt0gqs/VG9hAE/KLBmCg5RZE9rfSPe6OBci5am1X5pfPQUDDnhkpQu1
gI0NQ6CwH1UjWtTpPqJoThmHi7zoqEyiXY7UOJpJ2VJtUe5OMnvfJPvApDFuuuED/UP8PdSLNTk3
h3ghZW5pNtQO35TYgjSwJ0JF9eSjZaBuE9Lwkw3HanSoGss4kFtbzG40+xAw88XHfFGi1ZZ0xZMK
PzzQ4m/G9dewNJY1qnIVUkcCIj6gQ4N+DAwP4+BL6sVInii7GJiFdBFDM9IA3bdunqhb93Ljqrhl
TGVx0h1pObXvPWN6hZdJpyKEiUrIEO8HdDnNsV8pUN8z48tuMOzJETaw5W2TF7tEym6pCe2tHPNV
k9jSwtdGT4Mxk5DUG1FxMtDY5FaCnWpoBMeho0g7R4HpRnIHRKBpT8PEKKhb5XtqKouxiZGD1cls
mMqq7CK8tPqNQltTEt9/ncOSat6UnceA0rQ95HDYCYdTg+7LuUdiS8HodIZ3bxDSjVOSnPOQueSc
lcfMRBrXqcf3VidjqjjlbUCnJ0MolYp1+6tN5+c81MGOpREaYiamTSMlIQsEJPPgQ5JCXCtRimk6
L86USzYFD7rdbIOZUtlYh4+MWjSL8k26aC0EkbiA/NGG8U3LctwHHe1BHbSHxp6u5Eh/9SbmGRIt
UwZXYPvGoU+0A5zc0TP8GXMssjmlkQB/AP9A9D0HBG7TAA4s2M35PowX2ouuPfpw5HGqJ5r1rEA6
2Dq0EF1aJ46+KmZil1G1FkRhb7kDl6llTjCgk+JKin1W0WA8aYZ9tTWskbOJamX4Bm8bPkd1HYr5
cs/RmrpyUtV5r6NGaw5xgXoh7L5GbpxFHCj/h7vz2I4dyc71q+gFUAveTNMhDTOT3k2waOEDPhDA
0+tDXXWru3V7UENpUJOqc1hkEojY+7e3sqzONRhnxtB3tYvsVzTo1FjivEadnQTUZPKom2/ikE99
Xnmj6vEPvusuvRhF1t8FS9ey9L21Yee/Ik0uUWwfi4FsJHLx5tQ6m0H8IYwsrACFrbhfu5Zsw0Kf
PwLiB1elEddrq7YVtfUwUhOVmvEALtUDUAkzOdsAVoVes04BYVWdi0MT11CcvFcUMRdAXS6QV7Ng
X0lNfc2ChpVT8yqaIYCGzS8xgFmyIGeFme17oLQxs/cWAqF1DcgGUrIP8jJ0AN8gMqDWow3usjfA
zqeiil4rhXs2Mm8LwLu59+hS4uEKK/UTp92LB8yXWfWHDexH2BLxtfJrKA00Ke4Kt/W6FDMVI27x
WYEUxl3/5IAcaimL9kj8ZbuAirUov8upvgGQvmeKGIC4ieWL41dh9kuDkQ+w9RqBUyov/szBLW1y
4sDZXwzlXXOiJ6qBenRXTMnBcdph1YJ+WgsKusChGG8flUHKftPm5RbA1V8L0FMRFA2NSACqJshq
sUCscxAdBjDXagFfkwWGbbGmEx0ttrU1S9JtmRa8ejDDvI3rjQGSmy6Qbgy26+LkHSyL6soF9sVH
TSngAgVbiXMTL+CwDkosTKtjTQc49vR4C/TJnupOobLlkTkJ5LS1dgLUedLLjyHA/g0aLQ28Pws8
LT0EJaOETGU4TIloAsZuZHAp+/TgJc1jUPBzEHnd4wiGqm5KeZssiHhtTdl2BCSPFrRcd58SwPMJ
EN2JxU4zQNWtBV8nmxObVABuJRb0PdLs7wA43iMoiYnP5FNg2F8Q+6zm6esWFL9MSbwH1td694k4
ccRZZJyx4lfPInDP/sIFiOqrXLiBINJ3JWTBDGnA5Ps2gSADMe5tvTO3pZ3tjYVkGBUmvcgPHn34
B6+AWnJhJDTDCRsYiqI2wmKhLII02go4DAMuow2Kk+kmE4f/eCSK4MHt0amVLRbwklDwUtb3aQ04
krTDQdPqo4Or7jstevKbHUoX+fyCCjubrFO4caI9tpnkE2mL7oC88zguYATPqr9tMdbTMVBh2eN5
2Pz1Xfv/pJwTkeTik9VJR1ri5qE6WVL/vbIT2u/zpy0+xPc/0rH/3y/yd2bWhkh1FlstWk3W7v+O
AyZTgyQnA88tWfbE3ln8p78t6c4fqDaXOCUUl6RuuPClf2Nm7T8Ml5gO4oBdn4g8+y8t6cG/RHH8
+a27ZAIu6lKfECiI3n9iZtNUTQCiuU/MXNOutLp5qILpS1WsYWBXvFvSoq4qywskOOgGvJy8AQo3
jmUw9lsvQZ3kpB3HtkupUuqUuw45UZbFuPYS8PYxZ96sGpBnt31ruvhg+ailM9O8s+siNEqKwaQL
/2l7t3Y67Y0oxXQZGeW2jBbQtb3PfQeDKi0esRGgaeB4oqX8tkT4AONKGoiDHk2rflkvXcQKGCDH
cq2bwV03z8yuiK5jYd+CdpxyuMjSNd5sQZw3TlLdbra1RimS5yX8j2v7lyWKCE2Eo3mhU5xKnC/c
GjfQISVjP4r720585ZpLE7JXzWgU41DFHWhn3m/cWsLeFfeJz3AV6ewkmvld6OLaU2SyYRU6ZHmy
N9p+20u1n9RvFU2hxREM1vthMs9CgkFOmwXDfaSm0OjILRjJkp0YqJumutMt/yMvCKnyRz6hcaDA
Ze6t/k6zm59pnkJKaA5ebFxETMkmsWx1lp09o971RDVw//wa3nxtCNgrI/vkGyT7RjXFkp5LIZ2U
FdbRsV6WvfRPXJILY+KohmrRN2M8f3mm80ibg1o5Y/9QdlyshUc5aDdOkNbmj03I8DwwChTBu1sg
QRM5Qsuxqld566VrtyDEN9fPQ1396GV9F2veSQbB02gk3iZz2JEzsz+qeMC43Ylvgwxfsi1IHELc
6VdkQI6m41GDiziswdicj8RYeMlzNRE+6sW1uSZZFNtx2bP2BYHYzgpYP43Hu7Low6mzr5NkUxoj
R5FahAzPmb2NOxhHqzN+rLlnK8mtjWPBh0vaEJRGXohH3qzU/E3hy2FldHTl9t67U+lr12A64DFb
EZu95wW+m3XWb1NaJSZ096EV5qduM2clThe6XefRBNFchoCxKFLOTyfHYGuLvCe2JcrCgUwyJA60
SGpaF2yIZHGvBEst3K9HwcGIe9aGKWbWgifum0Pr+bsKEpqgRHDzOllVWnxnRQNxwMPeDJJT3gZ3
Fa+sET9DwKyB4m9zL+DCBo2FeKrBqVeWD90v8tuW29tqnIeMa8Uts4sKzHijII6EVdy5zU+WBW9D
RcGibt8bQ/Fkzo8qcu98CjXtFBXY5FF9pA9qkYa9ZPrkrFMUrnZf7hq0GLbUd42YCLNqdFKk8+iu
icfzOE7hxHCUdNxXdlRc3By7s0UbTRmQHdOI/NzEGo4iDVV3a3hnlzHrUGj+U+/4z0WsaCGMKtR8
Q7UrenrPUlueRGDt4tTEwtwXa4F0bO1NjKpOplVUo4kdjMrN7FOc5PO8DI71olvaa2NUnwagx8rM
0YoyMeaHrBbVWgJM0fpDL1tNNe8s9Cdlktbt5u1HZNd3LsHhg8K1lXY5zXM1QN0UW8c5QsrVMZMe
nNQ6+SMFrVYlHt0sXiscyLnOwtaI0Vx7SW6FJds0kDtxa50AmyLMuAjzBQTJDN5qpQ3v6bKR1Wm5
k5pwNlJNKjS1Hjg/r57l1A9nlUdrd4QsrNouvuaaPx66csk4lRr6Eke7H5rGRLxBMy/e5iyaH3r5
M5rmumvlRWnJO1QcaSpuFxrKpzavhEmsTPNCNn0VZq000Rsw9VAUPFu/BGUjFfGzfSxxmVgZdcMk
zJNgPl6t3CEUJJ0ehmrYxcT1+AOp0hYvytBb9CHQBFGUoY0SDZV0/pF1/TFB8dKY0VPiji96Hu1k
Hn8rk+T4zLqjSOKzKdkH/ArTfUZwMvkEekNOsabm94YcWKE5N2NHia60QhOsYMNsj94guQpyYidS
2SumQbfCceXpF5+KcVdp3abUkxZjO3z1iPGgyeCZFBlmcTW+K86gqKqOksw/4stWdmnfjb7cKHs+
Or5xMEoRGgTNtTnZEIMIrlPk7LwxPrlCzeugaL/zpP6M+5TgV+qMK57HLluLpny0OcJcj4h637or
m0XOjSOgQZLstRfbp0rRpDp86QOjrYgkC20dND6/forBZzU/jvFwSj30xJNjP3fD+FlB4HRVF/Lk
XZqaEwRyD+MPEUrZ0SsgYugIyQb/JoqSDUTwNvWpxpgsspSpKp5sDhDjJ4+ovC/mnVcRQJ67z05i
vFvFe6ngZhwSevJUntRoov5FqTylJKym455TnQwLhZyEWAIwJlTHVrUthmJb94nGBYQmSQNmdSb3
GmSM32WSi21SEe0dJfaHtN2faOI3QWb9t6ZRBNDBms9VmGQ8IgMQ1WYo4p3WQFTVY31LQKp+MIpn
WZClpE/JSDghskgIRtqWWz7ijpwql/zxKBe3XhYQhISqupusEAKY/PRGXxpiIzp1avN77K33yaa9
ve7Phl+8uCTQk95D7WqUUB2GXmlnDx1CxkBzVsB+O6VxSBDbiHQKC9gEPjF68Q3/gmwsqzmYefaO
ag7nQ9O99LaOpNnjOSJ9izhUqPFcXlxDhdKW57lw952PYK1HldaRlGfSCW5YIFla2VyR6YE4lhBz
Sj4N9IPPDnLkrGBzjRThqpaZaIRqFBdInJNJfw89cD5hQ31yXyRmsxqtrgZj8A17jbDWP2pZJgFx
WROEcyTjlvqrfl202aaJ6Y7sDH5OZ6QFLTlNMfYKzzyZWnczawEEM8uFaePW4JQHNcifgVJ3EnVE
AGZWtMXZVUsvtDooNUD05oc2a7Y5EhBUR6s0ih7s4jXvqysJh+sCRreymrURVKBOBvS5fxk041IW
6myCwiVT2GUeguBgWjtLX4TTFK+jQa17QJJuMQxk8qac8tNohm4eUBAIz92VqDXisUQ97dLf59pi
PeZmxHDHyCTGANKBS9wzLbnzyUPam4l4kXNsr/umL1j9KjOmfX7MXgfwzG3dEazvS7Z2ZEzqIOfh
VdgWHWu2xuOWvyUQmdwKib0rpISD9Ubqs/NmOFiD/2CONuiXgwSfbmndOHJ5P86sXcpk/wyq1l8F
lLqGreUTy1z38baavuC9dpoFEECPsHUboLANkMC3XP19RBe9oindyk+17aHeT+iAGMm9cD1A8Py5
CahNTl37ocnHXdSqKIwV9EA/jg04X03r71De9zZklrDL/QT+Xjnwxw6dGcHAU+K0r3Kwv9qIsBen
58YjBHn2PZK+cuPs5svpIsi4wefgx2/SY1elTC/ny2SpLlaOmSBu4sp1dDK2xwMU36Z1qB2oykvq
tVvDlOfORpvgDR+RQM1SkkmZqvt6ADFzESs7M7TS8DSWqNTMmAUXfYUCQowp3oimg6e6VSWHm4bC
oGgyX8mwJlfUGjE0xhRfRPT49VP+rNilrVhhu4GotuqwGZ60fPTCpeKoFt9O+uwG3xOSR68lYG/2
fpXkRxdDnmxH+2bx3qyw1WyOVbQqn41zWxFM7CcE7Y0S7fdYNPHRMOsb232M3Zqle9wEvndKLS6J
+buRL4o6A6vOPvNsaU217UPvi70tQYd6DTEQI0ItAoe8sHatAE5jxW2VNB3IMDoH9FZOF/2UhXar
ZMFw2V46xcvRG9D0Qa/uu4pw8a58m0pt7+WMIgWXtP8b8wMKvBVFlz+3FlquckIc2iUPsrb4e8Se
WTZDqX4Uc3qqkS10mQMkS7+IhlanczSsG54daj5kE9rbB06AAScRqn0zS821gcbxOQ6s+wZuaIPI
E7ve7JL9bQJ1xfp7kKQvtW4al6mIrwL4iiMOkbnMcVERnyurkze+IDi8Wqlb3bYt4pehuGEN/hz5
c7mW5Fvsie5eNvU6qb/yuGFuWWQbBVsDMAaIfGu+s9NQYQxStVJue2ENjZATcMBMaGIc/rFnPd3z
LnGPatOtLsvbCD+UmNBs5jbe8zh7zRpt+ohb1CmOI75LRd8kFUqlpudhNAjzoDnFLTjvd6KINDQe
WrgMjdKwLODC0qT1mVv+IyrZm4nX4pinyPGD1mk+HGbvmzR71Rs9M1Z9/4giAp2MIJ6wncIIgthy
HGoO6G1qhjuprJ3Tv2kKJcty7FDdSdsDbczVndePvDwee7B0z8B7a72Jfp1sYvRmCJRW9eTZ2tbo
nTfCe++lypme3Z1RWf/3tRILMgEegTLdM2lKsnwfocK/R2Ze0EyU1Z/QzJ++2x1xqT9d968wzf/4
in+HaZBJoJ4HarHwuVqLQP2/tBTkZJs2eIuvk7INVgNA9DeUxv7DBzdivwU2DPg2/0FKYf+hA+4g
yrdtF/MuKou/YMEl1u2fpBT/77PgA/GwBwfAPjpK/X/Uz+ud79GIO+Gwq+Ot5r2V+Rzqs0QM6J2R
WYYicl6c2m83epJ9DzjLVx1+nFJnoCgK9WwZCXQVJnLfB6p3/2Rahks7JAcmrKNn1mE2CHo2MbQY
AbS8gs7S2/kaG4a3Sy0bmdscPMZlg+XQ+moxBFJg/hrk2asVyFWWORtzRovhq01NJe3a7BAgdJ32
U1i4a8sGIRbBlRvLkveCOp3UYiiXKQ0OU7MrhYkbL42fMvSEhL4N7IvtRKzzbLQH2+x+WADCdrLu
pN92J7cxgeTdjOh8F7FuI4bHEiEXiL2+cyKcnmaW3WhWOp4G5f1q5qQdZsfMt6aIr50tH3JF5pQW
NLuBxciVzXuDG3E7FIScznh4zNkDA9MIUnZz2vc6zTyUWhxWiL/enKmMn5CnnGLqZxqDtr22Ei07
UxWsDcnyG1QmchUBgFv3ZajNhb5tDDnfZVosVzOBoccmTtS2zrD7AUru+gpe2hpL5qSITlV6d7tb
14XDzG121zwgHEsMxhvDKROz8jBHop8hRzbZ1Y3vvw9o4B8nnTDTIbExB8i4eKrRgG0WhTdQt2E1
G8PtYWj15tyXLd+v9O+VNF6C2dxZSYfBWNtw864n4TwMGiY1fSY4lN7VMgbkignIq9OHHKj7mCEm
G6Cdd5meUqc4lOfaba65QC+jSty9OsmlsJiU8gavyiAtt5fyrTcyqC4E3OVY3VLowvS4SEe5NVkA
N/PcYjUo5Mm2GftyrXEZkeNDblSkxfXJzDpgRvug7/OdL199vzjXnrmngwOVbCXfuJlWSY8TYGYs
mjVCcQtTOxQR6lHy7hF0GJQY88FsHCaprVMRV008vbFz8GdKw/2tx+mJP7N1Bf8Xu+coN5PhWmTG
k69MhBwNM32GQbvPyB0d8oqoYkfvbowMUHMOChrc2+ZWNfa8jcv2UUsElbr+7G5gp3azSH5wtkB1
UcaVtSVZmNV7KlL8yM2Jhgq2HVS6CDq+CEne+DGXkViy+9SEtLV+mIag39SS2DS9pCm67vHPEiTu
KKoeve67m8tjN+WglEyHUbLogxYNcqGeulpHhpIS2g5U9DR0jcdCQ69w49E17cubwU14uMzXvCYL
XbJPDNB8PTrJTdEttVEQc/QhowMaLbT9ep1sW8uzqfUYkgVUPPSauSHS8agya69y5gtVYhfGNoLp
Z1OY6aUfggveSHI2ZpQLsQ4iM6TFOWHeX4mSNddPbnOoR7YdHaTD109ZLb+mUpAIOMK1UBUAH/gQ
Cf/igMc0K5u+tJuMSR8P9LTLp2EXzE2z9UcWv1lU1Rl3LN1BKdoAEeA6b+B4MpaYBca9xFVE6oWq
hhBZ73yaczZPpxsYE4VS3TmPpmqXJiZSIC+WE3mnnf4W9JGxR3HOJhm3RxtKdTtRv0qUh/Mux2ib
tBInKc9eZrV0cFvpbgpApGI7DTMNjKUs9pyCpwlTux9YHCN6fOu1loUNQn8YteGI64/hlOrRSf9d
+j3wttLzKBGfuQG6+1z7RKtwZ1lk5drtc4os2DZjIpvLigox7eLkwS9enBs9zr7m2l0jet6bLWWz
cX8JQN02nYXp0Neuwml5ZAUJtelo7frAuOUV29oIes0YaLdCtkpgiDZrNybtCGbasoQ5Nq9Vdxfz
8iF+/p0j59h57C0ZKHlB2fceXam76Tz2U8u7b8vkUNvtdu5kjhKkFLsswsVVJg1MbqnxQhFQsil9
LOaTG9BVrvpnzfPesoFfUuWJ+5kH5IkWcPLizfE1yFio6sVWZDRoE5i6NeGN685e4NchynZ2GsQb
rfNJ+2+raj13Q5gtQNkEYpYv0FnnGsHKXeA0LGjzYV4gNtNBMy64psNpInoZpRllfmByCA0gvYvH
XKN82wa1axf4DtuMEc4gerwhLVdA5G7lAvd54H4a+J8HDoiUkBskUk+9nxNmClTY9kjB8wU+FO2c
H6wFUjQXcNFNyk8DtBFo+oWngm8kL8IWPFKBS6Ifqlb+AlVSIUa9QFGumUuYsuH6SzDNJh9OjgJC
jhppbBwX4ju1whm19qYDDQX0e3KxP9BC6p11dxiJH5A0i4GhlqRnbgHW2e4CgB1wViOjCm8GeR2F
Cl0xnC0Q2UJAA7glWej0f+/wDVAVBHpr5SEtjw52JvNlBt+dzGVNGuL86oH9EmJyZ8yPOoiwN5r3
PQhxClLceN8luHHgqvW4AMluDHQB12+CMEuyhRMQZxPkGdCe5MwlExJMOgObngvaenMJKP9Ug1x3
tXdngGQr4HUTZLvSoltEG6R5gnnHNSlQYOC9Rko1Gh1nAcdzHtDtsADm/gKdB3+C6J0INrh7e0xh
pbahdy7DrgPsrpdNQGmj+VM6GPsKG6Z2fs/BISzBr7BJcSMB3HdVQW/RPH+WQPplpyMGWVB+TAZ3
cdTi6QP/n/r2CeHeWocY0HlC84UpmHMKnLzHcel0WLAxTG53AU0iKx2GwauViWTa+HHgHnqd92gh
I+RCSwx5A6NATVQBY5HAXEjL9Nd+Cq0vFegnQDJ9KQvVgdQcrRENuBksSJqNz43Rw6AtBIm3UCWd
07xB1SEOyKMtuSTfRla1ZHD2HI2kvMqFcml1yjkj74S38a6Hk+ngZhw4mq6yUCw14Gy+dN0bDyYn
0d33oX/UgxTrvHgm/nutNc20HSvLXwmIoKJrH6JuZh+S1mPcjl/an5yRkGpTZi0EUMO9JhduaVxY
JmnxyZgzI2A3oV4xa+vUWOReR+qaQVKNkcYn9FETKl/BXwXwWDxzPEzGJYHfmhoVRgvftRBfcqHA
fBog19lCixFC+1HDk7l9h4QUvgQN3QqkDJYNrdN5FqT0l0WxUbl5H7dnJyI7BKRuVr8qG/c6xJzl
aGEKUVc3RBjkUHczC6VF80VvojodzOy+8fqDX3YbQwhkhtB/rszmTeejwW3FV5m2txlEoZbHLJHW
zoRAzCASQRg2tJcu5XzGr5a6as9DDfZvscpCQwLUoe0w3vKsOmTCOWmlfYsIc+cvKn/AubseQtNP
xq2+MJweVKfteOcG6tOMYEC0ZLwVCymau/wSxvqQLXxpZ/X3jEIHgJISbVYEngm5KiFZZ2u+6gvr
ihAmTKFhW7p4dqkW7XMI2hqiNpi7o88EsqraPfQgRdu0fdANa0wc6elC7FYIx4ziK4HszRfWty/h
ojRH6zcVQmPqRb8s4XwVcMT+QhZjI2T+jv38UPU6Y/ZCKveYlTe2GL/mpH/U9Og+x2e2CehRaIwu
nKlWdQdxNQ1tTWL9yneC3wGVV2NVF3wqNBK4Z08fsYZA9Knhhen9alH33RTFIRvFz7wYVLE+QRyu
k8ahTyBAVKitNa0hpKs+pSiIs/jUUnaI2fGMDwUdd3k1o3w/SS3UmaEdXlaEp90ihTzQ3nyPdPTi
dvEpKf3bFJIhb9uNzxMuBusB7oUDwV83KlgPk+OvZcqK7/Ud+m2xoF0F0bOMoPqPTmQ1w5E17MSg
h63p0w+koz2pSWBg1o4H7yBqL5wDtXfqL6sH5tCMaHj662qO/2XOCTZgwwJAslk/fd+zTJMN+N+j
AWsG7MU0/x/bj67/Fwzgf36d/8IAjD8I2MJVzaav+57Jvv93DMDEaQHDTTeig8/CAQX4bxAAfAAs
zWL/9zyKuJa/9TephvlHwPeNfckFv7BxQPwlEGDxc/yrn2Ix6hMU4eCgp0vrn0EA5P9FHPSahenY
2mCZPRnjT1G3ny5VHZmdXTIMe4lKtr6GU8tiuOnEZpblp26WoFAt9EBtklqBTlxPO4lGmCzwqGap
ytIwKaYRM990ZEAGxm7UI2f7YrDMtgTReVW9qVRDkN4Y3LdueSn9eOMLuUercRkMXMeFeZxzlH4w
52Nc3QHaw+kJidTViTBPstRl2JIgiSHgtXJDqA4tV+IqXMfYCH9aF5NDn3B1HVIeee+zGucHiqev
nY4EtSA0D4v9cQxkf264/VQQk+SUVBAXiDMT7piGlPVi6sLcwE6BJMpORrJbolcWkZ2rKLkwh9sh
QkzKBbAZjC/VqrMuvJvOcfdNuWiUE66E0Wt+ZymKbVxTu6uneD+kyVfnjvARi6h96Re30eBfxtrq
T8i4N64nb1w7fo9r5zR33J2dwOKB7e2O7P6zhsvDt8tDMP8W5WRvakcgZyRopxw5WpwpR+QQbUfN
J0HeZUfqJ9L6Gt1DpKYP2SdM0ZlVpWW3wj2Ypda6dsgwDxriuQw1HkaDSSsDHA6CLznQWt8b+xkf
lj0Z46phUNYy7UT3C4gtFgebPQPBiaef58CnX9MleKy9sVNtO/CVm6r5SftLl1VvLelCfm/j2YQ/
MqqtG4+nybaegqZxQ49GSx295BzJ+9hxTpx52GUmH2K0hj5PURU42dUaMwtzGxtrVTv2hn0XhVDu
PuauW0FQoxdyKVZZxdH8ATMwN/GljIpNWt7LuN9ZQ5lSgonIQRinoCZohW7xxfZTUSgRzyEa13vP
bA0oprFfzzRMbgrSeopZXCXrIYvl7HNu2wlZJm27bSDH1kDyxB1AT5mBvh3LeBmig63kVmHxsq9S
d4mSac1XGbdg8c691yO+TAJH37rSvxoBjbTo33uhdmYJCuBQHpalPhoH+5U+lbB1R8yB6hY5COYC
qupGfefR/Fy7Hiybesjwz/kOCXiiHG4Uusp1icNn7TKCJTQBjHn340/+e5CZ86bGC0HMZErKGuyn
2xlfyRhvBqu59axzyhr0NFATOSdIszXy8+GvYaxmfd46KMHzq8QJHGXqWJYGE4u7M7m2cTee0EQ1
004NzauNhCmQMANm5N4KymiGGknmLAhWGkjrUfrVUYQxFA6yGh/d+lq2OztaD7T5Wvs6wWJ88sFk
KrbA1869qR/SbjsatGnudJBvSFgzZeN+iVE1jbu2Y6Xxdxmt0tmaXpygeSCBazEN0tZm/3TvKTma
uO6LdYpSnf7pmioYWOojxBJZRsWL1t0PKH7ireRnf1S/uL7xonO5u3uyMaV8jsYT3hZnSeTcFhGB
8aes//B7io5t9pZDkmwn51KRH5Ipah5okt9lKd14yw8DBMRx9QyuNDQgIs9Btxtv2y501FW13pnn
5BHO5Eo95lFFySH3RbsWOU5z7AFPljwaJPolsfERJdYDO8JdYByavPs0kK9opUEYFh8g3QXtSMdx
0/C8vpgVg4U2I0KNSURw84WPELzOWksCnBkGtAKuNFd/tb3umutmz3zRnf1I+4rpFMRPtqE96sxI
i9DbvvZjBp5jcZKwErH6/AJqgqtBqxFXgRV6g0Up8fNtPNyX/M1uWA8OjDa5dNpVKhKF/IfUkOvW
+uSVRwd3DNKOIprbYdT30M0IYb6CueesXkAEsqHa6D4hpkip+754EPI6g4NoSvLLP0Tdu2ezxWrQ
m+V4QuIsNLmNUdxE5T6oCSjUoWjuxsY+1rSod1viGDUC9+NAXaypuRc4kpT7mtPG12ZXvGD5skvV
dDTxkRIZY4/420UIpBBOBxWht513uNR2wqjWdXFw+o8peMx0wieIT0RKu26HX9BEr3jQg+fSfFHR
uYqiEw2ogteyCZJNxaPRQ6868JfPKC9G/TDc19Z+Lm6q5n0CSENuThmRODQ2aoLihmAZ6d/NNY5v
OFvty36gRNvB2eLpYepDewG6Lij2ajHwm7uAJwvAPRlpsrAfCgA7l0Uj+m3pRa+zx6Z/GxN+jQQu
OV/K3QtS/G6t8cdpH/yEz9X3CSq299kAOF1tG/MxebOnFnTtYo+h7t5UDN41/RyVQuaofZEyodkj
MbfpAM6J1LAz31K3fzdMh6y65q0vXUbr5iA41rJcQ4nkH1NfnDINswLlfck2tY0X5Xa3mctEEEXt
cwI+UdDBVPffjuXs8oz8wWB+GNJgS3/Nlzku3ozJfqiV8RtFVrUapk5uO0WNECDX0cd07ZEZarpV
Eg5p/dpCnK6cCpdR1bEJRxoYdRGdDNnBQ9vtJva6Dw9nVM5+k/n1T6x0uUZMRvcHnVSbcnJ+SksH
DWyRNlSKUJvSfJC5g6NSTdwAMILRGNrcnmwo/jOP4ocgpLfq8reyB4nMnYjWdC6j4q1G/Z/bhEqW
ipQ5J73rffPTwc+GotoI0IUOz5ZGSzosd90hMETPaQvKu+boQfOq0LXEoSL9DLSv2Whj/piQ8llw
qaZeFGzR817tvtvlev42kp+wBx8KCeLE+jTze0vlhGYouS6VUJXMblMci2hT32x+kBqJRSO8T+Hi
ARiW/i6nRI0gpzBO+4NXNo+KXYQjR94ILmcQj5U9TjTCDW9kACrdejATWbNm92JteNUHNPJH4gk8
PPGlcIiT61aBx94sPSDNWD+ZOnOFhmcgovBRYBhaDQgRsLiNd8mUJZSmEWE0UIjS2iaLG2byHHWv
sGJiK/DP4rCrSY7j7Wixk0bmJbfTO0DXuxotFJ9sgAetBkT0YZsLXD5WcDSKxwYBPEb24aZISCOh
KzNy1U8+AoHMyN/NQbvxkujaohYYyBRNwcVSKkNkPPgEsjpfsu9vfZMoc2qsvPhJVeSqxz0kE7kK
IptPNX06Q0dwW96tXOpInSkle8/VTnreHaLWPqWDfHKZTI26/pCq33VkB0LbGF81+XurxhAUaaqj
qQDCm6G913uOPCtGgkM7Kb9ifyFzs99KeohMnfcmnyxgK/9Qjig4Uu9TGRjvMK21qt6V8XxJoKUQ
UQukPKWzKzR37xneW+EFt1rnnssu2A6KjICo4rEeI8LZED9wY06hb+MWc8bsB+xrolzNuHfd+GuI
NFQjRYXvx2CWsmnlZNR/c2xbu6vn+mOu57AO0mta4IwpHbp1OLGKfMhhdqxrnKThJORb6pUfziIR
WrxKhdZ/lw5ZkChRHT8NgLvSIw5TaJpS4a31L3lfP8w0nu3EmK6NQYYpatnKbnCXDE9QMkiZqaNu
51c6yxeD5bzSYY+WJ+tBNf9J3nk1xbGtafqvKM715J70ZiK6LyhfhS8QoJuMAkrpvc9fP88qhLYk
kGafpi46phUn9gVw0qxc5jOvaR9MX8e3Sbtrw4c2pdowUjT1as9+NHOcFtOarlDfype17q16D/dY
+mySx8FjtpwchpTf2WXbTQNd6CAV+cOgtpg9QWKJUVGyA7Wbhk3Tc7wHyAYNizrl9OlUzgFEemea
63ytumCapAQOmhWdxwCIqTLZ6qwpI4KZ0L+gUplNQr0i2lLGc0RTTltMGOMmWFJk7hHlsTfRiPiv
mnUsqWzRUK7WZfVW9ZJ7yzfukiC6lctuHiXu/eAHlO9AXQTKhSQeMsrtTVKi8Cqp7dX/iDze0OnG
mpaqyJwbKpn07/N40dX/dM7U93dJjkX2G00EURd4c71v+bz8lyUbsokRmgHr3bGRy/6e0Ct/ab/1
zFb/QjlbB8PqIJ1t0e5/TedFgYAuP17XAAV05d9jXhgGZt4/pPMvT45Ptq7aULMdU/uFeaH6lkx9
jCC2zgmd1JEmn1Eb48aMKZKHOPj1gYczKQaBaJV6tBmyeVLI21zi+IZbBryyMaZVgqOxHqzQYThr
R9PD70yd5ZbypNbxnV6hNQcinPnObl50IVurv0nob81D352PVfalpDnsq548y0frStdUQKHVrYuX
F30OeaIaLgaGrEI15wJRJzdTO5D6SaA6jx3tbyQwXX9OtydYpJq0tUh7jNp+9tDnraNhV2MLljuo
7tgQrPOYhB1wGPqfaj7LshTsYm2tshhUUlyBWJJrdPJSrXwoPG0fjM3ClTzSs7BfSqE7R3ATbJJ/
Zib53ZDo102snKZBRLhVjXs4OFuvp+Ttl1TCfUaoC/t77IivCgOrDa+Jz6083dBOueJYNUBRuOxX
DqitZDzR9eHJxyZa89uFnbnPIfqgem+dK0Cj/Q4p1ljBONTDPZHdKZnS95rmvn2rUmJoSOIaCY3z
WNnQt3vC9pzxSgOKB5Lxpdfho0e6vXH9dgkS4tQb5a1UJOdG3NNhkMabNCHSHRRSrKa/zzPPnZpR
99VSokckI2ZDQ08IUVvDwDtWKnyFpIlQekS7zfL6u9BDfjNrJ0GE/i96B7NWV8u5ndVnIyqI6Eyr
myAy8YaVroDOJLMeVYeZq0MQS4XoavcUk5OUqOsBnL2lDbp1MMg2gPSh/RIsod9PiNgWPsACZmOb
zBNdWoI+mAyasTYNe4PGN5IeEkxoqwAHHtlIMet2T3NPpegZu+Y6kjHTrimsBCVOuWFhoMKsMIvj
J3QN/JmhsAGrDgLSXqaDbIjG257wJYoUoabHjzMlciixjAjaKUgEKcpw50j5pWe3nxuGH1Bjc6tZ
1ToYDBKf1BpmUPw5JBSaMbWsrCxEq/LKzmf0Dqni0A5WYxd0iyb161YrL4xouIyNskUgKxeKqJzA
vb7u/DoikymRHURAYq5bocXr9PpKDaOvjgYpSJeF4G2l0Og0I1jLCiVtW0NIShuCjdTfZvRhTWDD
+WKU47VSMrl6LT2Nhda86qGsMLr6pAkNZVbGxo0VStFyrM3hsu/jtR3ncGZyULQDQlRW0944iTQR
bqxGYU1Qbl5WobT0bMv83HjCtfAREcgi6mky1OtQYCDLqKDxRd8zJ0CdaAOZOs05fMKzZx15K3y9
UZq4lFVqNbp7oTYwJkoDzICuP+Zead3UuQPmPR+nEmLjE2OQ52ZZC3/lde5jP1w5azAuV1Tbzs28
u5AGY95lQFq6oFrQG103FeDYqtRPFFqLlWeuINrM40i9Yn2jG27PrfwqgEUx1dr62i/lvRCd00qQ
SsT6K17ya6b4nzGTvwX1w2Wr4bRF2hLO1aQv3KVaCyUUBpqc1L7v8Tw10eJ3W+/Zyi5TQd2ugbR0
JGzM123yRQ4eyRUiIVzYqAyH6+X0C+8sZKm4oXyngH8uQTloOk5wPszXJHnoKkot6GZ2+wEubV0W
p2bnPvhpeiFCNT2r545E2caL6ptBkkBvUDeG7F9e+kHxFVruk56HM8XTYODG6iOnv3Ei++MXyang
zeQoPKL00Qep/lwZKVFj1iz9goag0AkrY4TOBzQBKtF6CdZlmn/26ROhnxZKa60zZ3auWrToyktt
UG61Grr/ME6CAp3JUlmPQORdzwEZJZUzNEDXlo308Kjr+klWSxcW7IDEKh4olz43ZBmTth+dpWKa
q1H6WhPC5OSPukBwGyjzBzIQYVNtrBPqavdyJT+Xlf4oyMRw+8AwmiNZW51Kkzqsn3X6RYqGBr3G
vGplGVKxdZEqDluGAnCFdUDwPatLUu3Als/8tLmtK6QT9ci7dDt7GTkFkobqKeI9F3IOPtcDpWLI
kLZKUCeoPTgyTzex7M+dctkiOVDNY97GAuANYAXQLdFpMKHRPQmphtPJdugUeZV2rZw5FjQ2yBcF
CppUXGJUvdwQl+NemlKhpQjr58uqvqMBel3nlwWdJ0guiZ2sgt4+V8xgIZUwyrMYrMeqsaR7ma17
0uiY9za0C10oAStPR05eiR5cXfOWvYlKOjjD6RiQxbB/bdyAWN4fvWyWO86uGwZGODavZQ24mScl
uz4E04uDBuKJLqrzcTSPGhVNLShZprQdVNIU9OYocVZTKc03hqwtSqTIUuiHg9dO4IyjAZNR/ebA
xAbjzBjsTRiHG2DFl/IQXDqqD1tFFhjf0sZKkQkpucDJEXfAMLWdjJHLMSfHN4laQ/O3eVipmGtd
Nw8if9rBH6zLs0Glsh0aiPsPyoLT6E52AygJ2bVZFLDwm5seV1IQs0vEb2s2ZErei1EN15pjr2DG
rdXYue15A99GP0NpqDnn7cQGMeug2iolMUz8cmwmquuU80ihmqJ2Fh95iJWH/xlxs62YIErhKROD
imjy93Hzyf5ZCEf/2vmCsfTzFb5Hyip1ER3lCKJkQKayRVT+Df4qY0HDYeI4hmFqhmzJP7CUVaCx
QHMB6irWz6Gy+pds6IZKFw1orI4A2b/T+SJc/ylUJuA2acohVWbwJKoYg587X8YoEaQlpMEoFq36
RuMUQ9Fg/OKk1sarSGPh7wmHUAtsIuwVG3HyrrgMPXlpVeZd09PBj+DK4SgAbQZB4j67ZY+ZDwpl
U7grOm12WrCSNZPCbN4E1VcnqUH5RNJJPcYXivc116KlxaEfKMbjqCH3Y1rKZd+BUGuE6FcxU82G
2Kq7rHQZTKI9LlpK05WEdk9SuTTOTaIkCyICZZHK7OnMgxWt0JnujQ5g400UQMOzjH2ghQvbtuex
V+0VKuQR4Dq5XVBT3fnuItXhrdSdeYM0bk8JWFmjDnIhaxH8Qtm/r63mrNT0eQdsR3fPCa+wpyJ6
S5zTMflCEBtWV2oOtC1E7jI1cXvXniSAOF2trItAoQmFUr0IziOqeX5/WXvtpavde50+yfVxleBZ
oYR4skjPiFzPSzKUAbkBFOX7aQXITCJXpluzAXSAFoa00CCV16YPU9pZDmgWJPmlP2Y3kDgmnY00
ZRbOQmdEGO1Uw54eyHI6Tjv1rEeyxk3YTtPHADGXGPHO5K6mQM0ehV0LUmaeuzS1DK4BZCWJ3L70
KwIp+zEZZ6kO8YT9FSFmjAjKwgMRNpr3JRSHYUB/lb66fmIj+zhpcSHoKZk36qlCccfvn3LUvZxM
P0XIWyUeysbyLBNcLPfShg0ZefWF5jzk7Ja6mSwzoFVaR3S6bnFDQhJlIktmuAjGkkGwqrPGJ1ij
fOaXG1mX8D2JQ4SzDUxs0mjqmUUEh4ySsARvR2/OPMnHhRr9tz6B4Yd3TmHQuVHKpRujvpGkUIzj
C5S24MF1G6ekLyKNZ5aprON0rztE79YazsmqcBp6OKeq8lQXtz2GzTjUnxoqDmPwZZSbIkYPBNxH
msGapaHbPLRSN680DDBgkNqVPksbdw5rV60QxR3059Y6qwH3KPhXt3qycMGQKGQvmfMVzBqCYfIS
6XMC99TlAAw/D+F2KG+1ANbNaW1ep3Y6qw1qQ+etey3V9yWaPYiegVmho+dc0g8NEKH0tr29lIg2
PYDBsbPOQO6h3YSyZ9A/yspGwBQ9H3JjMEN8/TYtTJoQER4WWM3H3TkquJOBQrQhT/0G14xEAXKY
L2UKVa0qZHevemCSI3RQBUklkHOnBo2sAeSILTR2IxnWV0Xhjo3CnSHNcmrRInGTxxy0oCn4KdWC
nv95bSooEbOCii2cu5bGcKXdRHq0Ec1YpZavJadbIvqG/UK8odM58VsaFGm2KtVZAc4uwWcFKpZF
WrjJQPa0jX0D1EGbuKmx6mtzDqbls5akF4ZhtKvKCCDne+O8zeducA2+ID3Jy/Gsphu6NFQtWVSJ
YMDVV16Jr1KaXebmXdmVm47QXyrnNV2dLF9lHS19auOd1J0h5TUJCNGIiKgEpOll7cQXJdFQAZc4
H91TTxoX8IBnQewhNu3CbncXVQXSDhqNVcBvMxMyMuSzaQNIHSUGVP1s3VuXHdRfu0CDqZOe+yCb
ei3V6QjqXHIXJyg1SfWNkQGv05oGEiy1PljZVwD3Z06sr2iMJpTN5Rt0bhZ9GM20WEWAIbOmKrjL
hC65mRZXQS89Jb19i179CuTmjFWm4Jc+MLHjdWFGCisKzRcnwR3FRLtUU8yVGVGb5sibSJ2y9GG9
ufYXgEor30VOCBZTkCNqZzjYfiNOZ1ColUHvuDpCYgkMCY3WPsRFycNapdn2db3M0PrTVHPlFtkp
NLhJ3C6Lyr4tsI4y4OvowUOi4jrpkXF22aPRR1dpsrRs2zhR8VnRu/Mmz5GECpcmNiEhRWvgfH2w
qOAGgFa9lOBWyw1E1wBbMl9vTiUXOULojbN20JYp6tI5O3dYw9/2twZEEMdycccyMASgUU7OXnp3
RVRvwqBfNaIKi76kRvnT8LeSGt7l+fCQwrGs83hZWyJ5xQ1EtZCjwPZLpF11PU9IneOeXqjLXt4b
y6Fs2BgA+O+kdBYlydfSTW+z0oS1Kz9lLujaVCvAp10lFZ4yAMjTDMCW5M2SCp3i7r7WQiSJG0S3
C+cUPR+EGprFmBAYYjQTyvGZhAIiYLQJGjszo4E0PqorRXLm/99He4eAx5F1xdaQd9Vsaph/ivYO
BdI/lknfveD34A/+jonyC0YfmqlRmYXG9D34E9ozqNfQtLIMk7Ko8zfwCZdBXaOMKRNWEu2Z/Oq1
Uqr+heWIYaBpYwnuk2r8O+EfpIefwr9DpVQjCtURh1EtdsBfwr+QTCLBtIFTXSuXYaom63wA5h2w
qtGxWPqS7kxtqWvPXFrSi9IJybzLYJWyZVhVptwZLlIrFUUD2BQcCsRJZPFsR6qp0ROSUO8YPFa6
nUkr2M+oqsNNsmWzO6fgQI2GXTBHMWCSIfOA0uXOHLx7cwCB61VA0o0c0mQ0xHMr7hyZhj+bdeup
9HX0pDkzqwRfizDTZ3JOLbUtkrPRTDdWQYeHqi7eXoFi3iJ09qwXYbHsfS2eFka69HQIk0llrFWz
72CthGfo6KaefjWiuVnSeQaMBm9lXoMxUPAachGV6iseUvdo7xpNh6K2pneoKKrptK6Smy6E4440
CqiHML/VYnCVRl9KS12r9DVK8ER/gJwSqz+py/LWYztiYmZzFbSy5LeQrgYiyd4GQdPbpITRMNfo
4JqVWU2qllTbypRt3YAmYPDzJjGnsHihp0brgQOphBM09aP2uhxz4se4xdrOOqeTW8xK0QeW+6fe
rppVbDafawWldL2Zw5pC+BJUTKUmJi1G4wsto+cipg3V+e41TGcikPSO9HCvGdrFqDqUCESXxqgX
OhLX5Rh8LtSsmvJUY0FiGl1bKVqw4HLmDvHLRE+0B0wgT7URcAOcoO3IWa5DwtJ0It3eKT+33bg0
AYM4nAme/ACeeDr2Fj2L8DayOPKSAHXQjGZZW7lTF0tCyzS+5KC9J7VO1JFH5qIxDTDCUnnRDmit
whuSlYTHgtuVSCd2ad6plreLcnWuS1CoHf8zzK4wNp2Tpmb/N3rrxky624DQOLGRRGfWLfq6UWZG
PHxG8Hfideqz7mUW0mbNl7LRT6ugQzWfkfNiPGHYzXvzUpcoD9oo0tV8qDJ1rqxS2oElw3crhD2X
6dAzXMCDqhneZ36h4v+gngB4Qp+YTmthWug0NuO9lFfnFvf2bZBBbdrchVgF6hl6ijFebzG6/6pa
UrHurmyU9By9v7YUxSQT62dRGqxp1eG2Zl0BQieklO8dpUUqNcaCoZxZ1bgp7A4xom4aQdgXkrcW
zHlaIDdBzGkLwWEs1Fsqr0tKSPvY6m/hap+4lTH1QC3LBliZKBvOETWB5uHWZ36dArwgzjPBPZaU
VpBQcCgmYRVMdhjJwMraOtuGifWZscymXWmc2Rpli5RztsoNEpD+q1G7FDcB1JQ9YrCmvfFKeuh9
aK4z2d124Cd9D9O51lqH9RcD1rrK6qSWPR9R44OkR/EHxgh1XJtVmHQtsjWf8z56HnV5h4jfZGx1
kEvCD0zZWaJwjPhqHfdXBbXUwngMHYK21N2UXnVm1jBS2nTV5Xd9TjujMq6NtNiBZnBRRIC+vSrS
5AxCDBIJwDlr9dqypXVRO/M2Qc8eeY5pW8E8SOLLXG6R9DBl2EP2CY3+O7xzFr5TIV/lkCDivaMT
6ffBmd4BCG2Ch0GiYGWJwnTss6BFqdoURevUVW9UaWBGYDOF7FC48nXYFIzLad+S/VVut6z8RUch
vMcHlZjWvR2RerVrHOJQ+gApkgJ9CYUHE8V0TSbDtkWBXaHSHlFx1w6190KU4VNRkGfZRtQs9bWv
2VjtAUag3dQ869TxUVO66ERhP0ktNKOo9QM9JdEQ5X/JNBcV/QA5gwKWRsjNDKJZMLSAzq2qESYw
t02MO2aWDJ9tOgwoo9y5ouVgiOZDKtoQkkL4y3cqJjUE/oheRWcwjopoX2BEh5KfaGn8TwhdbEW1
DR3ks8EZhAHFn0KX70DtQ6cXXb1P4ieo3/9YuiJ6eXvNb9ELJSjCFuJ4AhD6vMjlfQ9ecD4T5Sfa
uKCzVXT+4HS/MrcBbUPMBn2D+p6wSP4pdsFuGd8z8ew4Mmv/lr4eT/BT7PL20XmIH5nbedAmgdc0
Okq3JtoNzLkZVc5gAoyX/yhyN63L6g7IRTGFeFdzWgW3iPYsjRhDBlARYUuwUrTQjX0BmQgFeGIM
vXkTPiSxQitUPa+t6mFs0q0iQBe5gF9IZADwt+8tJHtxWoMo19zm4DUGG1oe+I2STp8sAB0yAuQ1
CI8hKTmawHz0YD8cI4FeSdEiBRXiq90zQtUoN4EdqVSDphkcpALbIGSjgJfU+W1toAcG7qSOqx2d
BunKjLMHA2RK6wKsgOGCFJGArQxt+GSCY+nyCp55luxhMdLpTuQFCuk1f006LWAwteiyxCBjysQ+
Q8HsUovpvlTEOwJCo+f5uSdANTFJW6oWZHHxNMYTTqcpHYPCiQxnRUCmgZMyvmSyyaESfvXB7fgC
wKMKKE+Too+VjKCgNLA+RUiuLMA/pq092R5UIcRz5wZbtwFOiOr7rQNuqMLqbBBAIkeNtqbsXztq
dVKDNKIusCixu1YxhKVPTJPLNNepfDOWqPRzfpZVe0l19QlNJzoTYJlMOwEqzfnj1ieaJF1oYJ7a
rlzHAgTVjPIe4dOVj3ZI0HenuYBLUZlXc2ndIzjhSJ85JdaiShZrkwykVQriqtLJN0Fgoew9G0Bk
SQXxjYBoJQKsFZkpSuTAt9oQfLYAdKG6sIwbiHWSNVD7BPSVCPiXWuZzjxqpWwGelcZN6GRAkwRk
zHSJcnv1wtHI8EN3pwIv6wTOTDVLRK2BnqGxBpzowRCANAsjXABqaOCcDgKxltbVjQ+EDUDRojpg
2lJ/Ucomp7PlPBbA3jIhEQUMzhcC/rVQ7XDnETimVODlUDo6NUzcWTU5WFBpoqkEuM4AZKco0kUo
UHf56FBklRDUiW56gctDY3ZmxhCiogL0nb01APCBiT9REo1zDyosAL+s+ezTJ3NQwY7DXQMIkADg
qhSoQDmTHzJggqF+XwMajAEPuiniwTlwwhHAcA68MAdmSMXcmqRut/BTJF5FsUUgEvVS3yYCoxgR
44JpkE8bWIe+wDGWAtGYBR36fHK1jwE7toZ8mdUt0rP0pw9oSCaZJvCRjUBKxgXaBwMsBLUt7xOj
9Rc2sMrKokcIzBKbHoplAnmZg7Y81/jozHvmkaSa19gSyGAllaXUK/s25hMK3mvaU90Mu+ZGq6yb
gwAX1ZRMetJQ7A4A1cJJdpZWSzWg0wx0zMd1CBNDznp0evKOslV7FQMI7TRlJhmg/xXg6cYoPGtQ
a7YCcNJ9dG1X9hd7gO3kaho4TNksTpTQTM6KAeU1Q2ujpZOgKKlpwtm19UC1mPg+Z0170aIOp9KL
22ZZmC6zACdpH5Br3RiPwK7PWoTzPd/xUExpl7L6tSdKLU0sgFULDkhRg6eJK6B58mU1KP0VvTzN
zBeSil2RrBDZKqAnQnDGVMizbg5C8AFHN6Qo5Mdaga1agTE5afnKS0LKR88vL8uBbZIqnR+hQwir
V/bb5ESRmttEq8B1b+Mw28KMvLG1eef2TDzAdmtMVlYaXsqZou4Sf9do8Bai2sDpNojKfAPX27+X
C02e5kqLy4NnNneN2QBO9d28OomGsN5LMW7okqPGtKaVz2YpouDMg0lu0rTLlfFJUSDkuGmbbzJZ
PdVdJ1+ZSic0AQS0mkMj1b/WfrSlrMLB0/rXXgsWxnfphUYxFFKYpSG83vvaKNdFH26UCrSx1Nd3
Y90iz2YsaFpsso614TT1PNJAnVjRFzxM+nmfS/pEs74UdaVPIfaKe21x/FklfbWD8wbkPn7oFWPt
uKFQxKTkCPhH6lxn6iv+GR4eEPTQb1PlU2moF4kdrVEfWFmlibAAqFHV05DNBn6dtXk/q8ogBQaS
CDCQ/+BorLQ6li9ltE2tWH/y4v5r2xvXvjlC8NSoz7feKeAKhPy7+0FT7+mu0ialp+E2KG/kNo7f
dI9sb1P7+86oN+MAOsm3HtGgWA2645IYYPtZpze6Pc4jVdkgsjdHY0OIIvjPbeIuBpN6MiyTLEcg
F7FF9OLiVd5WOGm213pkO+jBDTfIh15VqJRkJkUu+FrzKgds0xHzs5WgPe8KpQ0HggrE95TebBne
xjkKoWwglYFrmySTg6OEYturBu2T2qZy2ZQbBcEMPmPyUFFuKDLt1INDVaVYcbT2pjSJfiucMTxh
Rk3Ct9HU9tRSQpnEZkDkiE3pv0uQ+r+f+v/j7bPprt4Byw/q4arZl8P1vmriunqV0xG/vcyCtL4B
efxf+aM/X+jT/nDRmyHf/8e/ds8JMy2o6jJ4qn+MUIk7rV9LdIeHOjzxn64R73jm5pmLG4SyYAtV
gtZ/fYqzFEj34eeS8hd8P0U2qX69/HuJqH8Ynd+9/59f7WUg//w3v3904tiXoVk9/8e/VN15U6L8
J+/PRX4YAPysTHq8hIiiE32Qov5lHKiHKjoSSN/+/ThR/zQP/vyORxwHnk0jAfmpMf/vj4MswKlQ
UXXl+/f+cRx0WKUGInT05P+7joMBIODDw8B0UJhYmrAxE/9+WRbAe3XqzxSaX3594MMy8v9oXfyD
P/q+w0ywsXo+7C3BvnpvC/rdH7xOu7e//2HpvGwdP/2p2Gxe7v735vOfP+096uEtf/jt61sfbvXt
///tHd/e/aebvb7Y6w+Xwb7clU/41hw2vm9Per5L2KLO9mW1H6rgef/j4pfAVjuWxsJk6v/9TL9s
lyz178viT/dYlPsd+f+ns1369LYU8Pe96AF8+F6HosNZ8CwE/X+Sinu9DXWDI9zmZkj3B1G6u/2u
fL2e2Da/3+YoI3d4m4esjCpBfX//PpDTPzxqr1/oNEufs/T1gj+/D0fUh++zzZra//THF0LY5Ag3
OmmeoiD14Bi8GbmXjezDrzLZJY9l8Oy9qBK8PrIYMppqBA4fvsF0Xz4Ob54eialjfIjlvqwFnOzN
9SEVyMe4wSlrfff26sQ7x9hRTvfB7xw1acYdY4GfBulTFr9lpwhM3DG+7kuD992VgCSlOGo/PIEw
H6x/swZU5LGO8RYX2Fq8M4m+xY4ffoOtX2b5m0kEn18/xife1ruv7z6+hhzHMdbA3a7sgqe3e7dm
4B9zhA88Bd+4/ylp0fCdOcYpOquqff/6hGJP48JHGZIZ4i2fts17lz/GObZhyv362EAfPjwRWa1f
IVW9XkmMiA4+9hgf8Q7jpzdTHE0c6xjjsaXi/usc0VXka17f5J0kmKX1j6K6bcPq+WVMVMU4xnBv
m7LcD6/PeBhtrnyMhz4EVG/nH2Nik4t8eJ4gEZp2uzh+vdTLox8SyA9fewHe/jeHHjmqeYy5uISS
+XYuqvpRJvoka9J6+DRtSqKynwbIojf3+oMPTMjDkdq85+ZlaTRjnGPMzFUV7z9lXz/dBZ7/005j
AQLX7GO8xnSPbt7rcIgJxKUN2lSvP/rACB1232u85lJPvMS70YdCg9I8GH9/eMa+xDi/jaRebkSb
9sM3Ei/yehkxYi/vcJQIB+mbQYwVDkr4RGbpJzyt0k/gfn9a4y83FHTfD7/L9f75aVcecstJvG/3
vzrTfbvVMYZtW2dP+HikEv+72e+r16f/ewj1YwSJy11Zx3sERN4ZMgjXHx8y0v3neF89llnj+a/X
++EljhEsvszl987Tlw9ylOPjZEd2LBATL3d7CZbeOcK/3fIYc+B1fuPjwfR+5ws5x5gCL3n/H06w
lzc6yjFw4+8//fBW7NMsWDGoy6zd/zo7IEYd4/1e73cJlqFKRJHjnRsdY6q/3ugwoC8CCu/c6RgT
ftsFv9aCxEdiwI5xEtH2xczhMFL/C3yQmHxPfkON8vClLtkr3vtUx0htThvmwztjdozo4IxYnsm2
2VMdfLObMnJHOR9AiTKb33mDowSw34677wWWd+5zzG3nUOR6ew8BufrwSfp9rdRZtD+ccSXXfL3w
6/mA8OcxFqYIDCsRKGyfgjgefr2LgM2//uwDAdx0V8YEIm9nMKJfRzmBXsfsMoZ7+WYbU/FLOUpp
6iYrH3e/DNLh4seYw4cc72T/TtGcxox4g2NM4Ov9ToTRr9/0ZTaJqx8l6rzLvlWv37n+MWbrSbl7
itJ9HH+aZyXgzHduc4wz5I4jpMpegtmzHT0mXDJ2v2xdhzE7xpGyJT/+Nfw7XFx/fbsPLLyz/XP3
3oRVj3FsHA7zffos9qjtfvf6uD/MqWPsHd+X9p5e3GP2TrB8GK1jrMDXW/1dgX7nnY6xCpc7ceC+
vbh2jPOD8i0opLebrRimozRhTmJW4SOBEOUEAn82927/3sscYyke7vU2Bzu8yzFW380+FrX0Q/h2
V+7Zvt75KsdYid/KSJy09LD279bvxTaPR80xhu0uK39Tc/t2k2OM3eTdopWg4cm/+th/OCgSh+N/
yVTtd5gpRvkflYt/SGl/VxESb2zpBDKyDtFQNpFme51EH9i6v/MRRDr9ej2xtwoS4hsB+qMM8B+J
mwfu4696eR++7T+WB/nod5zwqOUu/vTthm/KxeL1IJUCH1FlSBfGcSAkNySHJdWqH78fy4Nk1FR1
JElkU/j5HWMxvszTw39/I1D4PvP2w+P66m9wCF9FveIf02b+fOv3MEPfIVWT3wCh/p9/AJhJXPgp
Bv/yn/8XAAD//w==</cx:binary>
              </cx:geoCache>
            </cx:geography>
          </cx:layoutPr>
        </cx:series>
      </cx:plotAreaRegion>
    </cx:plotArea>
    <cx:legend pos="r" align="min" overlay="0"/>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_xlchart.v5.10</cx:f>
        <cx:nf>_xlchart.v5.9</cx:nf>
      </cx:strDim>
      <cx:numDim type="colorVal">
        <cx:f>_xlchart.v5.12</cx:f>
        <cx:nf>_xlchart.v5.11</cx:nf>
      </cx:numDim>
    </cx:data>
  </cx:chartData>
  <cx:chart>
    <cx:title pos="t" align="ctr" overlay="0">
      <cx:tx>
        <cx:txData>
          <cx:v>Map of World</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Map of World</a:t>
          </a:r>
        </a:p>
      </cx:txPr>
    </cx:title>
    <cx:plotArea>
      <cx:plotAreaRegion>
        <cx:series layoutId="regionMap" uniqueId="{880A0EB8-EEE5-42FE-9EF4-C1D4EC44C613}">
          <cx:dataId val="0"/>
          <cx:layoutPr>
            <cx:geography cultureLanguage="en-US" cultureRegion="GB" attribution="Powered by Bing">
              <cx:geoCache provider="{E9337A44-BEBE-4D9F-B70C-5C5E7DAFC167}">
                <cx:binary>5Htncxy5suVfUejzFgfevHhzIxZV7ehEJ3e/VFAUhfIog7K/frMpM+yWrrgTeyNu7K5G4rC7ugpA
IpF5zsns/36Y/uuheLxvX01lUXX/9TD9+Trxvv6vP/7oHpLH8r47KdOH1nXuiz95cOUf7suX9OHx
j8/t/ZhW9g+CMPvjIblv/eP0+h//DU+zj+7cPdz71FXX/WM73zx2feG731z75aVXD66v/P52C0/6
8/VN33Xp/etXj5VP/Xw3149/vj74yOtXfxw/6KdBXxUwL99/hnsFOxFKUKQV0k9/5OtXhavst8ta
nkjGKZKaoKc/5PvQl/cl3P7ydJ4mc//5c/vYda++/f+v+w6m/tfbaefCr+sO3X6WN2+flvXHoV3/
8d9Hb8BCj955Zvpjq7x06djypr1f0uL78v/PLR9gdEKf/iAw6jObB5yefLW2FL80+ssz+bXRv993
ZPTvbx8b3dz8543+9vZ//vssTvUJR5RLxMWhwbU+QVjBXjD21eBw/esB++rlb6vUP35+devv/WP3
/dKvPODXdj+6/cj8R1ePd+Ht7X9+F8Ikrf6NMYeKE841lVizrzFHH2wHRvREctgMTb/b+us2vDiN
X5v/221HZv/27rG5w8v/vLmPPOLfFer/P3b/f50VfuTG6N7fr56S6rPE8Pur3zPK0a2/y81f93L3
+c/XRKAnT/ua0vaPOAg5q26EHF2l30/Aj1se7zv/52tKTjAcEKIFF1oRRiCFjI9PV9CJ1JhQJRWT
GiEKh6tyrU/+fB0QfiKxklxzKiSjWLDXrzrXf70mTyiWfA9ksECYC/IDx1y5Yrau+mGMb69fVX15
5dLKd3++xhRCZv31c/upcsER0lJQmAPGRCMNq60f7m8ALO0//j+oHSippzgwFtlNU9d3bAqGOayG
Kpg3LV8Wo7iSK20rZvo+q97UXZWejVmTfyhQrv85ETU/BEnb5abRJIukyhuyc3X6ZugDYWaXdmFe
+SAcs+S9EmlUD+knJQhd84ydVh6lhsZqVQ5tlHl+B2PxjauyHZnbdS/iPuorfZaR/kPfNle9pSKc
VZJEbCLTigzlHe1jFNKpZe/KQDSrBGVzEVnvS7SKg3noN7RQPrnLShJ/blM8dWHKfOFup6QqSJhg
MRDD8kLdurJIVrxYMoMCbuewHFFzaStZhlPa+quAl0NuyDyVZKPicejMNPDGviOOVv0dDrqxCNOm
ndMVKXuVfnZUOXfapjapQhroIDDDFGOemxrjpItmP+ILl+Dm3Is4gFUWIh/e94zOeiUyKTZpTobC
1LVF1Yq0E0mNrXt7nTA+XiRdnhRGKCdNW9MxjgidVbmqg9jeLVg3/SWdqn5DYtkGoUPKXjA3Tu9I
POiV06K8GAu8gbGve+4WIx1NjJ0RNSMKui0ZnT0Hp1mNeQz7V2eNCVyrdwHqY2pIF28blYbjGJsq
SyPbJ1uWzmydyDqPxkayM82TVZ0XpkHZmW/zu0Y2tjZxe6sDX6/TYVmuJc7zEAXp+4Xr5IIkSbZp
U62DMCsFqSI/M1SHzZy0+L1qA12+TVBJVGt8mTgbSav9HAUVo00ePk8TBwfkwdXz3vzfsP6Pl/94
Uz9Wt759fPQX9/UTUP3r2uHLv3DsPi78ALVHceYro/gXQei3F//3IhSXUjA4xowrpTRnVEAo+UEu
fopYB1nr1UUKQefVm94XMxz5V7uuuK8+/8BOTyHiV4//Gt0CyU8QwgARlBAEI03V9/CGhTiB8ESl
phqICSb8R3gj6oRgxZGG2IYkIQJC0vfoBlBbIQSLAfxHFAfgIf9WeINA+Sy6MY21wBJBBEVKEi0Z
hN/n0Y30XWmHVNiPzVBXZmgTfoO77LLulrOgaR6b0m+a3CVmsoVf48lGGStXXjWtSTM8rtqKfn5m
618EXKBpP09IwfoVkZggBQZ7PqGx9SyY58F+LPO6WQdWFObpR46TNApyqUzZo/e/HxPvY/hfMR5s
qBnjWjMpMFMKcsbhoB0lEMyDlN7NIjjjuF2V5di+s3PSGN8mxaptJhZWTVmGTZW8Ex3+eqq+psRf
LBr872B8LZgGOK8JpBumKKSsg0WXSdWDSSd1s/DZ6HQwSUPnNctTI4IdYoibKqWXM0HL7vcr/3lg
DqmNEopg/zH8dzhw29kEkh6lN0QEOKIyH8wI9B0yznCru3HdMXHLcb1tHPv4+5ExOOrzRYMLwwZT
TGGf6T7BiqOxs4HxqmyT8jo3uaHw7+Lin7tdGcrQbgYTn/NLveKXfqsisRO7dCN27ZnYyctglUQq
0qFeBeH+/f3n6m27rbbeXLVbD7/qFdmRK2+8EfDBhyF8uBJRtUUf2zO9YpGEy9mn8eN8VZwtm+l6
uuEXdlev8OVyac/12+l6vHKZma/IbjBB6I0MByNX7erhCh768ODh1ynsI7BTmEbXPOpDtQrWcRiH
I/xGTbAVqzZCG7RxK7QZ1u26/JLtmpWPxlBv9ZZH2cZtO2tkZZbP6BLv5pvpzfQmOCvPxEqek4tg
izbz6Rg2qz508DS8a5+er1Z8F6yp0dvlil3S3f5JvYnDL9szZ3qjQhntp6GjZtucddsivC1NFqqQ
7pJNHPKduEw2+q7bjqZ6wYclBKxnTvxtPwkSWtO90qKO9jPVvY8bHhTX6+jNXWrwWRO6jb0ePqVT
SL1JlNH1qmRmOlu2drWYdIUNNsV62aYrt4GPrpowWz9uLk9nk5g2vJ3NuLVRFc4G3lhlqzyaYdaA
IuA9+Hcx43A014kJMjN6U73VVwDBUngdjdsgsusq3N+73f7ecRn+eZ2UC4kEhsDOCd2H1GeAsGbl
6OOBltdToW1I+ahOp6HJdtpVmzEF6OLmbDbWqk8eeYAvTz/K5DTpy2T39Kqbx4+VHbpNU6be1NL1
q7SahxBPNQvV4HRtBG7QLsZj2JIJUNL+B878Q0JqG8oeTiiSVJgWJAIDx4ideTy+iasMncawUafa
dt9+VE7UZomtjP567+lzzdSrFzyAH0aTJw/gQIg1UAKI35C9Di0TL9WUzWmbXTOGTwMWnLMqucl8
cq7Kx8D7WxzzSKb5JQ3wBeHLbZeq9dLsBqtXS9eEZDnN0Geb0POKjXcyq+6d09eNTE9xrs/60r/v
3RTGACRN9Sll48fOl1s3JREHKJy2/aV2AAvxO4UXtcJUXzGFAbFPi4mXZCNoGsX9dD75fJ2xdDWy
eOWSNzzvV6CfrmLLVk6K0IthW8R6BYwkYsyfZTx9Q4vE4Ka4oVV1O3p3OtLC/N6pjjLQk+kUBsMx
CaaDgLt3umdOVWaq14SUyTXKIdX4TA6GEAaA8wvysjtL/Qbzq9mL9WT18DcHhy2DHYMUKAkDMEL3
HOz54FMrO157HK9wIuowblIeznPjzQRZw4xV/BZP18AG+puWBZGGyb3gOEd+s8dPIKBggQGjYcyO
TxQfW9VNI1/eZB15zEvdmmRoyvViyZvYdtxknnKz6Do1Ouvw5gXTH46uEFVUY0kUHGemACQeEbya
9bGteo7uGpyT7czsTVaq/Az3HTIoDoo1pWByz92Fq90uXdL+IuduPeDyLNGCXghW3TO2VECqlsLY
qX6os7q7K2Wbnf5+qr+eqSDARQkGtnyEjSqFUlcAjrjrcfpRUcTDEqHKpFSeVV36sc+5cWlTRcVS
8Bd8hB1Gd8XgsYyzvbZOKRHAvA99BI9lq4jv3XVR9VEB7GZVD8tuHaWyLjdJyyH7EMt2Zb50l2Wa
1KaU1dsZnObMVk1qxqbX59JB5G8TfzYw/EHN1XjtR9Ju2jbvwqeXwiXNirMR6PUs041H89velsUl
5eiNalh2LX0dv2X+cinH+Tyzp1omw63DSRsmtZ1MxmYUJRPPwm6shtOlqlC0VJ2/kTa+RGLgkZ3p
26dN+aa0fANvXyWDHzTn6OU/7lwJfw+5zxOf+XHH/3WkiWAAwf+aJAHbvy/+qt88qTr7O77yHo5P
GKacA9vSGkLLX7SHoROt4LhJIB2KA9+AWPNN1cEYLoGurSUQJfiNgot9pz34BPjTHlpgIQnHIHL8
HdZzSHokRFeJGeRvOPfACNkx3BZOj53CihiZzO2ndKSdyXpUJi+cmT1r+ItVfBuGApoXQDDg7ByF
VZJmXRwvjBhRZN15oDq7a0ePowHZepXIWd4+24FvjvhcqyLskMdABJMaOBzlmBBAJmxv9ueBPM79
MsZtkIDS5DLko7iblwmiWFXS1CTlHPjASNT0tjFjWWeZUV2dNKepkLHKQ+a1a5KwKoW/bllVqlOG
J6bXjA2zU5tcJZCiQq+rfGnDwQdxMIRpmo2eR6nS1gM/YwlFcTTJOa5omNuiHbUZ66Af2o1PccYK
My89w0PY0l7K1Miap3I8a4d8Hh8wrochhqxD9eghtEEYHMIB0WkgUaHdLJdwVLoU9GNblXM6Rk2K
mJUhpKmgjw3vCi0aI5mULQ6JTlWpt1NV2CkzSV7R+AOfR7+8kw0uWhpOHaZo69sUPhe2vgN1D7FG
0Mz4YZG6NFVOXZyaYazmCUVcBpOqQxRnwsbGOZkDruB8gkir0CjzXbEIwSLUUlGRVTIVcqwMSUs+
cQNz0SRUAaNxZljS9izKQQRUqWGqCNpr1aYoOS37IdCmyGHhsSlT15ZnJcfFe1YWjdjZTOfpKqsX
7Oqo5BLbf3YWld2OazWTzMi2JO7LnPn2Dpe+IrsgE2lqmmkhbTQ3NMGm4njUoci4De6KsrcAUivI
fCtQ09Lss7OZaEOBAgm8hU4BNhOQ5XZdx7VOHsacKPpYuYW51ICb4SkkWUXLM99QHEQLBRbJDK3Y
oD7lDJN8XaezT9aMlHPemrxyzQh0rXCTPgfoJjlg1zyOzyY2DeVNvQSBOxWyCtrclAikCGwa2wTF
+V6n629r2yJxUdR91dwAuIYB86DI0WUxopGeOcjsedjxNJjSsMhJDqRqCWq6KlVHxWJmMg6MmpJD
+lynnY7FmfC2EW8mm9Q9Druyqt1ZkDlNCpNy7v0OzzlqeTgUpWOraexF3a6YTYeyN0VG6iQzRVNI
t7bt1C0fNUjEQW3anPXopsw7kYe+VSy/aErYtivqGqIvW+vrAJRClZe3IDWk/SWHeja+Y20nyjwk
qgp2QbyU2xm0GsNFrUF89bldVQNLrTNijIvqMh1UmV4M6WwFGH3m9a6ZZGmbi8Gysc/DokW6aUM5
pqjYKLXU864pQUU/zYRf5st5YcDDelkLHI1dP/S14XZZkiJammbM8CZtu1Rua1yL9qNuum68tgOK
Cxotuq2G2xbQKYBhFDQu603SF/k/Hc9KfxYMea7eZhZYAUSfBcc+jnqKmhpOvMhI3odJz8pmuRmH
iXcgmnf9ZN1wy0oWtPXtrD1N9SXELNfGYTsSW/TXcaCrqT9rajm36tPiG8+XXUWSuL3rawcy0W3j
JlabIaV0ioRrazGabJA2WzViQUkdOd023UpmIhtNJ7NhrM2YiESEA65HWhoHoVS/4QqnIHLP4Hw6
M0GpZRd2OQI8UQa0tuulbeJ2Izsv0RstsyA7XYIqCFa08yqOWsXjYDt5WzRRmwXpDNZBfb0TEDjw
2yAPGr6pilQWplcyZqe5r9uzyiKXRzmD7TAywFkcFoyRWUVzvPggCZelrjTbOprZQRvadpOVZnGW
tdlHC+WHVp8Nsx5sca0r1Y7xhR3KOAmsGQuZ9C/A88N0CVlFUUkgiYNAxbEAXHmYVQRJew+qZGJo
z+1eG+vdbAqxpO9/n79+OQ6ob8CCECH8CYI+40CQ95EvGE6MA+nPmrqoh9sMlPW/lZa/JUnJIE0C
mAUccpQkZZaqRsYwTNAEWuyWcjprULPrWt6es4QNZP37Ze2f9xcM2JsPJGCCmQC1AGiGPhovdtJO
iyBgvmXqzZJCNcos3LmokriLbGmRcYBb7/O4Hl/YuSPQvh8aMAFEEcDssHX7St1zPODQPIg4Bx/z
PC5W2ZgXa984tEaoHaPfr/LnzYNFQpWMgIAKCZrQw6EgWUP9h8NQ2Lfxmzkh+XncK/vCgn625X4h
BFiqBCSo+BEL6ee56CRdEsPGpWsgu9WwmLjkH4CqV6FyLWS5OUu2Ay3Kr9v4t3D+xffWqf+3oD6C
zfrXUP+wNeoJ6e9v+FbhwAJ6ThC4GIi5ENwBUP+ocOgTAW8BkpcSfAKKFT+gvsInUBTVoKExkPi1
YuBN36A+wydQ+wAlAJQkhkFL+lvl2yeH+OvwMRC3mUac7QvLUOzA/EhXialL0JxpKFrWgBXXfYVS
Edo+a/sPE/OQnYYlq3O/dk2xtFcI+UXcxEpl2VZnrZ6vWtDkaG4SChynjEaal8M2K1vvTDF75aI6
btF17rR7l9hUMdOWBYh/1ZinHNQlEYtrlvA4XgeuDIAU4wrCNZQSeOCmbt3lc5OUIcrE2K6ahvQ3
fBkQMZoE6EpVbfegkQ/mqzrQ2SkUofESDh1yKISisWAbbZsRhTHr+QfcU98ZkmlbRmgEIm/yqS4u
+BiPANfSVCRmZL6lpupBJDQilUm3zlKe3wSWkQ6mMNTFGpEBix3C2VKwtehmMFUR6AbAmNetnfsX
AvFhdPq6Nxy6lRQBNQPkjKO9aYJqIGAzCTkXwGdr5rFtO9iQWp+VOW7TFyIUPhRu9+NxqCuB9vj0
lx2HqDgFLYlhzzIDOXxhhgyWdBHgeTZ+QqQkrVl82iRnrnJz8bDoDt8N9dh9mMcOXGBOQaN6wQKH
gg7MCOAFVD+g0gdFQojTR0Gzs8GSWVvh1HQZsN+IBY5EvVsCEvKMjstGZmPSrVShOxGRpprcqiql
fWka5JA3MqFA2IGDAuIb0EY4sEcpSoiqX4IinhOTxL4QkUtjR97kVZ5qkyd+RGsWB3FjQERD+dlk
BX1EGPAOngIiTJ7XZLmHRolOvwOXV8xuimlImsrkqq+Xz9jTWN4wT8fkdoyXOX7gw9TVPETEj/yl
OsRhItqvBQ46tH8ojQC24Cel9RmKQJlK5tTzOjHA7Nw/F0lluRIJLbIX/OmQ3u8H4jAIcBkQM0CS
e3K3ZwNxYJTgHTHIBomcvAibHM/yMnOlksChp3QOR14WL4Gx40MDo+4b/CCvQ2EOQ749zLOlGpu6
EklsjSLWArGt5zUVDnBoptvtszj/C0HhpxXu4Z7icFyIIoip/fVnK7TQbVuQvOgTE4tiqiNMcxJv
/VwN6hT0YU7OfD9O00sAbV8oeh6zFShGADdBwgDIwn6qxkJxRdGys8IaZhcRTrjLr8o4a3pT6bh7
h+e2W/tS1Pe/X+1PloVhBdQhkVAE8JI6OowLAU3REcZhWLQsTYj5OF30StW9SbFjD78f7RDJgPeA
1M8xI5rBsJDvjmwrPbSvLIvMrFmCvN+2bS03cU/pJogLfdUBIF+B0rGcJmDg8PdDE/zzUqFuxTUC
HQ5qWPp4Y+MY1Ie0oeA/XTzVlQ1zzbrqpmurJb8vuGKdNsLCvDeKLxJqd7nN28LgISgqb/Ia2q5i
wzovcBK6vBXzlZyyASpyA+1EiKq+IG+aKRAjpMmc+Gwyul/ccj26bnKbGDa4vHZL1fq1GPGcJKaP
x2a+qT0Cuk5iEYjrJR7S5QtNm5qPWwSUesYgxUi0vG3SIRgeLWoW+3Zk46C0yWaV5RdsTAm7TCsE
jTsV6ERTaIl1IgvHglp5liM5zyQc8ajicB4LN1921kE7w6Qm6Eta2yUlSx/2uErJ+yxwUAnaaWZL
YJh9JnXxNlmKvYw2WVA/olomrDUZYPrlQ69ICj1VA6+gGpfXVrAQyT4J1K4uihGafCyiyWU7qCrb
iNmVbAvPsHpZJ8Hk4iHMYeTsU1ElPj4HEb0tolxgDaGjQyJQ7jKRmcrKHXiunMaonvikI78MJYes
ngRBDtq7JDFfFQ0pJ3pV4qmZ2ZcKlKix3TZ1WQRpBF1YeiarKmBNIsOexjMIk3Ye5mpn0zJQjxqI
b/+WtGM+f8kFr6U1k4OmpU8Br2sSpknVNGFKpy7xK43HoHsEZCN9JOclyR61LorqNKAxYBJTlVlD
zoOpqkGPS+2SuAg032lc5cxneQ7gvesd6EeqAnWLLHg0rcBuPCW9AMlutGOJQm5rP+ySagiCS4Fm
C9knqHTS3SZVOldXgF3qL2VWK31j2wBIfdjXHOcfOiZtAjm9QNAcJvJpRheAClNyM1dQ2Tgbprlz
a9oD1QbHFSk/VZ4DPIrSitvp7Vy309ZqGYN8BZwM5oXzQoZpXWYjP01k1d6lqMTQJObHSgWAjmwv
lk8g3cQgMtawZc5khXIs34y4o5U/7xoCLXSbukpxUUd6zJNlNspyvCoC6dKwb2TOT6euzIvdWENK
mcJC+hSY06myAZcNqBeaZXdS0rJ/tyTVMvdh02Yo2U20CxLwWoXLaZ0TWtTMdAiliwS6N9LmPZRr
GDp1gx1EaQaQvRZnFhAs3Wh6VkFbhulHL0RkWVCOUUtnlu1AbK2h46GuhbDhFOSIXCkxg1GNq5uF
fSKtxekO9jWpVyzGHkWlbXNySnIOWBSN45RBx2OG1Jo3DvrsauLq6nyZFZ4vRNmPaYhTGgxNmBPo
hduOMRqm89lJnGzUCKLmBWj/Nn0ni9Tm/cWQlbXqVuOYOD+H4Bds2tUp8rH6VLQ27t7Gqc9TYpY2
KyZoEpCjrwajplgnbzuQzdKtYF099qelZELshlzm1K7VBF9UIW/auQji1qDSS3ftlJq6ICo6CkEC
CuaYFR/ncSRQcw5KEGrTBb4G8a6UPerPJCrdtAta6uOLIE78DZtGxh5mz2XxUi78Cc0AzICiJBQq
gL1TKMEdpmBsaZCqMYu/JLOlp1mPyY7LlL6AQ3/KuFCNQdCpLqHKJ6EcfDQK75du8UXZfklQ3kIX
YVfWxWrCND4dRxlAYwYt+mrdOd28VCM5RsDQdSYAWEDnEYHv55DjBiQRz1PtpI+/NLADA6hgVZVv
WoKyaQ3UbRx2eZr7GORUvwBtiWe/U3GG5g+/z4g/AR0YHapBHLIi9NVBU96hlScumljRZJ8Pkxhw
+qaebFv2YVUo2l40QBtsaWhDafNCKj5EAUILDRVvKA+BV0PDMhCUw4EJtTMhDWNbCk14mYmTafYb
RXp8U8HJSTaug8LqQpYBGhNSntIXAN4hDgBqDgV3AfB1//0caLg7lsICYkXPoAKznjVG24KS5tSS
MbmMK8ifL/jYL8YCvg8S0Z7ecwBAh0stiF9oBuxlDdBLn1tIwGbiPL+qRTat/s527pcFpRsoPYLu
DwgdYNbhUHHFkzxQsVw3cwBNSFXe7brSNVCXapCpJzm8sIuH7rMfj4D+AY0bgKaAr9IjTJ4hWHQP
euw6j8dkWyWu2zqJnFEUQM2yUP7CeMdeA+PtKey+MR2i9F4iOcDlQSyGwUMpbF3nTkHHipjWUzIs
UMCLu3PVK2xcGasoENS9wHmOOPTTUgVUNgl8jQ4qsRCaDofuHeDwgiwgaPRJl5zmkFqncJ6K+Ayh
pHkPNfZ5V4CYzMO6hQKKzcqxXGdN1uUg0Ff4hYaIn32KgPtC3IDIBV0J+ghEFz0axpk3wXpMrISu
wCkrzqwLoN8AUV+f/96rDoPk09Ihy0LrA4hWECgFPVz6TFLCeWXtpstatcugWBAmrGoNqfs4pKpC
wrgsoC8s8RejQhV93x65L1lDe+jhqFZ1AH4pC9YFL/y1I2TcCTH3EZkQuS0CKNviYODtC4f1qB8J
FiuIkgiaABh0KO/11sNhVSUBi0DdcuPkkqNNCbUTAPZkdoUhuBRrjSw004d4cf2yKoq6dGE3Izka
jdrM+hem89M+gzTCoA+agFDBYF5HscP2Q2xrAaiqz3AwhnVftMW7oW8Gw+cm9X/X5JCRgAISyAlC
giJ0lA2yFupu0BjdQP2sHaCzLC+bELqGx5DNeRkpWXafe5Gq4oVT/VMUgXUBAYX0A2cLRNGjYdkA
1aykibvNmE/oNqNkvEFVN7qw7/vAgHYjXhrxMPnCJu9bjiHvITjQUCM47oNAOQ5oDxhwY0cM36Eo
7ZsqyOSmIr5+D079gbCsuim9nc4tYLrr3x+nn4IYQH7oPocovd9U4MOHHgatjgjq2rHfzA5IZ15g
kItS190VjEATctXh9RjUMpqyfHphf/EhqNqvG8pLgKdAcgO5C1q/D4eGdq/AJsM0bIbeLptU+cXo
qdQP7TJMuzllZbiMPg81rtNVMfTjVuRCbHLENbQvqsCQfhiiPiZ194IL/OTn4EbwhSfYSrqX4tRR
YHe1ABTg23kTNNMQat7Xm6Bb7odyeClF/mR9GImBxgE9FPuOEfK/ODuzHrlxJFr/IgEUtb8qU8qq
rMV22562+0Ww27b2ldp//f3kucB1KutWouZhxg10w5EUyWAs55zYfX0rbeniqXU5FWknD3MlxXlN
VH+fZ5b2lQ6kepwXlpdFUquC1zf+pUXaEv8J4JD6/m8U6R9VpdqMq85cveXE+8KbZY098O8i/ubx
bX+8bkp/YZmsDjgRhRZBdXLnOExNzRtPQT+BulfBUOizL/quPgFuye/bwlaHWkYFzfc2fp69RT/1
KrMPrujEx2Zd7HAtWvAXsjnEQlUHL9fLpzLPk5+VZt/yOpc/leiBx1wKwzYcfi/lxJ3H7cuyxZCb
Ha0Uusi50GZz/UfTCg0HEEf5O6dx1F/lKOzaOnjLJG7syt48rhUeCkS87TkV1v5hzyd3HgvHWsOp
dsb7SmuqD1Y7fsv1ZDxRQSgOKpm8c6Wlffj6Hl0+cLwxm2HWDGCMP3hcLy+jVao5t+dEhI6pVz8K
LZ/KY+J0Yj6UhtMIvzXt8T8p7aLPr9u9dLeb3S1AdEDdepBsqHJe2gWiUsdOt4hwSF15ouguj1U9
y1OR1Ow0IOP7/8EeIBguNsEit/zSXrMYM8UeSulWBKDXWd3pCYiOeerW7Huiz+KGe31peZwnF8gc
rS+awJfmAC50BaQSEdpm7b2rrI4otE8GC5hm3VB2syPzxiP9okXKtbqJV99wvJcW697wUp00LZxM
ER+BocjTQtkwgEuS+eVs1g+vf9BLP/LfDZSuDU7PlrjxfTunMLVRzY3kg4KP8eNkGQGXqPk42ov7
P5gyXFDS21tlUIK/XBpYRfIkGa3hGlVJoJZFA2lbz26QRzBD3/QI/HddeEfHpRNDKXxfGQbJHy+m
m+phNs3Wo7IS99Fuu8avqNb99dZPyAO4XT3iWh7Cfd+nnGx7nTJLhHL0oLAmXu4LK2o/56p13hQ9
b6uyLTJsnL4uyLW3ju+fvYTeswAc6rYIc1s1YHzBwHVx5h6SiexFWEkd4F/y8O3ro36y7RxbRBp2
aXSwk0mMbi9Ct04dz+8js/40m8D374mLSvVmF2qD9jBwKDRMADxs4dYfD5v0hnxMxlSGqaMN7Tu9
dtrFh3bsZkDpO2W0xyKR0exTBXWXT1nczEZ6Y8HXzpR60dbnZr1wB61dAGHlUlvWcdBDuWqK9lw5
HypwNGHLf3toAPoF5poVb9/aLaXH2YDDppW5ywmdtSilNWG0tZ002Go99zFth4cldXRKR4t1LIel
e/OVtF2Hi0/Czd9IJHf5sfm4A/SO2QjTzP4yimIK9aUyDxaYv3evH6KXvukWKHF86ZeQEVxa0lQ6
D4ZWG6EwCMYlkPZ78iZixCJfT0A2lW9ojXV83ei1c6PzZhCwbGjpbZGXRlPwA5m1KoPXaUmOvV2X
lIrX/E4VrXXj2F77bZvqDg0FC/T1dld2pgyquZq96GFalhC+U814npx0eoxmLfmrkGV+w94LS+OE
GtQPHFrNhIGX9kq7HrUJEGco69g46ms/vzeT8kfezv3d6x9x+5v+XyPxt8/ZEll6wERUILC3X/LH
haR3NOX5sKxh46X9FzFUZe+LAu78W83AjaBGSycNThilgUsz3qrKuatiPVQiMRe6JtQSD7KWxt+v
27k+iNC5OIC/vRloq92RT6YcBQRIs6GrrIqiuZX/DUe3ekzTOQmb3vzczlW+3HjVr+NCqnbAeEzK
W9xwc2fU9bRZU5mph6JwOYh4v3CllvZDJGVzGKMRJqRlj2HmtbeqXNfncsMHWcC96HSD09u5ldXV
kCEAaRyO5qSFVWv8culKPGqj/LpGrX3jwr1kjeI3XVEbmjju+3ITK5IVPaYNFc5G1ZLmOUMc9GvZ
HYyicM5tujjqjRa3EqVp01rfiLA0Y3f1pEhro7qM156enJccRk//OUjnPNtN5NP7fhsUcKvv45mB
KZBygcUy92CbSi9HrxZeHwzaKO5bAtGTVtZR4ZeFm1U3Ds3+Y/42Rni9cTmgmO+ZDxb5cZ30GGsG
mZxk44ljXg7teR3j+SCa2r5x0S8LGf93cTwGDiIihDP7AqybCnrKo9nTs+it+ypulg+DV8A2XIYy
e8CeeorWLrqXyra+8E/tG13atl7UflzOD1IlVFUuD4/KidemTOsDUMDzgWp9Fi40lQHKd+uNU7P3
nhQGALPxP4KozQfsatuzN0aALowmmJS9fB2zokneN+2gsrOdNvn71z3OS8YgpvPKUnazLLHzbAYw
OUNPTWKzpsoe4IhUgVfTlu091bx9XdQ4t/qHBVyPPy4/4WxEA+wLswlWPUFdAGrtKHwtqiFJ11Nb
/fPmhREdcPlIkDZruw3LEU4Bfcbdi+njh6Rm7n/y1suOfVKZH183tffabBjFBRA7Yit5QDq6XFjm
IKfXRk4flFHfn21l35PPmIFtu+Rii5Edmmatb5zHjXl18fJhdBPG4QkkFOHV2BlNXYOueFGDfW+8
CmkWjomf2F1/t050lqNc1x8cOUQhsDsRHagPLsFgeVqorLk60EoQH0UydOHYz9XHojLpnxR1st7w
Ei98GZvmBSgtwgCQebtNmL28r3QHOIE07Sqs5tUrDq1ZL0FMtfDOLrs07BozvsW1vTLLX8c2UOSg
7EULY/t2f0QFfWbGBmCVKQCwsQA3BNdodpZxADa23ou+o+6h9/evH4Kri7TZ3JCO7Aslr304F8Wz
Nid5PQXmUuS/UmPwQgVzDhkgod56tDdTtAq87QxQ29gtz8iGOrFgR0FwtjS/KAvjkI1Few+jMr8R
GW9v4p/xlYEpygtcWRRJdFzE5ZdM17VdW9ueAmVq5nPmdPCjRDS99QJtVix7eyY3+um+rpAYSy/l
4EyBY7TjeZZ5Gw4q946Ll7SHJBfRk9LaW5njS4cE8i6XyCbkIne9XJph9YPRQikNZCuNo2etgM0B
Dn1ImjTy9Xyyw2IYqrf6wM2rb8g+A1EWUqpdxJNG+azr2TAHQ5bER7OvizNeaQl0Wbbh6wfyhfVR
YqQba21hiL4v/ctm6dEcoaw8ycX4AedjLg+ZUUWHuUn7T7Up5lNEivz9dasvXIPfkEywb5T6kL65
/KoyEUlndOjGpNb4yxhq/XEAR0Ohz1xulL9etrSp/jg4+itEg1lWlNgtgwuXivhutTVci6e8Y0lv
8oYb20fI3AIW9f9M7S6cA+8mMqtlClw3bx4zJ6+gJDWROtg5shfZEiXvtTHODlpXTzfinms/v9m2
JPJpgIlpj+1sd5kL/3pYp6DvvckXRMr3Xhwn7wtnngE4l/lYIx2jrL9q2/ZWFLEW770Yo/mdUJ16
oEqT3S9e1BzzulTADxpgF6TVQrvxiV5wFHSqef4QeyGB3kNlIxJZz6TiGeh9/0uviuXTKB33hp/Y
1rrzRpSRycTI9gxc4Hbk//Drq13klJDYcjU6+bkhiwrdLjIe3TExAn1e9Btlj+15urKHbB1VD3IG
uQc0AO9q8K4j9lpThqoHRmEMZhriTPSj6w4qxH/EBzVBPiiauTq9fpdeusEoWYFxALRjWHuu72Cu
+RClgOpaey6e9FYfxUnZ7vzk1N3q+m5dDO96q7fMp9ftvviZEUwCr7O17vaecdWLaR4FR64AFHQk
u3YfYMbJo10W3XHM3VuNiRfOuA0wh1PHew1Wda8qMirQlautj0HTtkXkJ8rOflJ1tT7BzJh7fyw6
M1zAA/8Ys2k8NkiatUdNmO3PetFz5cMD7KF5REUfjGJOax+sdn2M3dn99vqHuXY5HAZyR8pgtHEo
qV6eP1WPJXXxcUR1j1y1WfNGD6xOr/UDpBkjuhGaX2/DFlDQx6QoZdGl3z1QXDbDbsDbBUYuRh+s
1PoVrgheJuoTVqvpb3ao25WiS0z91iC+2NnTG0QlxtUdA5NL3h1SwqvmqxoyD5gLO1S/3dymR4a3
oBMPvn7n2HqTxv4gsiFQTZqfVmLdv0UM5DuScZYdXt+4a+/kkki5hMsmJEt86eXGAeZb3EUUS5Ak
g/opR7jCRe5Mf79uZQep4I6SZ0BsRJoXKAOV/V20pMypm+x0XYKR5+qonD75oncia8l1pPzVGsrR
nnSj1iMIy7H4Ga/F/IHPS0P+9R9ydU43JuKGi0LtjJxkH7UVRANGTVwQ6pFKjiXQurs6iYS/kHAG
r5u6OqTI2bggleD3wOUC23D5ZQEFGzV8aivMlmy8n91q+Cs1O+fO0LvsmK0ivXFqrlwy8ZMOwZ+U
i6YGX/rSHulU0cP/k+EcifqdTGP7L2Hkxq8Yljm0Uohgs1/BclrO8eCJ8k6l2q2k5ioa2KwjKoHL
8jyL/OvyJ5gWasBFDok0rpL2a0U781mQsX8Rqq+XQz5n8VENwoauIdsbJ+x6Yyn+cXx/c+6odu7y
KSeZBjOyFxnSXNnYTZanAlQ2hvu4XEzvxta+ZIw1bmkqRQjP2Z1mqxHNhFOWISqS2kO+oO95bCFn
Wl/qOBLujUfn6rHjq6K0jOgSpQ+owdsV/uNtbwynsMy1keE4a9UxBfn8F/v3q1zi9GhB57srJn24
EY2/cJiwJCVwxO2V3d/X2fA0pGh6I6TwlB5hZyNc1rqQynWj+Wg0UxeKOC/g4rumXwhZ/3z97lx/
YNZLfWJDhgJv+y1D9seSE3ricaYXwGDKdrpbRDufNMDZIXUfdSM8u76mGw6HK0NiurF3d1+3MgcD
ugSKsx4Rup+kTfbN7hztMZ/b6CkplX3D3gtLw68TslIy4y3xdgc1aZeB+HSCY1jTkG47uwrMRGl+
SfPhxia+ZIpiEspO+AUQNTtTZd2gV9IqM2yhZJ5zCpD35AbqblySJXx9w66+4pYDg5wgDt+AxO72
U/7YsL7qyDkg84XpBEATATjH9u3Krd7rqv4QZfn41qVhbxPOAgKKig3P186eI9PeWXs9pLQQfRab
EBoA+Uodza4zohtbduXWMMYhRIyZgjydm51n1ZzSrFWW6eEiq+Vj0Y4LAR8dzUrOjZ9qef+Z3IGW
db2uN17nq6uPE+UBQYAKeU5WvLNcDloH8J9lAoNsHpvREw92jQYyDsEObE8tx96CPPr6Xl4/1ggR
UUg2aDIS8PBW7j6u1njOWrFePe/i97rUuoOZGt1Rt63UzxJNBHW5zv6om3U4iNo6d5V76ym5Orv8
BnIFOtf8AmqV24H740CJaoo1zW7Y4DKxglaMI2gAJMaKJLrVk9tu+EUugylHbumEtWn37eXnmkGT
UQe1I5SRlz9N8xI/rBlkp9e/6gtbSSzH3diqkyCedidWmxGrsBUura0TBJHTKDvkoC1DTaTmQ2yX
5gPQ7Vst8Ze+4u8WCzBalN72zsYenDV1XHZyZqcPQ1EVZ5AcKchRSC+vr+8FD7CJWtmboK9H73b7
yn9smBuVwlNUzImsMnFsNUM76E6mjmnTpo9aLG81iV/6ngBgiMsAjSIztTsgRgS2HCqlHnZ1Lt9J
tFP8okLGDwCpdzCievYHO8/C1xf54vekL0c6wN2An3m5yFKi59LCFwgnV2R+26Puk0jNCwQ8rxum
XvieZPOMEOHBB6m677wD7Z0lksQytAptqREEIcxATMn0vkJKNI+x5XQ3KpovfFEsYg7xeJ6MvVZH
aWfr1EbEGVMcz8e4y1ZAwNI5QbXrHuWS/LMQDt29+YNueidUwMFjbvKLlx80cdrVHthl/HgRH+zR
zMLJcRPfzkp1et3UC16cdVH5ohRDaLEH+TViNmXuRSI0YDyGudEgQoIMz9FoClK6plxDhWRQEEXT
rfbOCw4G4sf2goAEIjzfPY5mh75fOpQi1JsF0RNnbR9jz13/hwNDRkyuZRJfgA+5/JTe4Pa2kYNn
ypCFD13Erw7ZMJbvZIJYiNT6W/W3F+4CWeNW/CGyYFG7VeXAl+NhwbfE25mxF/AFkRmVd8AAfry+
cy9aoo0EYoI3iVjmcmXlXEt7QvohbHRzZJbTUg72h1ktyXr0ckO7EW5fXzxyNl4e3p6tsbnHKq5r
J43cw0c3JHihZnp5kJJNnZCEKM6ioG/21tVtmgwU7+yN8U3V/XJ1PU1vNA8qMxwSYd2ZBW34RK7t
P7YbJX+9bur6hutbagbn6ndDZl8xRbQSBRwtpzYYR5HV+jw9efx9ts21PFrojpcBJVXwhM6Y5vr9
67Z37JmtTMf7ChwTeD9FOxoal+skw4bTmQ4mGFDTqZ4bM0q6f+3JKQrlx6nTtSeEEbI4tHr4pc92
J/Oc6QqDLMdPjQuhmdkDjnWrkPjCZpMy0oPboBaCRODyR1m60+hzNFphnIP15wVx5blKpBtClW0P
DnnIjYju2gv9drD04IjpwOXsbk2RrhNFrcqjjVPn4bCM6ZfIHat7KlciyFpNPZVGFPlTNNY33Pv1
UoE3EcduQus0IPY8R1BeeHiQnKFGffZjKyGnHzJ3zBFmccY1aAvTK2643N9BzWVoxWYzIwgwF07X
2kPQE6c3ymqYwVgmjUClMLb6A+q2M6MchubbOhrzQ1nBG02tyn4UM0DgdmzQw17n6ZPptHNQequ8
cQle+g4b13NL+Ujd97ojI4xsI7VrAjGzTh4sqYYgX7rqIanr9bmx3BtlmWvnReK+JZi2zo7TL7w8
YWym2+jwV0MjTyrll6qGiawSexPR9eJbCAl9ezAvvzhgGpyyoHaICsg+Y1h1QV4f86Ayga47mm4z
+7Ya5F9zj0ivrcb+aK05rO6yKL9rifiCqIRzKGeafVZt1zf2//rh4xeQteC66XATG16uvcwBKQ56
J2kGMEuh6L0lP0CQSuobl+p6S7HDEeNp+O/whEs7QslxLBKKPyiJJ59K4aQPdoFEcQnazrcK9/vr
ruyFZdE9p8hNQA+efT+mQeV2FScm8Muc4S9HpA6sZzepxY0i9wsHh9XwLGwZ9UYQvlxU4/Zxs1Kw
C+siMz/1c1KUvpdP0wNCkIP0X1/S9ctAU2OrtQDdBcqzB/Esbb6QBEeUz1SSfEs0z/oGVSde71MG
9aigsfpZQx8RgYcbW/fCKunC4g6p9GxR4O569LrT05WUW0a0Dg9WYnapr6mhPahFE59fX+QLx+R3
x5dchyVyRy6/qKtTJpjNkRdoScpzguc6ZgbCAcTCCZq0eXIDpvuiPeJokA/bLKZ9xKlce3YHitCh
na/RXZG5xdmhvH3vtrl5lMtkBv/D+kjbiQI3cvXVtKam7uyO8TihUWZ24ElgpnUeOYd8y8OWyO5v
vCjXzoZGC5eb4AVuBzI5uyNq5EtiuK1LgalbHdRSq95B3nNuwQtEnQqEqxzdBxphxr7WqCE5OoXy
TutCn1JUOvDC5qbLuTpP/CQg4DhcThXFg12suAKV7CwgyWFF9keTVy5BNYMgKJwlP77xc2NqW/UG
SgUftq9BJVm3pmBQzJC2YPPMAKb5lKxzEvQZIP8RJviN43Tldra2FsQdohQb/7N37VYaRSipGWbY
yw4inippwvrrove3SpRXhgAl4Q34fDTYCIF2We7sasqOgSqfDOgYH9lK6wy4PrnBRLy2QjxAG3W7
9oKCwS4eRKpDgklW1kmvNaMM0jyTMvajuZiVe8O7XR0KZ2OnQ83hmYDyd6VuZBRmP9e9e4og5fxL
U8S+i6oFTadcIFT8xlOBLfp/9Po3uA7CoZdOpnB09OCN1mVGl0nPQ3QoUdua8RgZ/UMhtOi/owv/
v9Nzrr8iiSVRBY11+i4UYS/NjfmQ53bXuCfTXubAMNb1IWpN7Uaa/rsN+GdYQaa3wfF/k8VAre03
a7Qd0KR1Xx8nbdJtnx5WUXX3EHQHhsxkjYxHfxwsZ3ritmzaz/ARohOttsQ4g6lnjlHv5dLDsyu0
YKeuKnrEimnsMzJAMcBCB0H+TztY5U+k7LuPU7O67xCPMt5bKHgWhIzF8hkU5vAQ5bb8OM1DL/x4
qFz9AF+d6WdTFlv/ZnPfDAfYquJpdsX8LZkksoUtNduHPqPAdnTkkid+2UlvPVNYwivlZtNLv0Ky
2/BtpxMf4knCNkALWaufRT3242PUOMYc1EVu//AMBT1WJmbyKeqK6VspEQ/2R4eKxWOsTFR6cAlt
fxdZffxcq3Hqw6F0tDG0rTZdj2CfyhqmX1y2fpyLzAlstH71927XqB/TUJfVaaAwE0QosKD3ZM3r
9MOIIQIe45nbCKbNSKfhsHRWXpqHrkjy4liY2Vw256GaIMNnNvLC+Z1uZWhp+b0bd1F1lF4+lO8q
VcRJEHexFf00zHnIAgIBxBhTkRrlfc+cEPfgJmWrbxPwtK7l45kMHfEJD9M2LI3JKz1fuPRKtdBT
STbf11U/zz/LprVaqmFMiQj0DonSv8fIMXLmxrle552UNsJ1ev2CbUHjxVGk5sAdAxKBNjHI3N0F
o9Ww6k0yxkEaZ/Upa8z+WAI0KPwkNtdwoF/gx/WaQuOs6qDbVIpft79/1cEDE5BxIXAmVOX3SfS4
qnqBLZsFkc1gmt5R36IRgRjb1drQkXX/6XVzV1cPGB4+i0dm427TFdut15JRUqyoYJ1jo2yicPJk
2YXr3ElENiuYUMc1KdPp3pSNtO4d1bp9gMKUfJhXMXgnZ7akdXLMLF3DMWpFhNZmh8Z22Zpo/cRM
oUHFWiUIVwOImsVTPYg8+ghgALoPswur9nmZY3GmFWi0PupP/L/GLfhQgr0d/+5jR68D2U6yP9pO
TiZvGfnM4EFl98hYlZMevSvHulZH5Car3J/Qp7YDugpV91UBXnEQGNASWoiQxz41EuL5uxws9KOu
NW3t8wg638WYjmbQtVlWPXuoExinqReJficR1v6lm1luMQ+oJeXx8RcIjk+ObP5SGUPU2KnSPugo
zT1lukrHJ8fS1mCa2j79OCE6JR74rXP6Pbdop/wnzrR4fUQnXBmnyGgdZjJNjPFwD1UOXRYWPODl
WVdqep/OCJmeFs2rC1jRs/Hk1fqS/jBWrzqRYzOVMqcp4pmBRZNKY7oC3dPkYFuQ/3xbz7puOeYp
ivVfWoTY5+aOuUlJc+ciwpqieZnFOuAedLh6P53s1TpLckXtOHZeG783lkzMH5HG03/0hFn6Azm3
HqPY03gx11MWZRB5aNsdzM52xy+vn0RSqd3Vo3FBW2hDZyIsS+F9F++pJJ0owrj1GWkTvVWHltvh
hJBfufCJVtdoX1hc+y5EJ8L+VMzR/MuLcQvvmyriUc9rgKW+6iRApJ5yy3C3OlX6XbhV8hzXPOFB
OZpIwjEwsDGDlAsRG34nmUPDUKB5kQwGSGT1jjM+ZahMCkRLm2XVe/ZL1PX7UYun5gOwXK0MLbeM
GD8mJitldl1ldAIFLfTBHseO8ZJ+vwjEOw4iqQD9oaM+5U9amaVpwJw7d0SRFPU3929zUeb61dZW
1/oiu6L+7qrEQD8OwRt176ZxESOOJwzk1PAHsnj2FsT9fqZL5DU4Iltly3OP6r9+XgYGLZXVKrPQ
SwoPlSn6/UZ6cICRqX9otTmHpWgihMqSxuvP2ZpYTYk/sxbwMFHbpsd0HRnGqSdZHIUZpbFnU9ae
Qu+vqqKvtl2Otl+ZYmnv08GplzCLud1PURE3YKQ4jP0hSo3sHKlOG3g5S0stH5Dt8gZfinl1QiuF
cJBbVIc+dNNU3QEvnvMD0KtB3C8VckIPGiH3B8acJm7uu908KR5J2S3aIemcPvucS0d+WbsyGlD+
7Lh9SKJobdIdy4Jhq0dhpNpyjIomZwhW7VragUZDUtsHJXnl/ApMjrtJBi3lCsZgbMbJt5M6Fe9E
hSbVv85qaOtdthg18xcZITEJH9BCVnwgZLH+M7eVyj8lQl8Z+6ln7tnK3Pjfrij0vxiKOjJfbsjF
cmyRafzSc3/iOwOoGp1MgLqtdoysVZ4MkWWOP9mI4h/QvzK+RMpILRRhh/TI02m0p1QhP/etSuEq
vVMohSzfGk8ZbJMu5+J5ZuZqylyEaP4UI3WfHaTopyPoU/qk/VhUd3GNpNVxmZqYcxylCbNeBWpe
0i9QgS0+M4Ix+sfUmt54l/b6yoZnk0hCWzXlnTVpi/zkrIwXe1QoH1HHacY6/RQZqszkCdX71Ln3
Ok7/4Hdpb3TtkXpMXgaryfiOTwg2Wj9N/qVW+OYKQNI3kPQsmLWY5b06ocZvm3dxqyeRHSxmp8xD
xqSN7Juz0k75e4oiE2n9yEaq4CFxNcbyJmviOmGl58ZjpzkKfEYDVPIp8VrHeFgjrdSPRZ81I11i
tDP9ZHVnZhLWgyx+0M8avQf+LoswNTKGJhBO65wGe4lRCIzTZDaCMdbS9VDDAkL8P1eq+WfU0WAL
lLLlvyKiOv/v2DSpOibl2scftMHo/mPqLXSGyp6N5bRM0qwPXpOkD8Mw58tTB/FmpiDE6xIUva7d
U2PQCPvGkejZH1rPG5h3iHBnyMiGGMVReyqTL/CPivopm8rhc1shSv2L6Mtg6CHEteaMMN3EjJBM
6D9ikWS3WPC/KTh/xjjUCsCYUq91yCsZbLOrikz20jeuVtlnWraZoJHaIJnvjsQlD05jZO4zSEB0
Isc4dc+aJH9a/G6RzIjRByaLSIYVdJ7zIR/VWvq5KorxU5bZbgYuy0K0iZkeqTzw+BXPNv/UPHcF
5eYbeZDcZyYbH3zrB4MQJm+l432ZmZhkQvlMt/ns6iqGemfUQ3GPupvXHVH3ZsRvVqv0W1HV7mez
stoyaEuncd675mIQgc90KB61Kk7FllLoZuvXwGqiv0huMsg4cSwNhL6Y7RMgE1Lrf6u8z85m3ejW
x8rMzb9dq9d7X0+Rpby3m6G8Bcr6LYR0uUXMjdtKyBvKfuuBXS7P60EYRrExnicPGb+wqIR4Gmwy
2KbvqnfZwvjroDeHjLlt8RwloHLV126pauO4oHV61tzlq0n/5SfgqaL1l3IZP5vD+IPp0fIWQ/Dq
2aZGAYJMbgTnjXS0yxFN2o+dw9zFM+dqaSZ/blRW+3HW0Jn155xRTQc3zcSzI6a5DgHXWW/V/0BV
GK3vrc1LY5JMfIup/wAHmENCZzCyxbmn9/aZRlMftECGEeHMcPgzY87eCuvaRnUQq4DoYMI6e7Qr
PWfmIEetZRKkxjEvTvoaLaufO3SbmZRmKV0/9EOnaR9vhUj7CAmz2wBfSfMQwtseARkvwGaSubHO
ORlXxXCjFSH9A7W+7l+DSdb2s9WNa4TYEzCaQBu6cj41SUlAYM6atb73ZpQOfTef1l/WsqzWQdXV
2DPjlEnY6rRqkfo+TWrMJ7+fJuEgsKC7j4z4beWxHIdhzG80L7bc4uKQb+B+uvr/LUGT/1/u21DE
KLQas3uOlTvdNwRE76iLe48dg3d+Dh1TjfgPqlsllGurFEWp0TLuAggtgoaXVj1jaCM5UI5tCiez
Th3DCKa7enJG931cLEXyKfeM3n1kco1cb8W424ouV4zbxSjLILUUe9wRc680qkJN+aBy4T26k4tk
bg+XJf6Q0jx9D+ecOTpZa5jK15Fxl++SHInM0IyZ+uXnHZKud3jg9HnJsrGr/KXtrOI0l7L4MscS
zoCRNQDVyW+qX4o1GsgYMmPqBg1unyJTekKMgj4i1LTfqODLDxgrlQxSVNrZsYdw8dL422T1y08u
gvWetzAOFj0Z3qGvaf1crDW6Udj7zb64/IaogACSIVvgMqBycGlejmlTIQ2dP4yr0erHxIunx6Jv
beo0hB7lcU5zZJtnIzHbjw7ly5aX31Lv0QS3GHHa5KXz1YitOg6kQ4AbHca1jMrvbjmkTwvD2uow
X0k5D/VcO2r2E7BiWlDwSnSLbw4Manw/eYn1iGahOfuziXo/5IcG9X6/Shrzh2lpJpnovKC9Eve6
3QeogSfxAx0kTz4Mi5xcf1F5o31telLl7N40Jpshwtx4xgBZeg+dVCSREqfXfccV7I5d23QaDBoh
NIb54/KzVdMKmsES2cNkMzTHN7ylP+tqnZ6paNcn6gDZg0ev2hd6/KOZXf0MB6X/9vqP2J+cDZhG
Eo8iKgwE0ES73+DVTRpH9jA+VB2dmfsiwpH63HGdGRzjSFXTMDKb4bB6NxmhZtUifTDTWhThm38G
7WLoXWCsIKnuT9C8rpPuFgzLzBl/ZQST7TByGuX1+WDJpNSZp5z2gRXn2tM4l0zZGov6xiH+XVb5
8xDzJQBdCsoutG7AIO6+ROclFOPSpH1gakPsnjZGP4O7Rhf5y7VnBqmfRvPYPpJidd/NtnclkvVm
/Zz389CtPirPCCcUMVIGDdMCVTh06dgdO721c0ZzC7kw23sUQxbCT1WP9Sqq+VvEHnvncardh8qM
EMvRnKI5Ky/u0JJ3u7axQ9SKtVOEaP7bhOlYJ8hHMEMslOedvskutZ/ozK0xqtwPmmv/OwtXG49Z
kv+dtD1jmV/f3Ku20WaL+gHdd/YXwNnOVpb1bsFUlvphnLR/Z3hKph8VJUNjxnZJT81AVdRPO4MR
c13Vl5+nKEmOa1oOX6nIjfdg1G7evX1ND0cvmHvA0f/Nit8LCywUNKduyboHjbmT6aHvx9hHjLnt
D8KihHmQKl1vUSd/40ovTxh9Aj4CfL3NeexjBdyJLea2Hx7QYHPJiqyiMe7GWqrxbsp7hCDNui3H
9EEJLdY+LnDMmnct4xmO+VL0xZc1oUD1xaPQ8S5NPISqK6/oHsjspENptNOHH+icT3Po2Gvxfyg7
s944ka6Pf6KSKHZugV7c3d6S2El8g5JMhn0toIBP//46V4/tUaz3ZjTSjEQbajnn/LfkUDC3H8PN
TT3Sw8uycL/PBHRwZ1lNrp07FBmlfsRjgkuXvnb8Jsg6FMW+xxanjeaZo5rBjb34d7i09OnugxXx
tkLl/UN+gg1zNRmjjn+zIjqdCJtQ8PaMReB4t2aOkULKUF11lCCGPuZVpUzjwVH9RorP2P1CjLD4
e1kUxOX6ikV6ugarxTmq3xyvJzd7rrq0XY/LJkURd6tp3cxOMn1Ilb6WIm++IRoJGp3givhwZL4+
s8cGQD7T7XD2PFbwvWq52W/zjOmwlPjFnslFce6MbXCSgzArJ7sXs03g72S5Jb7FZMx4Xz94ldcn
vvlFIJ9XZ0u28dUh+fUvMgdj9UvYCRydVnde3BlK47RYD1K291PvZw9aB8kDXYZ5MzhOX4QGVlzd
lVm6fE0HOIwf9IH/sbVQ4yOsgN55ZdS9+bRLVidaT5V1VgySmfdsrg492WwHuwd/3wxg4Q+e+O4i
hWt2pbG6sNyu5OC3hO52miuZCGM8W3pOh0h3XrNE1ljnRszHrLsmHGxtqk+y4H/a+S1j1lgwM4ID
U1aW88EXef8C+PP5ES4fhabg7a/Rnp2kRucOZ0eRNUpUKvBXbKT27P70Up13sSIUQ9z8fRn8OTxe
LwOk2VfXEnASzJneadyLkjAKqxvPDaNu65a8gARr/7mA+gpokCcPXWkLFUKUqusoIb/1V8dn0hfY
OdldIDYG2qS09M94oWclCSZztp9w0jBOxhJU4sBOVm3YEqurz51VzS+FSQzBLl+F2CdraTUfwJzv
2IN8U/Mqt0Ityrd9Z0RWFhUmlcInPltXpfoyBr28Lyq3V+FC1FERlkmx5SeE3/P90KipebRGbU5Q
28wie6aWbD6oD94VSjQHHNtXYyEsfsgier3N7BTfIjyLy0vJWya4NU+2cotwFVYWSMjIXCfsUq99
NnOCSGLCdSRIgNhq6wMOxp+q8NWHJu6WCQvd9RWQgqry+ocoZwg2XKiKS5HYS49tf6uV/tY6rRlE
DWJwwMvVG0b7mCv61bBRYLnkgsvxQtr7NJ61P4xOFsOXyhIZwYnzjSoUUyAHGbVWbfi/cZhcmNSn
SXvxOoIj6J9TbELdhCjOf/6+bN9vXbiYqCYB+K7hR0g0X/81BGn0htVW1kW0nmg/lWrS94ZFpMU5
qDuLDOIu8eRdgL6vghuKHzHT+K2usWhxFuvw9x/zR+T26tXyY64aFAkvHXnYW3dWYw7AmCdlnwGp
bLxhyEImPcdAI3blyPq4u38psNDJZFwAHjihpcpqJoU30YNSYU/4D4ZP5JvC0hjd9BvFH9eamlPf
2edWVljx7IzluZ6Mxf9kguhFxHG4wgi1rGpxHpOm/276U/tJjACzmEgF43ARCeG2bZiYa00K0VBa
n5d8rBVxtMtCbFPQWPcjmT7iUE3Fml6YTg4nPwMU2gEVp2NkzQRZ7RAd5+63Wk1rs8cDa7kF9m7a
w1jOfbqHPdgtTyZj2OdxBnCPR4C9X8LbDO/SKjuTUaFa/5ef4zNxquth/qdOVq4Q2Nuo5XCJsupD
i9XucnA90Z2r1gHNH2vTPihS1fojaEtlxl5CIMI1+w0N4aVzPUWJo2hr927lrMFZXK3sD7r35E3Z
BeQuE6E7rx/UHea7XcyVbSEKwOaJHQmu9Xq51cbqwHQR2cUcurG40WPRdJIGCyZViM1TcZOZOslP
E61/cU0P9zOTqOPBWzDd90ZKs7lMLlCARnPX+mNbKFCYJvk9b6Wab7FO9NYnQ1T+8JNmdxr3G5mE
3Q0MhfIzsUeyOfCdDaoyxx22Ml4UkT3hIgpASJJiElJTM2WTsZ2QreYTPWUGBeyJvy/yd5UXpCLC
A/7oIhipv70nJrwh+nQMgrOna/27g2xyINwWLEfayQNhvnTNs6WJDVyyJvjgDP1DtX29wbAFYkjM
mc44ndSz168/8FaioGrXP+s6SbhPRpKGiB92i+anl7VF+kSDVnmM2AP5I/VGJ39S1MXuT8fXhPPl
DDbnyBWm/ME8YxyHEEel9d7SqTfLkyzKtXii0cEHOKx8rMyXCFhNPLOyNsafTlKnd0mfGXkMsuqj
4N2GWe9zuy+D51Rmwb2fbJaKxp6dORC/wtRdgF60d7AoWswol6H/ucilBcX6+yf5887fvBYkL+jx
oSxRW759LRvul6bbGc55mcgWoF4H6gvupNNPu6XeerW3vH4+OHVBXEzmiPqbLdjgbQhZot86Jrqq
CH73Q+bmJyPLCEJvMEcQ38mDBvUoaiKk9h4tgBnLrjeWIqqJVJo+LYPfj2LXgqhzkTYmUtFQ1hV3
huMXdn+wh2vAZqKXwH1xajKdPst+8dtbvyRbMvZUofiCjr+CPi9Fbt8Mlmj6zzAVG+uhhMM0X0as
qUgtyJati7TMV2cHx6TNdVh3pozNyd+aw9BcTZRAgXmttjd7j0NNM3QXeGXxqWm8PpnCxV0xW/JV
1ydf28IorrZ6a6+xMPBLu/jmJhbdm2LniKext7ezNTYEtIUcbcGRwFB+LHlYpKGFGH0P/+Z56YPU
dblIn//+Hf9kQ7/9jlThDtxvqMkI8F4v77wyoM1OkzxXncprLHEG/wdVV0q+psJK9ZfEfJB4Ypls
O2hOa75bUR7o3eyxAeKJWKh0CIdkVebtOsylvB88ckYei2G0nlLkS9e5cM0M+6XNndn7nGYl94Nj
6N7iKtqy+VunCMT+1Wf4VDbXFiTYkWpuB1EwFlxZfrotn4O+ljlT5qLeE+wO7vj3V/Afpwu/CVGL
i0sQ4ZTX2vh/5v4QdfzKr4P17IrEVyccDKcHS9jWdMueM42zPcwwRIJ5ytVtMRpb/pEq8VovvPkE
WO5SpF2jBWD8vjlhNNgjmuVZnifXUOltORrp7WBP4xzJKjGy3UrIVn2GJLQN+7//6e+fTNVwHalQ
Q4CBve17LK1BqtVQXDC3hxRVDUM0lOv6VChTmVEVeEssgAUe/v7Ud7DUn8m5R78FN4qF9zZFYXSM
wRqnxD/LtJ4HSns/tdJjgqcHziiWbtpvUw/tNtKW7sqIEalwOBGFkPvaGE1fxdW0Kn3u12I5+GjK
7NDY0mJ+bLqmMm9Yt7omoQ9j5/T//76QBkGdvPLQaZOuS+l/loohS7/I8lmcqyX35QG00KhDb0P6
86l14Aor15mf5XTVCv79lV3X4OslAm8SQySoqH9wyut//58H1/o6kp227AI21+kYCd90tDGzdQ+Q
/7fjWC7y69+f+L5mR0LKA7FVZTz+vspt6uFqbFVkl77N7emfYNbmC2IJfz5gh5J2CIMxguTmSQiq
CwNmNhHwEGQvevXC0UxxGogDGYTgLdTc0OmpLHO5Hra0dZbYLpDLgdsH+fMqOp3fOanfesept4eP
8nmuvfubV4fDGKsMVJF/vvVOQLvQLmIs8ouf4dz2ZbMgkDwZUwpxL6T4deaPstrenydwMphS8uYM
ui755kRNl3nqsyJnU2EOY+/5TNqOZ2rn5IEy2s/vfSORXahGlf2ckDupx79/uf9YK1do45pAxaTQ
emskS7PlFXAsg3NPlPRpSTaX7+OVxuMkTefWrJJt/qA++0NYf/2OMRjkYnSuuCsQwZs/2fYDAoYM
IjxnLT2mzsQ8zY/5XGNhJox26L9V6ZirqFyGHMoQeNUYEcWZ+Q+6I8ZyT9m+DiWdIHS7z/W8wvsw
jbV2P5pm/seadqBWQuNmlIqWw3kzLzeE9rrAHdJLHyQU3OEq5nL7BQd2uhMro5FwqPMNGl1jeWFZ
Zd09tg7BlZw1JvI+a7qxSfewecR4cUdGbaFr1pm4C5rKzaNhbX11FIvl/BSJFKRjT3yEZp969Zx+
MGl4f25jNwL1HeU1RzfI5+vjoJn6blOizC7tIuWpwCQUiq+RZ+KYZ5UcVShgAVfXWOqm+4gz8cfK
5c3HdigWaIB5icBAbz52bTlEhC6Fd9aV7h5QuM/fHL9RVGK925hD6HU65fjdRjImbTUmict5pe2c
f8qW9BRSZC5zseJSsUJ5GyiD8P3+sdnEGz4VkDW2ZzjW07pTIg/a732/WkfHLec0AU/Orq39mDJ4
3wU+I5xo2eqmjFtIUmqnNF7Yl17WU/Nr6EWXD/cZ6dxq2GViLpo0XIljE0GkZ7fxLovldc6XGS70
DThSZ+9VDbYWmoTskTOO2k6FsCaaH+zViSPMCUg6TstFvGjLSJdqbxMdy2j673v3Pz6sA21Yemiq
0Di9JWyUcMCubXh68Tmr6hjvenobP9sMCUXG1odNuX5cMhMt//8Pvko2mOFfp/x81tcrCvCaZiqF
hY4udippQmBUDzO5sCIQA11lXRcXoNSPOrv/6K7wzqe7QhIOXZn5xevnellNHT4n29lHkuN5EbQ8
d9ivcImqsK38+bexdEUSkjMqg1Ni+9vtMDbNuEuUtkXoTjY8J50X/rkoVn83U6d619maTPZbAFcy
2oygholnAJd/TcqS0bxS9apuKb2lf0yYAKznLFgL9zyvzjz+qFaYwHfCYxr9aevt8se8kJNM3JNO
3chJILnp3eTDMXVjZZdJM8fMij/iwvy5Il5vsStdh5KcGwTM13xTZ4xmLTyrMYKzw46RN4QveUNs
jWWzfuqbtnlmq1Db1EUafKGzab/DP5z9BXunYlMeE1Qnaw5NU4h/FhwQP9KC/8evY+9bBFLAX7mC
Y2+nefMgnCzxq8tSTVuCf2XR6ezGljldUrCVvndIZatudYaJ85PZLQTQhnD48x5Wl5yyL0HNIDVm
5JzbP2YSffOPgm7e7yKGsNRoBh4m3MJvy7Tx6q25WHV3mR1dnAy/SPp4GKho8BYaWSgHrEywbrD1
VDTDB/OC97fvtSFG0XHNSsXz583RrNdxK2eopdDDlf8vwhANoXzIj0OJ4WQo3S63938/M96PndHK
M1elhfCvXOa3GJ3poW0hB6y+OItb0EVUSe4eg0T7hyFvHiUBgP+WoBkhpLz1iztorCt6HbSPBlhe
d/P3H/N+WAWR6epTw3t3qbberFyv8DpFcjmDW3czdFT6JtqiwRT11zSFLBj1YwbahclEla6nvPWa
H0UrbTF98DPekROvX54pHk0GrnbvJ85luvidWanxUmyzWPPInDtjjqmxfVzfV2eR9oMD4HE/wZoR
EQxWp3qctn5Gb5PXq9gENJDFzyB1Gyr3P/etnm033PxkFE+qEnbyyGEoshu1VVt3vPLTsgfy0nv3
o5bDfbeguAtgtMMwAvy9lrGvT8gKmjM+Trm6pI1fFi+FZWXNJzebfVioRWCebG/NW5hYHNuQLcAv
47mrcv2MKVO5z10BoZ+rS/ZlJBiPN/A0maJFHO3e90R6dfOZaJbmk5Gv3DdVtSUvSTmTJt23XHBx
29X+E1ELLUYycuXWKSw78Q44xFYFaZrY5tgVsJRt65PTlrkViSxZLCsyCl+KMR4RhdXHZEpqf79p
00lfXJRWc2yTW+3syla2wMhJxoxgMxVKHuI7p/oudSqL/PQ2sF8STZ7kaVxMV30S1YLpeNm4Y2hm
A7mq0EvM/Dg6Qz4gZINldzOxPfpQanscw85I82BHeok2b1yoDskxWyRQolOZlHYwHjzsk8Zg234Q
HugwusQYpEu7EJsl040qt/TrMoTKXImvLpQ3yJGZNcCi+vt+eXdU4Qh4bYEpnbFChk3y+uviLec6
KE3Si3AbOf3MnNmPsCPUSNL0JOJgIjg9xZHf+mCq/E4mwda43jBABh49JWfV6wePWQc24rvphXR4
7UWtI7KjcrXZ/wtLO1envJeddxyg3rbRyon209GN+524vXIgo2Upg/V76tBGBfRyM7h8qPO2mZgb
w3U+pbbERCIcIcL9zLjJPhItv2dnePh4AbNBPiaE610hby7lZtVmU1wCwRTpIIvVi8kxsu88a0gu
gDeQRvHjSJgFVro61EyissgupBUyVPRgy8Pz/GCM9P4Y5jddpbQGKCoE0rc+EinN3ThUdX1hzROG
jo29TXaAbAfvotI0FxGqDcoFlAXWXqX98LPxkuA7vH8088Jq9fT896X17ij2KCRJDLo6mdCGvuUr
MFJ21Tgm5sWAA8WuzqrdNrViCsXmqW8wK4abQcFJwBvhWORj8unvj//DxnlVxPB8miEYdi4kEYha
r1fYAg+GwkAEF3OGRvt7vaJijyxK3e9ByZo2RtzXXXlsZYbDSojQNsUKf22AfoeocXQreyj9QWsV
DBit3Hwi41YEN4QfMESMOtPNZRn9/Te/P2vJnLgGaYBUUgy//YSt5WXWWPDBkPuIJ9RJzon7QlMP
D+54sH1r/MDH592sAKn0n3BxpkngG29TfGFBmJ2YtHPxFrs5TWXrffarcR1CE+fFz/hwLGWIwZ64
b+bM+wCVfd/IARxiKndlPkCp4qZ8/YEwQ4JauAXWhUXrN+WNULJ7Hm0DR9uIFAr0E6NnZQ6YYrfm
tblzclU4SbisA1obr5CzH8J7caaQgsPAlhKRws9s9Nf2tqt0OTzaRqHWQ2uulQzBKBszGuBsPep+
XsALIDRaWeSLYNrKnVRlvn42DGH7v0o5lL/tssmRoJn5TH5yba1ZZILsf8m71VvCdc0db4dDz1TE
aKDG4NwY+C+hO5wVYU+hnYJ0Rq1t9k4Rc8oJGa+G0aTfzakdLrrI+lSHFdJMa4pSmPCPiyUr/4O1
xJSM9/e/G+BqFsbNLUGNrrYyb6erEyG22h2a7TTooLhzF2TJsdCN6YZ1kPlmmI+NdSIJwikiu++q
5QFdXfqvmiyoAk1RNt7TQJX7pTF79dttA/1kLei5jqIwXVzWXNXkl8DDkvN7W+tq2ScgkMmlJrEe
/NZMyos1ZHX6nPV29nvJr1R/r3H1swVxbIb/YA7HdfP8Key6VPybdckib3tlJdkaIh3q+nsujenS
+GLYmlBtqNBipaZJfVlzhDt7lH2dg5Cg2gzzQCNjS/IPDaf+QfaURHYKYPlC+MSq7gD5scoYxnU2
I24762Famrl9akcnZVCxygnhRW0pxzjaVtP+zkgnvJfZNr00i3QZKqTm/ATcm2ccXPny76hlJz7V
zlD23DZWb+6Crp0hotlgnUQ2OTYxsp7et4mTevvNl9netDI/OQVo2mj7od0gsJ6DufrSMhQv7gc5
GvpoTc5wp13HaHe9N2XOUTvbmB1QEy9JVAyLJ3b50Jf17VCVyY3tzJj3BYXbT4+r2y9YiLdBm2Vh
tXTlPt2USmO0XF0Byw0ya5wbtX7SY1I393YuEZ61zZbSlvqze15tp08iZ5qcGyeAwA2WrNoxXNtl
Po9cHDO+yJv/0lDgeXCD+qWMCxm0U5xyA36nFLKNsNCjWkPHy5afk+AqCXPX1r99LQ3nbi4tOvix
Ms1PATF/6V3DjlxvuwELq7DF6QjzjW0xhrBeR+uMqd3GyMHw8cbIYTi/uMirH3W2QQllx60w/DHC
yqKpRTcPB8MK9h4advsgyVgoYl0BfB0XX5V7McyzHaasNBOLAQJt972F+u6IXS4Ug6XSUxpKRmv/
zGva/zKMzil2yCNl9WB7EKwvFNu2PJCd3svbIOmtPuon13/eJmfrboLZzS9QAfUE572y5KXEueSX
t2RIBzc0jBlswrlTrDXGDp+hTXXz76lf0u6M3yyyX0Se9Uu+LX76b+MmWfnoIKRdKKPdsoSkGHhJ
jMzPTY5W2ncUplPZfO0hFSYHTc+bRCsqrofJAqjc2RbgNCkNKER2Rbq5dVizB4hssHulYiiyLXrS
1p/tG4g/SO1SORnyExtXWJ9xklg9rMwAQKMKCPtX5pa6itP5yiMAwbDNcJuqcXxaisb8ioFPszwo
XaCebitDfsmzaUqjRPrCjVePk+UbaRZayRDajBuczHSz/6GQYj34tW0MkVdu9eO25e5TjdS+jK9u
bk+GHpfyyZwrA4mf7S0qrFIYJTdtmlvrHqVbNYjIt1stJStgLuYY6UfQ/ID/pH4Eo7u9IGg0/jHy
mlHpnE1B/zKqcmhDY1D+IbiKEePSSkCDE6kTvAEsTvx4gRNUhu428z/awZgO0MhTOwctVManqiQD
IByX0bloo5bUS8vk9LFCu9mc+2GxiKWGNRf7m7JgengYBEScxNP9ovpmu++NYau/CzWIa5anwUYr
nBmeLPth6C7YtifTzui9xImMxXVvlAmf7BSI2p1Ca6n1D7rsDm6tCGg1wNGDs5zsZdhtyDucfdJ0
DjMPiYcnOPSWfFM5EFnUm2juQzkG7bfZXrs+mnM9fFuDjk2bYHz61crT4HsxzbZ965mUzaA3znQS
Q5IcgAnEVSinpvpIig9eSmHFcOPUbSbe+jjTFOTzdqIz8SRD0hDNcuyKTzJrVvvUdkWXkViVTDe9
Q3332OXG2Jkh4w44P17q57eBTcbiCUWweRJbCaza4Lng7rAzm5+DinyyeFI1hViipBacyK31Hf56
j2Q7KFR9AGkovNhfncyIsgWGFvIaJRLGqYOsDHh3c9N+Dmqut692XpnNQzcpT50Gf5BrxGiiq+97
zh2BiX2X/k6UIzeEfb2JYn6spb3Elh6Z3sJyQUIOBab3vwWpGXztxVVjCQ5QezRlVLjxymqjSU1R
WtwgKfc1427bWuJrr9nirzHht3O/UvO2d6SEz/oMmQRNclRfHbKKsM0bNX5HstrlNzgUqEvlB2V5
AYJcTrWRVcanOVhsAGC7kWHem2KKV3eEa7MZc39jSWCduMd/qr7p5nksIt1YOsDdPHE/L+kQPNnA
dPZxaFcv+5q0RqEfUjUY3zlA2p+jlYnbLc+t6pShwx6+MWAL9A7XBA4j8UeP6nfMG7+4ViL704Sv
4qEH1cx3Bkw2+QOJsqCZNfuWOUBi3IipljPCZbI6ByzTsFUAh8SuBpKVl2/dAVbG1rGTF7scL5u5
pt7dNjZ6+E3krvc7q9q23ftLZ49HYxvHf1aVViX9fAeiwSYvxECGkpjbeLQ3/h1nBpA7Oobh5zTm
eI+6fmX/DmAsJsjKl0zi5gRDLV7c1JG/usyVzSXYAkIMQ4nuofqa9KzTG3szZfYv4wDTDsslab4u
ldP4xzTfhjTyq3o+Eq5k+zcoV53nCv4t8RL1asj13EiVnT1nXZzd0AzCOq7C6+1Iw6WuzjTQ+gee
kPjGFY4wxDnr3So925OHXWuQ5rZ3oQg0DjmE/2rfwugynozFCLBHoMLGGr416r2HBL35mXJOpNAT
extc10PIEy3NaLkHpAAkbF4/pxstCtgS+G4Uh9ZeHC9s4KDWd5xQeN0baUoY3zw2801N0i/GhW2m
RjfupDC6Q2r79bOwijb5h7LfTvZ1Y3HhE5tS7GUKjys284ZARm9b1mJPjQgxOkVrXYSzJDPxtlnb
PIiETodpJ5H2T7E7js7XJdBrGjH1cdsQAp9X7HQbVD97/Hnlvgrm0TyMeeXtfTubKWP8NqFCC/rg
sFgigES3euqnV8ClR06fGtO/Xutl8qYdCUw8Aiul42mG9FFAStikOYZuvRW3hChVzg2crzyukqsu
QmyLNdDINu7KBMZTDm1DZ+F17A5rzdSpdCFoTcLLXyi8K2rdTC/3Jbw3FTmoRqY4b/zZv4MLoLJ7
TC2K6fM6iwZn32CjpIOXHxzEqLymiTFxWAmO6fHCdZawC3AdJmYmld5DMg5ld8vY09OfqmIsnrsS
ws5xCQbMeKgwzD7WVrd+E+3MpDLsXJKRoxmosDsKZcxePOSVI3aMv/uohfvdxXPjLDPtEIwgPNia
EWJ21WdC/8Iggi4CoMKydyzuyjv4Zr3ebJPZqIgDp3ZfytImXj3pC11yUgH4xIvpKffYw7c9pyhu
0gj+s7rNLVe5d1435QkGNkvvdOc2Z3PuXNEGuBdQl9GoiEKSb17Z1hYaGoX9becM3TCT8Sr6Imop
jusLRO62YM1Wwr3xJme6VtyraB77jOVJ8Wj3wot7P+85mZmBr6EQg/pCOK5TxrL1GwxrPEaIO2tp
pnt3K8T6S2+iBc6rC33TG+VgwbeCXg1ZG5K4igh6SMyHLtDqcTPSqST9FW8NBmcqYKwV5uiujMtW
y+zFBTQYbpIpWDm3kqY1P8GUxpMD8i+1Z8DRBe8Uek6GMz9DNzDrtjfdmwrXamvPjTrVsV8EVR2P
iFbTuEl1dXQTSJO3mTE7P02AIvwzxsDLDgKK6zG3Apzvi6EssdJgBmZc9KaFFcE+wxCRbljW+zqn
Xotw50++8GiMWMZ+3VpmX4OrDyyi3tln2OYbUaICq7xfK4WyCWFujdSqI9zOnJc5uIMZRLlkZ1kj
n+utMlghyKfLU5YMa/a0lJMCmzSc7uimVW7sUJzT4EmM6OyoLXE5j522NTTxJ54JczZ0enhynGR9
0EQzJg41pchY6p++oCAJq9F3ll0aBBVCAZk6XYjfhVpvqEdM0iP9Xj5sPRh36LrCS0gYq0ecWhtr
DFgKqjF3eCU5kVNCZbltAtyIdrzlyr/JDMRf4dht7heSJqg+W1I9UwQRtcIJanSdi5zGxSKNtl5y
DiuUj7ryt+yLPatkH1Dlp/DBdDA8e4k5FydI2vkX+HPeuqtWudoIyvCycEKzm4p2t+QNOazzMA3V
USFDc0KqDM8H75J4nGB/lYxLqDDbyqJkKUc3qnPX+Z5sK3m4CdHp/q6fRipnZ23Al8J53EaHJlLk
ksBBzog2zC2nKi9LDmn3VrgmFEAThesRjbCP4tJ3N+pcyIIjg8tsMfhuNb6f8zwk31x/WqrQhUoY
bxVdYciEy+ujTi+Nd0ozgNtduczzyzrZcKdny1zUjgok4e0zzHCfM4XcDpsOPRNy1uOVJawFX1PJ
QPv3wAlSJiHXyDj8Gsu2+N7Xhr0811U73eE+6zL50rmF/VvQr7eegq920BiPvWTWRiiOUfs+CgnR
luOjSobxVNvkV8WZxvzqWI6mCbCCx2mM7XSfn+rWS1tig0rMWw7zht4UR/a15SKz8qmCvYBrhv8F
p9Z5OGn6rx/9lsp/u9ztiTDw7cE+WBPfduEiq3fB4qDqaghax8als/K+z0JICEuL4RJ6y9BU3VTi
2rKAODGeNfYAMNV2arx5Gffe1nZLTFPj6Miu+vZprfvJRovMRHXd1X3JSWo4m/0Va6EKLcAM6L6T
OXKwuGfyF00GRKuvbckfsa8xs3c/m6YW6qkXKHbxnakxTks3jDlBjnPfC+0cOndkEim3vSTKXZY7
LmE9xpzctXMzw92h83WMK2WhFJhpLLjbwDr1SYw/wZNeSqzNOMXSCFaZOx1KQAcVFoWN1c2G0SJm
UH1d1s2dxhJOUyS6GG7T6BgIhlNkO7dTOajHVMyqOLhwIvC24nY6abfqMIWp6pVNC3uqP2yyyY19
VjdGd1uyeX4MOQcFzigQefdFD0uiCMeerPldYoGU3wVuP3rPXLTSe0pzSbkfplU//JCJo4qHfgkW
efHVwBUADbPfbpepIg5cr2tt7ODjBj85WbnHGjxGu7BnlkCT1q/Cxgurl9uumkSf70lAMr7iC2ob
0TAR+EJLBsU+tFed/nbTYjTo41yBETWILyG9H43R385gmZox0Cc0jyEsiMjbjAYI+xBSe6M5LcPc
OmFnjswj5OYZBzb79MnPc6yynKtXElDjeXWmeq8Trz0a3dWBKtPlodRpdtaGs1yKSWorxBbuI97C
W9jGtwkxRI9K6t1Vd/GWgOM6S+k3Xj2cEqd0jiKQ2T8t7N5jbq5i15lkW9Vz9vXvw+n/eCYyY+Kp
2PS8pHcJL2XW6kQJfSLcxThSH8xRYpgNtYajjxIQkTPPmz8YEr+bYaKMNwEQJFgq9Ni31rc0l6j3
/X46NkhYvjhe4pVhBlt6DJUBhfmDmem7b399GnjBdfiOr8dbNMwbA5F5ozEdmUlSE2C8ZeB9o7wu
XuWSMdINZusj7d+718ozr2wmA9DGwlTBfD0FZ7qo+x4Hi+NUBc5X0rNJBO/8tGzu7KUYca8S/0fZ
mSy3jWRR9IsQASTmLTiJpGTJkizZ3iBctowxMSRmfH0deGWSCjHc3bWrVhJTDu/de67Kn2VLZ/SK
5Oa9W0v/CnUHlRJIfdbpwASF+wDuje6mbBu1dge7nLde1iSsSy3w+SujXdxaRKd4RxbgwiLmPGdG
KHaYCefVZC8tcojGzEk3vmzFFrT2f6pCHfDxy/pHqXRS/Ga8JdSJjhjvK0iX06vrpD90fjE7NwoD
LJvjrp6irltZRSKZqVLDGlZuNzvzvZNM1UFlWuXc5oCEqodaKmQ69WxE3+kbiWStpKaB62xNTF+p
TzdkLZzU/uZRffiBrW9Kgimf7WLvDGX6XJCBlG1Ysn3/JvEK8XmYWJCDjByk8rZQvjPc+Eku4y8+
RVU73hZtOFFD5oWzwp8J1DHjR6x87D/oFMt2Hla13rX5T2pO7iQpRlP4XUs2Z/E6x4CT48BOwpbK
pOx+irAWyVHXiMnewpJxo9cMlUy3B6JfrWvQZ9Eeolxfr0jTJbCM0rohbgf61huiiaBKqNrsnRXw
ur6ssSiZHPBtOP/WoZgoyOHmYnvy7KZ+di3J7J13AymfzwEE+ytUp7NnpRkW0oU0j/dTGRnzs4hT
Iygzqb8No5q7T/kEhf/K63HeGiEtCf0lexF0o9A3zjxNrJV0Z+082WfUkD65nWcQ1iZ8/buWtMm1
sPXzJpv3ZzDk2iaeWxptZ6pPWZYtsqMp2QtomyZSJGR+ON2pG4XQSbVIVZui8XR0Epqsrn0Hlxdq
GTT4fUvQY2dKO/0M7GQgdCjtbD7yMUQmLfRDZFTmHaWQ/ufH93T5U2dfHAPYHvZnOnrinI6Qw4hD
W6GcG7r+A6t7mUIWAVD2r2mc3E7PWKbMP+1dEmNOL8nwiRlDE07dJqo067XX+8E+SLoQ3bUZ8mJq
xhvOvMjZDPYAU4k4HSlJBJwKDG03XaKH95hPhkc9oqETyKKa2aLleAT8oc+vCKgvJmZkkDrUVnrR
uKEZ93RYtCuxbVezf+NK33C27oR/e9ubYXPXa4jJHz9+bO+NBkeNJiHKS27p2duJSFyWfhpqNwgl
0/Zu0muErhbOqE9EyHz/17F4PSBmOx4D4ncxT6+M82ydlwAmMBHqzc9hlOGmm9VsUjSc9Csuj8vr
csDCwR/zkaUxiZ2NRTNf8yJ3iA9eaGNl60cAjya+QbVuK6+/tiG7nML4yNHbsZLCtMLHf3pli6jd
wa4a7qvct25yf2oe9HSq13Pne9Q9ZHMlW/qd8TBiWOCQbTZF7rl8hsB3a5y72d4Xtf2SLKduXRnN
ga98WCl76HcfP7jl559+21gguTpYCWh9uKGnl5fBIUV7qtvMlxqBQrNjBdrSqjQ7jiqhrrHzlO28
jjriUULflNuPh7/QtnjgP3CSMzbMJPKDz+ZrCUbO1VrKBANuxG8xHNhjVIz6N11a8pvXUye0S19k
AIgK75ZW07SE01sHOVv6lZ9yOZn/2a75no+9gYT45bX7ywljm5LQMcty9wVewDWomelnNUXxzmlq
eVfR/52CCvvaTYZ16O3ju/DOG70gzEluxkqCv/9M2zizEW4SO3f2GovwoYVBu0nAGj+5ZX1tLn9v
KHZPRGogsHdM/ex+C1PpVuZHDh3h3H/hYIkwDYkOSviucL58fFnvvco+mZEMs7xiF8ujH2aw37is
qrBIL+2Skgph4QUaqIWdM8Ff/Xi8y1nd4Q1edhrYmdmInb3LyHGBg08Gnw5lITMY6rQ5eiWnGaPR
oQ9NJHGueILXMCiXl7kcm2ibMS3hzPmjs/zrxekKhQQkHK29C8r4a28oSfexA3BiNvoK/4Kx/tfL
ZLtNuwpxLsoewv9OX1R/TiwHAQhMl9waV+2QiLVvxe1jGBYhmaphlD9onWj6f95ZMSxaFErUXCnA
l9Nhl+bQMt9aTIR9sjOi2t57iN2DiO7wlXXy8kEis17sYTgI8Q2cGydTytVk9UhrP4Eg+92Ennol
VtFyA9g29LkhYs53hQRAceXOchzkIk6nw9ORzy5SAl4thwbxGpPWgBaETua+Ug7nUYMsXj8Y6S37
gRW2yv5UlrLS/6Pd3uxrvtl2rxf9GGK4TegdjL0YOGuYExXTlZgxKuBbFkR4NkUqqUzZrXqkr17+
8Crb+halrjmsTX3Sn1llxmZFAZbAQ8+OBmOfQIPrHnST5uRm7kNZvwr0lNPtIDXlPfQlppiNG/sV
8WlTXaj1BD1LfEX2k/Qry+M2HmZRuvnW7Du9XPeqmvsXikHCfGLeN+h2SMz49NRhLNFxysMvpVUU
YicK6CGbknboSwG/I1oLmVBKNIEurwwu+FOfOEb1QO60u9fSkcpmkjg59KUesB34U+eHK6T71Frh
DAydSOWbQUXmbwE+4T/d7htthdOeeqpmaUmK3Af5fNCaFa91p1st5fEuqzdouJOOyO4Gcs8shfPJ
cyQbRGXI6d5N9Ohx4f18K9jVcGrj9gUu1dVDSgZBTCcY7dYKcbMnvxhGkfXBkA3WVzwPKqbNbsz1
Bm5ha+68rhiPnRw1zD1WLjaDVtvGejZtarj8/7ojNkwP14FUMHn7Mq+OiTv5FIzjzISr3vs12QcN
9Io7L6wokXHo0EDMOLFw7uJ04LbOmK2fulqh8pB9Ft+pARsQIp1q+JlFNhXwwuo7DmuR9jOFKZ8E
njDzb9ESmrMERqha/6yBj45v7Vzm+QOiKEv7LzPr+dDIyPP/G3zaKNsxpl247nvaq6uhrkb/QO6M
fosMcwiDZppqSb19HDmf25NR3xfAKxEBiiq3tgYysEOrdAPUXuwb/n1UJZ5N9ERfY3UhbyDbgXpq
xlXiAaX9WRkoMO/Ax9Fery3Tcn43cBbjlQ1jB7SibM15E9G5/Y1/A5WsK1HHuQ12Gsr8bWPY96GN
nGkplhMD56LpW3NQDLsXPVeUVldWa1q3LVNt0wX41eoBX+c0am+y9ufPlqfa+Ufn2uVUbEBuy/8q
+NXtNzGF2o8KyQlkdlsZPXj0EAgVuI525jhdJ5UoyEZQXdmCdon16KmGZ16sM41G8tEFThsh6nD0
CfGIm2QoeWbUVsAOs0x74mvs1WMuSoi3yOpxe8aNcn9SGdeAQc89+T+0m9rJh4upx68ZOP04yJAV
xAEvs/1TH9jf3OTtgEoQbtDCYIrEU+vAiETT1DUPqeoM9+A0oP9XZTLlb6pOagvqcVVrG7Pw6p7f
1uTtKwLpoYVImkhQm21MjXKyQeZFS1flppgNf16hMxhoQWKUm445ztfml5sgsfzVa1ZVPcRZFcOP
wXrew91v7dJeWbJT+wJLfb0rpn6YApwT+I81f9CRObaaXd3i27Py+2wY6eY3pjn9woLjj+s8wbKB
mH2imktR2q023FnRPEAasLy1kdjGq1JD8ZDYmuNtI+VR1p9ECZe+E1nKh9HM3VPh6ONnhPSlT6Bs
1XTRXbNAXKhLtAixDdSG4o3XP/aOWaS7d15UApVxgID7+7QR0ZcC54eDGSbiX/DNoQk614mWHAxe
lS3uv/ygrLqCgUDF4Ci1nHBeWbS5XDWNpqBiQwhL11Nb6y++RJSwHsCyUAKFYEK7wk3k3jOVaa5b
KEw1EPEZN1nVLEQXOn6edVvXkfO9kKN3z0l17LFvdZ1G5QhF08btuQ//qSEdI0QQ8NhXI/o+XCMI
3bF/OmMI4x+LYbSl54riqkxVMqwi0B4iqOMhfdPwnP4e8sj/b3T0+NlRJk225SBGKK7hj7/6LmX2
oaszHdM2ih9np8R+2vsDE0cex/6LpvUm5OlYT+sd5aV5T1AMbQIjLMPXkRp/DrWiS76PmavfuXUB
aE6bq+4uFpkXreJ56vqN12nj3veb8muuYUwOhklUbuC1WvuCGMz8rTRBjF7JRrnehLKyulU3uskv
YA9FEqjSLX0z6PErUaagfxzvqp6okrlC0rQbAdUT4616zYBopPOQ5oYYjDgevWRFSXf6LIBbxMFE
yzm/9+NsfGnNKP+cJiGRHrQt6/LeSmvN+mxamj/FAfu7sNkjaot+t9OidVNmVmef83G2j1M7uMAp
tan4XoXt+E2Pazvb6tTuxBZri7qN0UjBwc9b61MzZY4RDJ1TUw5Qyo529DGcW7cwNBG4Y1k8502k
vdEfMOo9IQID9by64alY2Gc5IQLwXHVt7MgVZMkyJ/eark0Q0uUfV0OIDfHG7Lm5sJATYoPC2iLJ
xLTkHY0sB+ZjReeadr1/QDUY2ehwrFTuVVgPzd7kUNRukCB0+kbRxYeQkxKDtMrTpr41E3JFSAFK
YrKny5z+pt0I3wicpLWHOxvSxf3AgbBep3rRkEzQSPqnANSS29yP/HHrlSTZ31odOpJUhUusDJZE
GnqDbNFYJGbziN7P7ZdOf55uRuiQbx1MuW+tSRlyQyRQS7yATaPax83rBCGk/88yCauOZqGe94Gh
ZeDmiQfR/F0y9N0jKgoYP1TXjPupxLIN+ofTH3FJ7nxf5JY30NDqaQ0YbLGLYGzYwrDiFCXeEegp
WmBlRusyDfnGT9dKigHf7tDetZqnfmiRPqBV1ofmzZAUPoK5xEz8pMs8jXimBco5uyHHwxhk/5Zq
xpjtkRgaxY0wqjA68m+Y/qrSiIcJGgEx2IPcmx69uBl+LV23ehU7td2+GGWbIaZplN6tcGmYxo2D
/FNh9Z0QrCeWgUgmmb320Y7hoXOBHGHWyKE9D2xaqMI9nPjq09RVTnWIFazZoHVM13wb6eMnO29G
cL1GxtJv/LIh0ajEsfzWs56029IbMUkO0RhZd3Y2OCjlIzf66lvNoILaqUW65n3ufbQ3eBMCQUEt
3o+lnNKdpns0uVWn1+QEEFdlYSA0w+Imz4Z4Q7MZYmPuNuYLCNi53LTAWyAydDTbt74/T0+4xkZC
IUa2kRsh0LnuK/ZpVLY1ZEs30vezR40mq7mNcBt4qwo5+APRLsj2itow7irfLKNDY9TIKM3JsLKb
Lou8t9gvEJRiC+6dLe3eFH1dHIc16ytmv3VWoQxeoYUu2gPoXkkNuzWKGPGs4amgDDtjpyPs0tfE
KSjC9oRYrmcipQ7ku2PIuxA7WbirK+CIQVKGSbrPwkjwIQ7GOBCBUOP8KqbEoeWMxrx8dCzbGA4x
Lz3pIEUdEkIRI1kTKIk7/Gt++Qv0TPZIwARbQdtltTkMAidZNyxKjQwO9lHPHZ4QmQSQEtidduQ4
+JGGaheC+BzYxcyWLq/xitIEDTPohG7HS792krHXl5c6Rd8ERndTWF6sPyVj6RoP/gwzNvAGmdSB
7rcDAGA7zo7ZiOZ4Pc5Ndu+QtqGOsEtb+vVMHCjOypbvt6nmsX22285v1l5c8QtcpHdfCgnF71mv
jHBAQlu0fACiS+nuKq0klcVskGxxEO1IjhnLqh3v6ZBb2V4gMPHRHycyZgKPK3DSvRoI4hE6gKKl
/8Qu2xVYYQOf9uJrSXAK6oXa66O10edpucXl7/obxBja58wn2++7F/OXgyoRKoTJXzvauqKKrz1A
4TXYGjBzVWvywhiWDFBZ3uFiadimyFx7rMt5ePaUnydHGwVHhv+D3pCmWuZvj83puMq0tihvxSxE
tresXkdv5Jc8udIYpu4TrSbXX6XIsIY7q5FsZ6i/pRow7Yytlx3VhfsEpkL7Bo/QDL/PQ60+tXhf
253W1Lp3JezwvQMwEcngK6l0Lkaa07O2TQ+46drI2kd9c5j7vH0SRi1WYadZW11Ov5teE7uPqwrv
VDGw+lIHFBSpacGfFYYgS4y6XWTEPCXgnaeWa6JnOK0qJd3nMMyvFHHfKfzhD6SAQUUcYYN+7mEB
SFNRegztvVP5yY1I5vRBmwdvXufKmV6EQvLtjm59FEkH6IVcNdbWrq+sg55o85X622Xpb+HsMyPQ
LDWsC7AKy63w28K19+DO+htVdWKbjsB/8HKRTgEDWH0nRfg/tP+he6Xk8N7QFOKWlj+9CApzp0/a
gNNLr0B39jgiWC/ZFm6ZgtXWpyzLFiAsuq8ut+noIprdfvzE33sEVB3FnxqLIQz/rJBkWrUXSXdC
0Ke14VoQHuoGfSfDija11q04b6bdauDYaiA/Rz4BKWKk49kyG32ipZ2PV956Z2nwnFVfuP8k3KFE
oPTtnVVfBjLvaqB75p7kUTe9Nct+NNeSMyRK93jChyJiL4fLFqtaHEIcDX1QDb24yWyNmGW4Vni6
HLbFX7IoXgL/2EW4AZX2hPBCKumBgxT2Vldxp9YiSpxnIqCs4hY9kfGTcmSxFVM8xQSlZcwf7YRJ
m0Yex4CVZyAPf6zcNBFHMQ5yvFUD3t7NZOU932OTpSu0vsW9N/Ssy4GG/Gv8nlWVZQfl7Fm/kQWF
1t4gPuqLTsNpui3r0X51WvRNQcEu5nfCombufCfUku0ijM4pAHhVcmSZqFuOrsrDe5YNLXCQMlcQ
oUeHELa6Yzo+JAjb5/0Uo87f4lmfjxNm22JrQAU0NjG2ky+T73Xxl0oLUQRSlaBdaHUZyqp5asMr
n/U7swg6AP4LZoQu7LnP0TTdiqw7l8rd3De7aij8eq2Nmn5A+VYlFJnSsd98/Bq/8wUxJEQTIM2U
J42zL6jxMcJm5YDHqZNinXRxtBtsWvlxYsUHYUzjDruGzzbcklcabO/M0j79Lv7h27Vwj51+u40x
4vkdqTf7bett8zBKf6DD6oMJIPm+g5y4uM9n+e8zBt5HiqLL7Lnc5tNRTSHDaCktQQggkepHnvtm
vO0JulwNwh3IKB1CEvA6MKPbeJr9axiK92730qvgP3+iAc4uetLGuXU7jYvOxmZbANw4euM0PNRD
6xarJlbhzygpm5uCDa68skZdVmfRfPjIagyhoyg4F0cVI1VGzv7OPus4hBNEQrbuijMsajO/GYoU
oV0nV6PgMOEkvXOH6iP/5yo4kzGhMHQaFo7OuaIBurZJAqhn7+E9iq0EH7ovY3WbubiDPn6vL6dn
gogJDoJkBw2JHv/yJP7qKzTuAPFiZmnoKHf2W7NAZcCX61FTkjFix9te5kmG5FNhR/TrLK0/Q0pu
4y1WHO926I3+WoPlAscFoY6pmWfAWkUL/bxHBoS/MADiIeqtansnFPtb9LVatHNyfz7CB1bpIaZ/
+eDmdZsfOx337dEqHGs6ylnINWoTDvOZkagNDonw2sO5+CD5eXyLQIZQB5n6eYsCdg75ZLh2905c
xHe1oDa8wmxlQyGcjFsNFeNKeU5y8/GDupjzllEply8KF6JB/aXl9tdzorgpG9n13h6uhPsAqXW0
AlEN6Q/LwpMfyMzyroy4/MWTdRKNDjtDi3GX+ITznvQYeV7ojQSeEsQnQFHjyLpJJj0MYuaf8spg
y2t2OpjNxmgJWWauu2xI01RqgJuZ8UHzC+txaMz5NpMJbp4Bvxs94cj9ObWl2mEEeP74xl5epo3H
2UO6Am9HkM5xemMj+gVgK8v0gDvr4LkyfIMq4m9NA278lc/68s1hKOqiC46Xp3SuKfDJaudr7NJD
XvUUuZ20Rzyb1GsjcsXbbJWbnmBNdWXQd+7s0jZEkLqILqHsnF7f3FgNTZ0sO9jS0OJAOZH4pNys
PsZRlM9QvROjozA1pfFNREKj868LCZIGXh/d4Hs20b8vP++v99bWcRYOngXHaFg8keRJww6k8UbN
Ljfqm7TFlBq0dthvtMjpnz5+tpfXDurpzwkH1pPv/cF3/TU4c8YgZrre+zBSMEFEZUhSGDjgR000
HHStK/eQEQasuSi0f3889gUmlB0vWkWf9Dos0swTZ18sQZrmVEl0W/pUTF/yKFPFTjfakeMsVP19
M9BNux2LGnVJE2NzeIEwgzqi6pbQttaBS7y22rIvotUMMS//YWB4E0dwPpG+y6Qyb5wuG79+/KMv
Zxn2GdbC7YKMzHpw9jFUxDxRULUqzkvhrUPl5+tUxe1W2OpXP/rWNRjf5bfHcDb3x7GYY2hNnr4c
Rj/Snq2dCpsMIkaLavXvVszZtsUwlwYfX9rlx8dYtOd4FWEo0ls+HUuH1pOOGJv3kZU0j1nXQnjR
tT+56Qb5BpuBrKDnJJn6K+eNyxWWO4qOiInbRLiEZOB04A51KWsqGanKl/14oFQtNq1ZAC/n3PWt
jqkFKASVReBiDwqDtNSaN1X2VPGlH0ZXhD8Xd5yPAGUYdEhaKShpzdMfU+GmmvnmzL1ROtNrQx/6
3jIj099L3+qvBThc3HJwpUvCm24Qtsmp4OyWI7wmeLVE9kPFUBBam7XKuEl48by9hs2MjClHZZjR
iZ7PryAmL15kj1kW/YmPGpIV7DzBvG7LOik4tu1nZ8xFIPh27syChl8p+nuncq+AUC5vK8MhWcDv
B1MT5fDpbY0gtI4UKvu9Sp1hXbVT+kCsWbobBxxf//gec2WLnAmAEKoXZtXToWxLSSifRb8XiZ7u
pCXCTZqhXZIR9WNAJeKTNLA8/vugCIcw9XI/KWOczQtIQdC121a/97ti8NZx4eQ493JSkwK6wVZ+
E811/ZbWcrwWa3kxhQM7YvbEYk6ByoLNdnq5FSUw18v8GWfiHL5acyQ+UwMnmN0Me705TAnmJqxA
UhOrxA8Tsf3XC/+jGWN3gIWAF/PswjuyFzRKE9YeJp5fB63uAsmwiEJrMaxtska+Yalur0xVl28T
KkeX+QJFExqj88JcMmZaimrT3pdJlR1yw+7NFfwxV600inbhzceXePGpgO5Gm4zGB9gRC/TyBP5a
JAnyo8tiuOpY1dUgAy+paAtGUUxTllyVN8rl3OF/HtJgM4saUFgGz/fseJcUUG88woKPyAGxR8O4
oqGJ4ZUeEKnY0aGK6vbKVS5f4MkGk5C5Bfm6yJhNNkNncxGy8yLkReqOOhZdAwOk23b7qqUL+/bx
tV3wJZnoEEx5KLUF10er8vR+KvQUTprq4zGt0YXtE61xilVCPTz5FTWj8+TZzTj5q3kckmwFBcf7
pvP+yjuaVOkDre8h+VliAHYC0M/ucGU3ePmw3WXu51zPUY+S6Nlt0Bq3H0XU6cdKUvENBO6GQCDO
+Ox103Ajm+nh47tx8fmCIOWUtOTRUnOjonB6M0DVEVs1Evoo83F0Dw2J15/a2v4N+DfegR4wus9p
bULw6od09/HQy58+feKA2hHuUsUAnABj8nRoIx5s/ArkZYMZ7GFjSHx+7Z09Ave5hfAUX7mzly/Y
cqkIvalu011zz650bs3MqzAGH02vVNYLOX+49eEeYJz9+Loubyk1GSxyOMYtmOrnH49X2DS7nSX1
hR1NMm1a+EEAy/Uue5X25I17jYOb+ixdTfY/MUmW3z4e/7w+AiDTspiJ/9SFDPdciaizrhENZYWH
Rhf1NgwnY00dowS3A/hsamp33WPv3mG1hDzUt8nm4+HP3+BleEhjgLphnbGBWW7PX9NVGubNUJo+
eBgzK3ZlwSEiMyT2TM+LX3sV+1fGO7/djGdT8KNWzNeylKROx+uTSFes/PFxjDT5zcyEBVDQFptU
gB1ZhbgVfwxEcO8src+jf1zr/4y9lOFY7i3i3c6mkmystSYUjA2OIyWvMa4PtNHoSrvV/LUdZPEy
xmp8/ecbzDEV49Of5da3z5Y85rbUm3KVHJOQWS5I0MU9WpjMACKOMCVTNBrRlfXgzyH772+VCyXI
GUYo9g/2Gfby0P96qCg86RxEc3qE3hlvmioOyaDM2gfTTdq1Mzr5DdC2atWBLDZgcSF6dDvHv3K3
33nSS9EN1T9ERpb9sx+Roo2qGzqeR6JqzVefXu+9Vo7y6PUWIkc7TMeD7wJBs33Uvh/f8z/H4PMb
wLkL7St7OwSpZ7NHgwrMmIH3HQGVlflNhoqAINaIhihcsqj6onI0gfRvFfzXuZrnfTXFfF9ZpCG+
aIce75cS07abUOhhTwDVIOE6V5bnHukFpD/6Jv5Xe8tSnsPRySREpZh9/tl7oow54xvXycPMRd7f
p/Q94AJ4OQ1uxIXVTrmgtx6lpcGV//huLZ/c6c3idIrPy6ZBg1HoXILtmGnjpRnRj2apF1tVF3ju
NQ1BZOAmabtryjrvD6mlnGvZCBdnObZJyznV4yi3bM7cZRH46z1tM1Q2EWnyR07ztAqBSuUarrpK
cJaJIh15kiv/i8YMNYNA6R84SjjolLzml0Ei+5VDx7u/hs0bhXJ6IbyzZy9s4442yRoa+WYex+bA
kPN8oD1FdpndVdWXmrJZe5wyxWYDGcT31I2hX1F2QFNmIEn4+KFcfD30kfgfDiC02xSTz84l2khq
uC/a6DYhOO5F5HO6b0h9CzDs5yhhsmq8Ea2LyqA0ryG9L5YE/FVkRiCqdgFBwk4+fSp4LevOonpw
cLNSfhWdCrcE4CCDsMz+iBLxmoXs4lJ58YGwslXG/cpSfHbfDQCMc2FO2WEgn3AVD4N9b9elcTfz
G3kFFuza0L7iO4+vPfGLN5+RF8+OQR2PCco8W4xGTLCNsvz80Iz01shv9VT62bS7aUSOyPFzNkrd
XbHX9fuVF49FvO4nYB5bl+Da3aQrxDLO1E3+RmV94b+m2qjPuwwjvrVl9c5pBocoba5N7+/9anoM
SzwRtWvj/Kup5tBVhTbnhwkshAOEYhDOI3I6T1+mMbf5SV6CBKYJlLm60t94b+glp5TgOWFSezk7
aVTzlIVlG+UcKaT+iWcjk5VJINsXDVBMukIR/Zv8vmuhd5dfJs+JkusiSqb4Z58PK0MU5MqbJGAu
fTIDc8jKnTcV6SMm+AJmBzWvnaPcJEFeJLxPGakhqNM1y/npKNa+j7/Md38NWSqCzQtltotKpC3o
h3izkx/aRoupwyzGuZ682GdLY1kOUD2IhYnizy96NhB7g7C3SVfoBef0ngT59koN6r3PZwk+N11C
NQ0c5Kefq1MNXa9LXR5a4vASp+k3i383kGWIyreLEN64AhiCHguk8R/fimUZPVk50LvQv2U7hYCG
w+fZMpujLNAVkKGDFtv1jRMb5QRM3v3Pasroy78PRT+B2jvlp8t02Lye2z7JMHkM8GOemzp6SSfV
3ZmhE17ZPLx3UVTZKbGxFCyr0+n9BPpYw6aPqkOk6WK75E/DBIyxBctqgah/fFkXaHqq+HQvPDbE
HHLwt56NVoNr9AXv80HD1rA3zVyz10XeJJ+nOCvLZzL7ym8TvXHvqeud9ou5sKEDnWrjDhJ8YQ1B
1RrRVw10uXW0cjxkaONTSBkJ2Xlvg9O7XzozzoxtajSm/vTxj3/nzWMKWtohCHA4/Zqnd8pvGuCJ
plEdkBmb0JVcOYx7yg7Rp0FTBhTU3pRPE7mBFQps6Q1XXvx3HhSnQzqarFPYkM+TJzAQzIRKZNWh
rWV638XSeWjmZvhm6IN5869XykBYOz0AzcsDOVuitFL1VjMV/SGiJ7TOWjROWkE/XZkiv9M0J77T
2/lLJ6Jrp+7zY/CSnMBEw/6MAxrnlrMdUl30uhsCfTtgG0puZefSc3Is17pyKy/mdfrVyEqX3gGQ
HXF+CG29xEmQAHaH2c2Nzdiily4iNe/wkhJ6oFRzM0b168f39OLgi3fUoofGto+iAsKE07fHadzM
rRwb3IPQE7SDbV5vSsh6z/qIYAEsTek+lJWyoYCGEXvhTOXtr49/wjuXzZ6D68UHTX/m3OzYgEmL
UfX7+8jFEAXBDX+LIeb5mBLXma1KGiBB3kED+XjYy4fqsNkhMJiLZiE9L0jqRZbaAxvcQ4l+OQ6M
Xss+my2Q4I+HuVyoCEelXUjhkxodWsiz1VpLKriPSDcPsU8F7QsmFuSSM3TM8kXNvgE6OyH2MgkG
sIj7qDG1buvHRfHsIdgq25uqQ1b4+PFvunzoHi0MQr6ptlDZ+/OT/9rxq2ryMdlp/SHvnBGKh12j
HbWycc8kU5gB9pTsLUzDYUNVrdqbLZWBj3/A5b3nByBHYWOLJco9h8poHUjFzs6HAyF05i9z0kwQ
+Lk1//MH5XnL1oD1Y0mQ15ef8dd15s6gpqZy+0O/mBZyM39BH+NtRD1Wt15LbXBh813dmCwT7sl6
TAWLnRJSCkgazMtnn1RStWj8HTEeJl7aB1qNVbXiYeikitcLUkyjKvmcuK0JVQo5GvtFY5Fq0xiZ
1qFtRiIYOZUkn+xEiw9Fb4WE++JJxLxCdA47vaxp3LU0xlBfgbQDraVQo4GXRi9nsQtrULm4rkqf
dLxU5WqUrXFsFxMAQpLR6wl7m8P8XpIkVT1l3uQjCYZHOK/cvu2eI2JX+VPsrKsnmJAKHN6QJNaz
BQi2u+d78m6AwGfGd0NxFH6beyjxq1EzB3CQST84t+SmYJpQo6OcoDdqPE+JE+tyA0yt5SXTyva1
DaPqBWODXx1quzR/UENpJphlRU22KtIho1g7S7NvVdW0TSlId/muGgl6e2ULqr0VQEj9m6XvD+2M
20Kotdfqr00vx99xOfq3eDAHj6K70Xogct3Z3/V6xyEmso3+1h8TsUQfheqLlU7ZM8Eq6YhCMPQh
SveN3UMGVtm4KxGoPaP1R60RQ8e2cNeMHVUc6t7x6yzGUOzSzkrHtyxF6b8ZR73PQZPh8diTiIWc
rbEHEM3KNbU7yKz9Uwrwr/6WDH7/ECJaDNfKsisR9O4czfcVyTh4kYRyhwdRxZmGtchMnkKOW9kq
cojh3ODDqr099lF67XUq6cg1CXFOQWEnUv3mJkGOrKsiLlZd6i3mBul638M878orO7MLDQDFERBb
YDbYblCvOJ89oKSMDltN8sHNQX/B5hLF+DEqzycjuDG/ChhA00pL8cfcmbk7inAFnGp5wapOv89t
P4I8H7bdiFiC5sZWtlz9Po1nEzMrqdo6PFDfrOZr8/CyAz/7LPm1tIPYt3KiP5cBZF4S9ZNOjIrb
wVt2EFH1CJTTEgZy130JE3d85OhZUrVX8lNDC/8GurNxaEnf/W5LbZ7+ddv+J6aZlZ71x2IiPpuc
sKAXwJ4cBVgYUU4aWpRWJm2w135kTFfWustaJJfODEjZleEA6ZxtndBQA192i+bA582DYvnBuFFa
jf8TvWD/IA2owcqj7OzmpXyMxzrehrljm1fenYvNIroAHWWSycQPzOUc1+Bzbuz6sKHF2UzODoB3
f0cgZbLJzdK4MtRyRSePeyl3UlKgcsMZgp396dwvqBmx4xgAXihRf86zAmR1H03MDHkZ18aqr+Lq
68er2sVGBp4yNRtuMqdyykVnK31eFS66G1EfLCO2P+MYK/dST7U7Ucr5TdMiyMdZ9T9n59XbONKs
4V9EgDnckgq2ZVn2jMcTbohJy5wzf/152udmRAki/GEHuxe72FY3u6urq96QrO1r8X89myiGsPQb
ScHJMdDlWXzauM/V3IGxd8BQAQVwNHzNHzPYI6QMzbj9DTgdjqQRGU3tKbo+/RogzIabaW6lSEjT
yyt37sW6058iyaEiAsuHFRa5xz937pzioRoElnFoglm7nx3Iq22qSxtF7STkH2nD3l508R0X0wec
QOP4HV154VY496ZV63WoH+reMLbcB8PvOFVrZTfTYS62st3EL0EYlTG6Bwm0tNujX3xy6F+iiYIi
J5ffhZaUPjU4WGGKcPANDnFH/xs4WD0csINEO5eycfasO4W0prhyZZFtDA9UpBh58/P1zxfZqEbN
7jtbPSBs7niZYkf1W0qi+DsNg1x+i5Fv+HR7ohcpI7QSGdCCQhaL/dDybTKFgHskx1cOVjSpb0gv
gJNHeXrfTJb2m5a6A+QFNhu6nLq612mWlSvglyvf2bHQPTQotgltwMXhCoYmoTenKYc6Copv2dhp
n1EBlFAuKqS7JBvl+9QMqiMozrZa+cgXUYvUke9L64jSKACcZSjp2ozqi6MckqmdGhe4xvyq1g46
rgFVyhVUyuU8yVOFt5wYDkSX2HH/nB+9jxp/HmQFTwU/+GoU0Gg9CGca2v7+OH+nxq17ZRagxRI4
ebAGWb28KESa/M/wi7ki4zQUHTfBgVAhit1SsU0qucU2mgx7kxNVkdYs878VosqfARqow/2ojvHK
x7624oKRAOqAP/QCzhdhygCi5CMrPna+5VWoM8NoVCX5TihORSuf98qK02ig+o34A2/gpVdjkJmZ
bFYQ3ENYrxrQaxsB+iIL7ulFmhH64Hr725eSOTqmftGt4ckujzI8Iqp2AO55qlySEuJwKsBEmAdp
9jH1CFC6nTZTF6HSUVrRJixVY6V8fHVENIXYspSNeB2dL65toAJZUDo9aHlWblPAmGg1yLnyUjq1
uYUfp97djh1XvibPeypM3Mi01pZfU+8UX8aY2DpUSuoctHnQsm0mJb6M30VbrQx25WsC66bliPyN
KA4vzo8pyQbIW0s9JKbpnEYtMT8jIjw/qP1cuYmco+/QGkkEDdW3Vp5+F/MktQIcg0kZURmqhfhp
/xzdoUenuM7m4hAXgd7s5GSUqRMB3GldS5tzeXt7WS++I4VvdixHUiC8YRWcD4caVUdqI1fMVIhZ
Kn50D24xOeDiFd6nyMV/dGUtfHngB9B24C0K7vR8PLOOrQCSbH0woHfuyoqTCQGxxZhYs7ZKkShf
EymMvihpr73cnunlwqJpJDTdRJMSyMAip3B6yegNdaoPbdyqL7I5a6dEyhIvRqV8TR3y4kZnlrbo
1ouXJqXnRd8tzIjsTqTXB7pv9r0RtMlDzW3uGVWfuzOM98pV42qtAn3lWyKGKTA2QgKQD3u+tlDq
siwPRqDQGR5cHoIv0muNisHnHnXsLc4a3UrQuwz0FjsH+LqYp9CeFWv+z2adw8g2JUlpD5Kvp5+Q
9Pbr36aMhg6POTOnyofygR6/+YaRfW8yP67vuaz80HFtOypo7Hz0C2sUdalE8UpB8XdZYcUyhKMV
2tOhRnAJYqCAKQTTb9K2tXh7WY+zwCEKbjAXuXgNLbZx0WZdWKODdQioIWT36gxCP+5lv9qrQ05h
Nx8pkm9GLbC21WxK9as8k87gAVDo0+SC5yjjL7cnL0Y8S2H5RUgXKECYgb7S/D//FCVcSD3EceVQ
jm1gw6FQmhQRFZ5Ih9nAUMwLQaFFXhDmUbvPeXnbr7d/wOWep/1B1AJHiP4R9fXzHzBl9hTQOxsP
OgLrb6OtdblHByY17+YqUvVdBOJt+GG0trZaTBBB6p+5c+kJ0Tm4UXT7RTNvsfEJWK3BeyE4dY5R
zYfU4hNYh6RrwBe4EmZbVe5lQxEkP8cOQaltEMxF/AmjlcT5rMS13Tmb0jCg6IupWcpKRF9uFj4J
6opk7Tp26PzGpWTyKIbQe384BSgU6Q3UBomHoxuFbWPd2YU0nEBzwSmjMj8GprKdfeq7qTtXVlXc
S23Ydm5LzJjXju9iy7BabBkSJCIGScOFzps/546EvR0eaxTyJneggt3chWmH81BtWsOhn4zpaChY
8u3KfoI/dnvDXK4LQUqGbMwrXjzjncUt29BcVVgX9bGytXKf8RlMLgMYjr/73Ar2KlygdOdMaZJk
bqoMeQlRIJanjdP6o6do5SqBTVRL/t1HLIglKCnieqC8YS72UZ4mkh9KMcaZeAndQaisJjfEJmbt
eli8g1h4FE1plNhgBC2dW/78qKStMyEmVVqPViphTKV3FnagvZGgbJTmAMy2fZYXppdHc5u502z6
kVeNjZV9LF7+/88QrQsqDu+wtvOfgcfvXGmFZD8mBmISbibxo12Er5oepSC071aGu9xuzJomKUQL
y2FxF5eikyK654+m/djpKlI3yaQU97rk4/lXhIlXpdG4sSTFRBUHE+yVm+ra2Bi3096kmKMBZjuf
atRVWTn2qY0dM1Xt+5zSFW0of1Dvw6QOpDt4R4HjhtGUfxbQrjVczCI2ipUGZgBBUQAlaSSIAPbP
PaljGNlPPEgfpSYzHvSgzzdELGM3S0rj1dMk3TVhtJYOXJkzXDp4orQ5uRqMRcKjEPCNRG6dR57j
cbVJAfmiWtWV08bUo/gQNANeFphUvmj1oKgrh/vajHntgr4C/0Z0Xiw47paQCik2PXJMyy0qOOnd
FPvaEd7G1yYP+y0VdHu3ElAuzhWEIcFHIIng7Quy+XyZQboF44zuz1FOAg1NsVhv7F+a7CuvhaFn
KS/t3sncSOl78zWXkyn4NtYlDUr6MNFzZqfGZ+z20vTTPPdIe6ZGMBmWO41WHnyFdubXJWDiWek8
Ry6FEK7Qk7w9g8sJwKRgg4ABAT/FLX4+gTGcU0RuQ/PYYcMLg6RUGgutOwxbZc+Ktax8bTNNbmnZ
+COtILDaLSZGTachhHj7lyw3j3hEUnmjU05ENIH8nP+SwhmxfaIKfpzwWMKS1JFmGHiItSAOhITX
sC8ra2jucO6Qsx9qVDq49dz+BYaIgv9GY+phSJTQW+QdJJPRLb4m1LEcz8tKfnRwaQk2nRyVwd0c
g11z466ypI0fzMkhxgE4uKeqqXxB6Y4g4k5aExhvQzEgG+AlDv2upxq/aRspkbywZq+RKwwaXNgd
I/YXaPvnJ1xrzBEfJQZ6LYMwNLepAqwUQX851F4yf5iN/Tj24zejVLrx3vI7WUbZsO76fWBkRb8N
9BDT41aVg1NDAhzuYA+jgdmmDnK0tjanTe3mfq/KFe2rzEYGtMvFgw5KIRZ7HYvnIO/4WvIea0uX
dluSbCSjsXAl6zUDIyJ9GFLlJZWD8b4O0Lc4KVqj1lsccDV9g7ZvZ32Ph3l+lUNgXUh0QHu+u/09
lidaRQaZKPb+wKBWuSy7Y4VmhXi2h48BrqDKzlD76hRUmvTU4BG1MTIEYTETWa0ZLh41QI5F4V1k
2/iTEc4WuwD5tiFrjNJ5tNHb9Aopae6bvGCO+TSaLwluUB/sLzAi6RDvehGeSAOW/ua5E2tSosbO
Y5cb9sZHc+6lQ75tQz5WNiub/CIHYjBguiBemJzNeRPT/+dmSEaaR01dhkdAYbOClEoE1Cuk1aq5
M42/iYqVXNibKp5aYf1lYSFqtZOcbCIjDA/iFKcrJ/9ywflFwIBosoo1WJ585H5pDgdDcMzt2vg1
BUr6hQcsjehGYDqRe1srvouHwfk5Z0DCHjYttNSMpRsAudAYgUgKjoWhtQeVYXc0/KIHcxiNlVvp
YihaOEhXCEV+CmX0889Xuwt7n1eIqT7WAP6eOjUanyCxRdjDIXV6+7hcDkU5V7Q2hU4++ZV6PlSN
OzlaCApqflNZbCcnVmJPc2rnSBybpJXBLqK1kAeg1snzR4ZQvtxFsoq8Q0534xDgw7iFIgwMXimG
B4j0877qS2OvSMPodb2xVtZe3lg8NKnHKfSpQLFSvRUp9T/7t8d3ugPUZB5SJ0IqtW0qZ9u3PmJK
6Bm3iSuV6EEMktq5tR6O3518sp5vL/R7z/Vs/1BroZEMBEQDhHSR51RBYlbJoNQ8VSCFe82s4QY+
hJq/KTNfe54KNFXdalLKkAcWys4e3PdM2rGQlMndJkpN6VXpzLI+ZmqvkPen3YBFll6ohmvHBv1z
N29N563lLZ27GmCTNz9wtN5ayVGXrw9ergBNoKBRNwLWsiypjkPdlVWddkc5RG1rkzaakz4G1ZRN
P2+v2MUJZyCHSIr0FK1GAsv5NwN10VGfDZojJZL2oWvwZa+TSHnwwR791yEnuv3weNzhAolOQBVA
scV4faPUihk2x66fCy/V/ewnF7I6YRGZPWdlYa7cVBdHDxQhaCmBS4Iyc6ncIuEKTU7aHu25mh6a
yESvdjST+SfPv+719twubkUxFrciqD5CGAH8fG6AYZzYbuz2KFe1elTiUdph9+EfEGhXd01njP+p
4Tit7JSLQYUuB2hTA8YXTlPv4Ip/Dp2Q2h1w0ZSPgTXPHnKRGCOBPN0rXQnGDpyP5fVJkayYjFzs
TzEqySnlTJr/1NnOp4qas4pnaysfS2UGVSgZ0fQdpGF4f3tFL74esZLUT/AWILxTOzkfpqRRpmuS
oRytd7liNdezA5HPfFGRfv7ozmQsWvtC5Z5Z8SI/H0uXSaMjzCWPY6TnD5wBlOeEu6ERvQu7mnn5
9vHJicIhliY4vsEYOx+wlCOKYXGvHtFTc2Tq+gpaC2juhshJBcPaPlnq6bN4FINJo+ETW1DSlvXZ
yc6rxJqM5Gn2AwSh45oa8WZ04o6erxCInKtKc1wnNuq3ojSTb6CAELeEsm4inebAopcoOcqeGozt
Jw24UulliGOekC1NB5dimyX96Cn3oo7mF2X6uxkztuJUW2n/g/zUz/Jd2pV4bPZpl70h/25/qkeN
VBgRRTgA2KlG5VeAsdK8xk5/p+ueXQp0eUUpUNAxWe1lFuPX4QioIVCOCMXJjcNTqbYx/TJ5s01o
o4c2QpWDo58ouAWQPoJAf461EhvhWOeJQ6MSTaGHGmlY9T6JkMP2lNiwRjfLkga5/4YatmdXaFm+
FUOWhfm2ppU+PGZpP2KeOwUViq2uEalF96lAI3v8TsKvRBu/aUdpJdpd3P2iny3TFhPlaKLQoqxC
JGiGpCSxmJKw+qzHZoVeKjJ+dxW8QT5AJQf1nW+JEnDNRT3vPrqjaRyR4LDEopK3rGWBurMRkiz9
I9doAcZW7dAx7QVmgbc4UJLbo11OlruexAqgBm0kYt/5+akUS6CMCvVYYvqOBnEabi0dFXZHiqM7
w06Ke4zvcXtOkzXhtWWvQxRxwakxQfhFVJCWCZ3Z4aXehbN6NNsgPkA3xHcsDbEWjpH9csNqQN2v
bNVjW8ko0Ex269LZbtYqBBd3N4UNXfyl8yYSsOvzBcgREte7uNcffaADp6ZL4xc/MjCjTorJU4FD
KisrfnHXULoWQqi063BuhK9xPmDvFNjWTW10dLJk/lvV8fdB0JOSsfU9SNy6F8/xBwW2iMkAIWii
4+uCwxo6JedjRq2Nfn/jx8ehkKJD0I3mLwx4f0SOs8YUvFhORqIsiMIWVxpLu3gQTJqvw/2Sk+OM
Zy8kbcUvq42WD5PJ6Q26H1h0tKsWivz6s9DEmLCg4NHCtyFlWOzhruwbnCj85IiuQ34/B50EuGko
ZiCoUrCSnlxcpmIsDoxGRYy+yLui3D+ZQh/iERPGZnIcfaT/0XdQfmrSkP/S8qhPVi7Ta2MRbgWu
BnduOLvnX60AZJsFupJwNktCKtzwjW/L3X2sSPGKdNC1z4ZNlE0WpJIvLz8bXuJ0P/0sJeiUYtt3
8jEaUJUxEJ4vtkhdt2vEtctjAOiAiMOY5Aq8Ns4nh0JCYAGqSY4YXMdvRhTbb4jANT4o4Ljl9KN/
7AZTyYP9dsC7DDt8QY4gYECqyNxkYtX/+YKTnKYpfFu+oNOHP/Fz17d92mBwDE643ZXTZP0w8amN
vCzW5x95ZY1vKtS+lW978cwTv4JESRfFEeCX4oP88yu61DB6tLxZ8E4en9FwPxph9ScJEMq+r5F1
cDEpnzU09MEnUuRaK2VffG+hHkExmVOD5CaaLOfDz9boSMiiTCe9TYv+QHVMb7cV0OnKoNwnIy9Q
p73h25uVxb/46vR2qReQYlMrhIO++OptiwlIja38yUqiyjbdvJKSz5pWgaLyqrrsix6oZAgSpbUm
5ZMiEKiHwjey1DMlvNW8ybfjP0Doi9btcQpyDJd3tDU8WJmRTo8Wqjw6lD6r+7Xyu0VQPgsxVFG4
kknORCmc+tL5eg1WSQG8r7qnCG7EppimjoZwCE8e+XYNJi4mD57VSP4hdBTpc5QUzh4tkLL1BqAg
sifrRfja+m2wsouWApa4BlLKYx/zEGQbgYw4/12z0Tp+IfU95kWQbd0xT9PQS1vJFIY32CoAfqm/
kJ1hfO+isVbt2tLUm83Y1HaMNUFZji+IDYtfGKlOfFJGfANWIubFTqeQQGDmtUqeDj5lcSNERacX
chsnT/I0lrYXaiqlgs6In7IGhtymiIdG3yGBYMNTRU2k2Zsh/lAfvXTNdywgJSpICmKlztfJNgrc
09K6fTIzWpBdqEa/jLiS8aN3cuV1wjB9k+vW/PX2trmcOmAVyIsQqSmRQc49H7U1uhonELN9Kuqm
242V39+bUzwiTkh70sKuvTCyeCNNpf1SmtaaHNyV0YEOgN0AhkRy864e9E+IKXzqfZ3sdE+BI1Ny
bAe52/EEHrBv4PUd/OyLsH2mclsGHtagI2rxFTXRl9tLcBFoTA1aDPVPkJMUDpZyZQXtdyDnTvuE
F72/s6WwctnG0x+7UXyvUqX6+4fHE7g9eD6mheb2Ulmjxio5RY8uPjV+IQfuONV65Dl5Uj4rWVr8
Nf2pTPa3h1zKMHEIAWcg8k0xRqC+L24UOy7ok3X5KRCNUncq/CmQXJJKSUN2v/PhCWK5WXPsShwf
txhzmd2O1LcukYAHLvdmqIHaP2qIXETQRfQqlMeVQCEutbP4BS2EZimcN5qXYHUXh3Aq0GJQqyE6
qc2UZU9jM6GFmded/5b441Ttbq/I5c4DtMIqc7Gw/yhnnu97ho+NEceuE8bkk+vgnBHyd+NrgDPE
56q1v1Ochqoe9ubDVEWyvHLY3zsni9kCUaEmx7GjKLd8pddxVoMQGcJTAXvllKC6rnkmtKvoeTT9
yj+Goz51byGM+nxjdUlcPoV9ouOpRXD/3tTJ5N8h6m6/EdDqwEMNzgkAf/Ic26Woo+N5N6GZhgwQ
9n1uOcYQhrDLUMe9najFM3PPyUKBYStuIxea/pSzz4+UDeKXzKklBd+ZKH9pcUJx9hWwTyzNRxxW
Nk2V5PnWL7Q0C9xSa+ADpKWCrnrjS5/jIlLjF9QN219Ob/rhKwjVbEY8DcWpR+z4ZuJIlaivqWT5
b0LVV3sw53HCsSm1/PRv0HVNeUiUqdS+4BXfTp6jpbW2MUI98DcN7CH0flo8jXZJIh4+EkzvcjdR
fhgf4gEs/6ECd/GdWkMZeQZmH829BMcJczts7uoTW6hQdiPuX8joFk4K100KGutTOshlKH18d/Fc
1YQ+MW9XLr7z3cVlktdo10Qno22Hh6kuxlcVbPKjj+Yap09vqr9SUhkT1Rklwu8jTK0PX2kCbQHg
hOcr966mn/8COZE7TjdZDMWX7lMtpeFrGGbtprbk1PeaNG+8SJL1Jz0q/R1lFXkljbo8X5xiuv3Q
ktlFvEbOx09ra6ZxpfpPvhFG9S4unBmjbnvABk21k7keXafG+fYb8uHVsYPjm26cxp6TlWV4h8Cd
nzMeXMRYfgehT1nWalPDnGbcbKNTlOMi5sK4iOTPdq01j8PQNzZ84Sx75A1gfcshtjzkeZF+AzUe
2J9mLn/zaxqXZfyq+FlhfjdSGmGHOG0kY62Zc3kHwWF+L1+TdbJgi2u4QVCK9wXdVQXM2MOkxn7t
hRlXkyvhBCihhioXv29HwMs2pEnXSyBUhHga3IzFmFEG4spx+vzUN8BTt5I85K+R3eT1tugzmtBp
aECZRDq8ieIvc4gTsafm0nAclLiCVSBpQWJ8v/2b3iHzZ59LpIlCyAyhCA1ltcXBMeYcedghU57r
ok6dp9IPu/Z5EiKuj+gxN8MG6SbHdNNcd8KXyRgN6WglJaZerVz0oavWcZi+gqYuBk9ue9pvaiW1
ybavpzx5A7AwlHuEyQfndSy7KdgWNFqeamWSx09TN2fjrvS1QF55uL4jOBaTEmJWOP+CD8aMfHHX
aFWX2F2ua88QP+d7eQrm33ZX5NpnS/WDvdZWTvw1qirOpRMOkfPgZEaT3utt137VcFtLNyEQ7UdT
T3X9a52G1aM1UK7YA7XtJHwskz774hiI9X7KrF6VvDq3sq+pr0ZrxPfLd6nNS0XjQFEa4h2+zJRC
E8F/K0u7k9xYjQrOQsMP1pSLIvjUD40VuXj5OeFdFhmD15Rqrb8kGADzn4xmW340wLw/yjnRNo0Y
+hPL3Yt6U5cjIXzCzcNS7qRQC57mqCoefIBRXpKn2ffK1zBsYlHwjhzsD0rvwfcWxQh4HzwcrlQH
ej8u6E4440nvQJi7QGb0P5lZR4Y3KEHxWW7DYWXKV9afYi8VMlAZQhFgmS5roUOuCL7rJGeR9kse
+ocJa4CdAJC4MW9xbLfsxK88xfKL54bX7ZF6Sbpyty1pvEycXwFqQdQHadosH3TjqFZay0vklKgz
+jhdVentRspH9UGanTTweilXxnu5p7BeGFOfH7TRjtGX7qtMw+6TiKx8HaVZi4+G2fb6RhoaIfvu
pDFaQOBf8J+b8Cu9HVkuo51Qm6acQS0XmVVCy/mFpDQ+1GF4vKemKWE9pGr/i0sjm7dFp85Pfjv/
xmtmTjZyX1tbqZHG0YN5/SIhLrnmmXAR7IFMK+jgkGoLEfglz1+PdNQRErGApW7twtj+oxet+ipD
y3pK0qZ0VpLNiwI64733RaCWIjCwrGjMkSWPamtPJ2I4jO+wmZ/Lxtb3dqQGn0OM7915dDgfVlcb
324vuziFZ6EPuW8iHzohkDvpzoqf9s8Djzp9Te26N09z07dvvZ80EZ2SQLG2fqRIz1qT/hcVTvd2
e9QrC4zgFDB9SC7kP8tSIVyE0Skbwzrhh5L1rhSFya63zPk7Trjxsaui/26Pd/F0QY6ZNB6oqyX6
istY1Fh93Qww20/zbBD+KnV87dq6Q/AzX8NYXuRVi6EWCzpjCyjZRWyczDwDImzjy1R4slG0mxDz
0p3vWNE+cbJ0O2pjfIqxW1wrTl5OljuMCgUvZoIQ+ifnnxTNP4yPfUc+jXpl4+uWlWVzV/v1nNAd
rOo7O8cFaItsZvY7bwe0jCRe3/N92lb6U0+76JeGY/FLBXiw8+CRRLs8Cae1lsnlvqNADOyYEAXZ
/EIFSuqVciTzVE+lNLQbWx67jWzWwys+oGN3VJFf2/tIhBcfxVEBOaR8JBCwPO444udrQ11+rGPS
8hMELtnzbavEnke3XgpArHdUF4L72xvvXaLr/HwxOeqHIrJRvVo+mp0mGvWy7K0TKqymsk/IJZBh
SVJTcUs5SK2HsJXbjgUwx3ulG8xp1waNI3EjRy2AASxEJS+OIH3vE1TCTjydxuFRmzsJ9OGky39L
NbKnPabA7V2H2bfvBVZRJW5lj1aB3quKWXGBb7aznXlBG/uuVQBMqlHSC/VJ3U7wdcwR58h81Co2
jYpi94vRGfreh4ARfstlafhMFbDOf0xKo77p2iwRGWje2G4flcN92PaT/1DTMv+WDVX+EnVN5z8O
vI0LF7VsP5jcfGiNv7dX9coOhwhIBBEcBWLI4u1i4DPUFbVinVqaZOHGzwxf2uYAFYWcUOerayfq
Mj6DfADvCpeKihBC9ue7pg00HIMb2TgpHSQVTyt0Ur5EsVW3Rudyb1VWM++VKepwlTSNvthqPeH6
vsQc4S6MLLX9MeAwWmOWMAubaxq+mw6Eq4KKGOjiHf4m+EhaTUaydnuhlkKt7HUh/akKaL/IR5aN
wqys8xFVtfaExJPFD83UcKPOjX6yKJMar4EuqPvpKKn/ZUmXbBN6VvYzUiQ5KvV5qCnbaKqTfV1S
IfAkuSv6xJVTauM/JeFL0qh2nn5mxYN5rad8GUbpJ1OZpr8LfIx85nzJgyTqzAqEAta80wxlqsA0
PLe0h6YoSrd2JGeTj9UPp5eTHXfIh/urLBubCxUlOAL0OBYhFLSanSdD154mbs4XxfHDH/Dxra1Q
zNljUVy/1U3ff5SLwccSxjcIBlGQB8272GZSm0pzb1nFqRmHwt9AP/I3Vmlrd+XY+JvRrpv2nvCY
3WVBASD19la5vJJ5N1DhJWUWHNDl4IWOAbltpPUpy1P1Tq7GIvJkG7OAmNrjtzyQk5+3B7xyA4DP
4pICBSMAgot8Dw5UYWK725+KSmv6Dba9o3KfdVmwicpw8MK+DHgqZMmX28NeOcsOJwI+HkJZtM8W
93ObVPNsh91wwqZBS7/xA+AgWBZg7c0QNGXzpxYC28d8xgvks+VP7Ursujq+DSOPCYquhnq+sUHy
5ZRBCqyTcQhPQH/AIOu0KTL2k1Mj3zRp5iS70tTY0b6QDHmt3XNt2QUuBW8Z+pf883x8DYp2mSoJ
CshqomDd3saRvdPt3n/BTA0zapOqmzuOUrRSzbiyv0SSSemAYMTSL8alu+X0qJMx77ka7tUhMgM3
lAv5l+pHRNPBd9ZSjCvBD6EFcAQCugC/ackvys1Eq9i9w2m0rWh8yEct/48Yj9x0YplJc+jAwv5J
RN9wD33d/z3UVi9t6mrsfU+VelM/aIOaSHspx/V3OwWQsSmKWWbmIprVBftWt+MvddZH5vb2Hn2H
Bp9nDUIiguoP5e8rwgWDGqtFMWGfFyvR8ILdO7+5bNKABr7mY8MUJPFzGFCT9mbdznCnNklwN3Pf
t/WhCcOooAOKZY5bjLKEUzZ8lMqdHBrBXmRXpXNXllnRuNRkS+2QK4WafCtRehy8Ih2t/+S5Vb7O
xsj5iyg+O3skMYsEazNsWVdu1stNAaIdMKgA9rMpl82tMbWUUrOk9sRWje+wTvG/BLw+j1msRhtO
Rb+Sjl32OrkEOXwyYqCAFBBYOd/9rQKb0JHrHsGzKklnt8vH2KDNkuV/QnJxaU8U1BOAmvas/wi7
aDhwhBDpN4IchxE1N2CkGNDwv6qF0kUvijmbv25/+8slERA5cg3BcqB2Is7vPw8yCeGqeGz0+aQ6
oaIhMKuHAPmcSCjddbskloFB3x7xMiIwIsVoesAcT5Ly8xHrsXTmQRrmU6ujazvoqfoQjNKrb5fE
pwKrsd85gWh/e1DxPz3f4dRJ0BummkiNk6f2+aADXUKkZQf51KOl7KLb3v7QQuNbFk/ql9sjXVvQ
f0da3DMFwnh23bbyCQfwaZPnie4mYx1+s1P5bhit+vX2cJeJC3qpXN4UDqhiAPI5n1hi66OS1qV8
wkyt2Vn94Fs7Sk9G+gtxP9LhRG1GOlma3ggj3AQ3Rgx0cGFcuc6vrC/KUex0CgpQOJYYoy7KHGsK
feNkKVONrbpUqWD/AnnbABtdOVVXVlgk4kR24HiQWxahXQ/tqsiHgtdJn857YBST7upGCpeqbsx7
njyZsru9yNdG5P6E+C2aNxfJSujXOhy3UTkplZR/iq0k3DujPqLTl3XBZkZRaCVZubKcojJFgkQJ
QWDEzr9qHTRKA0RLPeX9PM5bPTN6+1lOdWdywbH5+sozVezJxemAokJmxAuZbusSkQxOVXX62lFO
RUSAySTNifeUWGt1pfJ9mYwIBCEdDdJO/tiLsyGF5QxQKFFPQ1t0ntLoNH9SY9hl0PqwkJDke9Cl
MZJ6LbXjD39CTgjvKSgqAsS12DR9oGljRWX2lKRV8hD2kX+v+aBNIAV3mxytjhX1pSv1ReZK6ib0
DXn/LxlNUUVtEei1Cj8u170xjJGCdJruMU8xwFb82PEcGGYvLbo8R8mvHC+qu2mL4Bh2DbenfiXg
GlzrFGkAtCiID5xvJt7YVa7Fg3LiRk4/z7WS/IH7nN7phN3BzZVMnzeKpNrSyjm9tokpTluCzQJK
dXlOu6GcIrmqlBOdXpy1sRCMXElEIFPzrV+353h1LMwkRVGRMu3yyUz9SU8K/v3JKKr+RxVLNaIO
BiDoXkEF5X8YS2AneOqCR1uKXBRSHITqyLxKLRv/9D5MbpRL1V7/WXQ85lfOzLWvJwgzcF/R9DCX
DvFKrDtzDXnwhBK3c6dPWrjV47zZOY08f6fBP7tVPUdfPj5FUCFggMQWBlpzvmWKUu+6rp6VE0xE
0o4gkR8ytUozD3gBXdP/YTDRxAClT710eXe0jV2iHmiopyJBE+UgwyjfarYEByGSUmNlOa+Ecgoz
1GRNkh1aFov7shjsbhiSmFBuGrGzSWB2ybyzHfVHVQ3Spuujfs376toXJN0k7JF+iE94vphziKxH
IaXayZLsahNZhZa7hWXHGyWmk6vUmrVjSysrAejKiRDsRr7dO5xlCSiZrLobulkn/kSl+p1rO1V+
Ukpp7rjkdP3l9ie8sqoQgriM0d6xBQ3xfIoot/bOPJmUV6M6vR/y/m/ZIECKXqMlsz8TbU3z9Mqa
MiAaMzD+SFyXIn6WnZdjREnrZGql3P3um94Z7ihBGt2ePe1T/VbhXCCwgMzLiqTctaHJPSyISYD6
0Rk4n2uUGnFn6rF2kiypfAaxlSV7S0P6Zg9QLfnBA2nIvRnt/P8h7zEFd5XHLKeSwHo+sBkkbR4S
w0+zZCabGi2QbqtEs3+cA7s6yV1a1Jvbn/XaHhJqPkj5wUumlng+YvBu09xo6omqsfQcaZZvbaqi
j5NdYs5ZsrKwV65MxuCcCIQG6Ax5McFRKaFB6XL2PNc8Bu3QycyNlbVUDfBHeSBBi3a9kuTugHPd
g6RZQfQUllLwQDlF+XR75pcAOcGLBHIkCoKiCrlIVWwNS+JGidPnKDD51kXfajpy1mP0qajn8cCt
0t438VQeu8kcfGS5x35jlmP9B6wkJes4RTHbRkRkpW15mUFRYqauIcTvAPAtqbZKDQDOMtr62Yf/
gSS2X5JWANB6BPVDORgt9s8JeCo3muCMrtx7V9rNbD4es7TtsDHAsOZ8O4BcS8Ko0Vs2fflXkSZQ
96FhPFZ5aO1DJck+5XXeb1s10l2zC+qHwYj7lUBzefhslfybzSFk8eCKn/8EKuPwsXJ7fCahiTtv
jMC9jVRHXlrFjJEUU3GHbiq0TlbuqMsARyeH2iwQJmDobNDzcfOyTfvYKYfnydf6v7PttPfwgBrp
C5B9rmBDD6zgwzcVqNL/4+xMeuRUmjX8i5CYhy0UVdWNu92ehw3yZ/swQzKT/Pr74Ls5TZca+aws
WZazgMyIyIh3oHlFUY6O2QvSjSmrLsEkyX1bbY6cXaHrfj/kTWgZlfu+Wtv4r+8c2zUSqRY068gB
exfbdM1m1N9V5y231+b3NE0W7VE7/jJDkPzwt6eLRiSgHuonlYsc4eX56zSrhGRbF92jNVbr3Wgu
9d3YopQeenMV35slOllTOqphOhTYJrZzon+yjCFF293Ssq+pIZufWaE1w8EOf3EPgmUB3pTIw3cG
Mq8//1l6F7cDOlndYzXq7e/FUxf4TYwyjsRRX+wm1PkY7BBZ2c0kkt1uGrysNrV4lI8wOdz5YtYp
J8YcuKIj9lv/TlbbPr/+xo9W3IWzOLcHNAgW+TjCzugDVJ7Ka5wM/ZsMOMwly/TL6+vtMwfnkyCB
ezmpmV28z1Wt3SsQmbLqQdRmcUdaNh4aI36roUxyNLrZh8Q/S7kQoFVqR1p7u71UtpXE3geL2MyJ
GXGZFY46blw2XwHOwr90B/uH1jS1DAotMQ7OzD4cbWvDHWOyS3+bacbutY69tejz6JYPy8JIKitb
G+pf5fqJPWoihDNq/K6Hyv32+svdf8w/q27hj02KeP7ejaKoW9MTSlqiy7Oqkd64XzSzT8HZrG/m
ShQHh/XmM5L7IZFwG6Aj8fxQ4P2Az6A1VMg2zfDgEoZFui9BBMah0JIu6EVi3sMWNsbT64/5cmFu
PNwcKQnouXAmny/cpnGZFeZSPeRxKu+TvPk0ju3aM0KOMUovluwtPO3l+vqiL9+tQwefmhl6F3t3
P4qrJlXEVp3UD4m7sZOb0vD6c5mZy3yqrdiAjTD3zUFyufWgG/OQlgh15Ysr3tQmsZ6rWf1AytXO
Rtl7V9UABpwABX9CcKIMmIsfLfryhOLVA6wSeD+0cACTz99ukk6ScbuoH1q0ksIpWzUTTcRxfcg7
OG1/GVgpWSmW0RoDl0rLd6820bcZTriJ5YWJVs/GNtONc7+s1OVvO/ws5HGpg64KxoM73i6ytoYW
l1PVe2Eak01iaZrv4UZP/gY6fju4Q3MgUr//dH/W21pKzJgojfZiXfjBIaoiHC80s7L3ayUvT33N
9izUcglxaMMfwhmOIt7+0/1ZdLt8IN/BRHHfQdeYbbmponth6Yr2e6YMbSgGO7ukZd4e1OT7jPhn
KfRUXeBaNBn2yCkN1aWe7id4jqqxTk2iozumD9VBqbMP4du2AD5JkQNuheb87p5htTOycMh0Y1WF
M1RiNnZopmA+dK2uzrbCfaPxZkyEl/pIluTl87EyTTHwuLQuuH08PwU6MlpjOw58v6XSUAPQ7HNq
A1J4PagcraI9XwWmRqXH9uSFaq4h+GfrTYjUw5GG0j50/XmLSEhtzrOAi93d3kf+xhC10XkhveqN
AjKbQdKk8uxawxhmAwIIf/9UNKXQ6MAQBP3QXV+DX9B2JkB+nsXJz9kKT0qfyyMVh1tPtfGk/0hG
vnSlU2NVdEOVuGG3uva1oCeX+p1eO+HaGDK07Rb+7V8+FxhFtE22ynTD4O9jiOqs8bgMWnFeJ7d5
GGzZPuAmnB9ktxeHGJgwaB1EQAhY2wd7vieSQrMxRQet2656G6g2mXTp6jx0ZVsfLPUnlv+7v79B
kgFbktMgz24ThedrKbZQFEwPi3OftPmnEuzixfJGnHQqyMbfTRSAnsgCWWj0Ll5IQ2PFbwe7t38n
VT8Cl6Q5bB6ciBdxk19EZQhumHdM32j3i8RagoeI8V9E8q66q4y+vl9EWp/QqGXoba/avWQKeRDM
br3yfy+6HdN/zToL/B46ATH6TL+9Ow9aF59itKmCKYdJ/PoeurkUMznQB9QTgGyeL2WhrrTiJlqc
zbTJqAyhY8EWHmR9ndy8Fv9hNWA8f0BqMBf3WOYxLkaMz0qwSX2GaHCnc1QCqqrePuP42B41al4c
yQ3hTpG0zdLxJjN3QXMCEyWHqi7OLdIMjyp3mUBdIRDlVdqcq9yZDzbLrZfJ7JwnozFEKtq9zMTK
48nUyQLSbHUaqPMSGplTn9qE2uz17/YiE9Hn2mRDeTYu+shJP/9uemrqCfbAcWiiPux+QgrMrK5W
kTbdHXacjhFgkhojZEYBCTJxahGFPIg+Nx7WNkGQ8JybMMQeo6BqA4Lh+aiEejxbv+LOxmNqqQzx
hDFM0xxEhhtf0kYclibxpp7G233+uGqyzmQ/lUqiaBYb0YsMTODgiBTwIH1yj+tUt4q/zfZULFzU
wONyOIC87T4nCssD7e++PEusxQJk64aTmPXxvCKz/sSeHU9D0qXBWogjC8X91+VO+v+nhGsp6A9j
V/MOsQ2UdTXGqAJ9sl422AuCIkb/iIT9JE+wcXoPeaCqi/Iipa3z+t7af9ntRrzp8G7+uijJ7CFv
m+uBE0NgitTKdTucG732J7ArI5xG7Ui/ctun/474f9aiT0gPY7t+712Es8zriwoNZRR+Jz0Nu6ky
MTqNZYufQ6YPJ68t8vy9ayfz3YBehvOGksFLLq8/8D7I8yOAPjNOAGCydVF3r9tIFWS7vRwRcdVp
rrGnJ++8XLrvc9F779ZFGc6I0h/5C+23NCttAkgMkpC348/dlnYL2PpMdeZo7vK1+KxhgWqdZslV
/YtpQyYJuObOH19/0KM1t333r8Qy8AZWdEGXKG3VpfvdN4VXqmcP/dghVHJtHX7UhK706fVVX+4n
5p3Adv7IyjOH2FWVqtJYk96XMqqVfnXD2sim6QR4u9B8N+vnI4jHjYeE50W19wcJDd3n+UNOAkEC
7JlkBEjcvkzWkHwqTPI2qvApjlUyz45KpJf7B+gkxj20drAop6R9vqLCVL11U+wMtJVI4VvagOdK
2w/anZqoin2dSAePg257B6OzF4MI9pBJ3wGRb6493LF21Qmojs6KMzlHQ6Ipn9wuHrGyrDJHO3Vr
/aS7rXPVJkBjT3Ef2/kZVUvtU6xYTnmXm8lwxJl5GbU2zalNtRxc8oYmeP4avMkcmnpKl6jNx+Qb
6O3kvmjU3yPCSB84VM5b5jL5e9JVexCwXgaRrWRkLMth2vAhu2295mPVt0o7R/FSL2c9M5JTgjDM
Z2EN2ps6TfN380Tvy4zX/i2i7VV3sP7NByd4MXLYoJz7JmI8TVpnOXwGulsTwAXb62juT9hsJlNn
rwFWF+Xn1mjL37bsm8+vn64bmw82G1I3VOjAAf+Iy/3rTKc09MZ44eHLdFVCIHLFQ+ctuuOPchpO
szX0MBXU7i/7Cew80HHeRlQBCk70fP6tF+YBTJXwXUibNAul6cjIATJx0tVCdL5rDPWFmHkEUn4x
2fmzLGpNzJm3FLWHiBSamloDVI/IjUEVSG9RT1abZ0j92qn3VMULdgTNgvtfYb1VtspPAyt/+Q8v
fPOswVOO9/5iuoTu9OownY+UNJ5+IMD8PU3VFCfPrlLex2nWvh+U1Du/vuhW8j/Pk7xvKsrtHgK0
aw/PVmU2rNrgLiT8zr4oEBwEQq9p/Ov1ZW5tJspKlEgZpsIh2Z0ktEO30Ri+KBoO8EQvRxa+qyqq
CBA5dpLA6AvtrYQEKf6ydN4+LE1FqLlc/KDf7xY2JZbuRVaxix0hzrjAxk9z232s+6o+2Lm3Divr
oCZCpb4hAZ7vXK6I6qj30xJtGK+PfSvlJ70p3KuSlPp8dhw5vk30zuPuBRT1IGDfyITk+o05wacE
5bWLkPEKCYfOrYx0hsY+B2iO9Clvuntj1bQj1vONqOgA6No6A7RNqdOfPyjaDO6a4KkTad2kcwcR
xik1B/2OK/Z4mbLqF2rmxj/2kn80jVz8/OuNRAnrQd3gIktbbhcfbC7x66Q5a4RniozP1JRjrfoZ
HlpJsMjRS9/UUzaqJ2fO1r91LGEvoSMKgg6BaQC8+4g4Gnmfu8WyRnol8i9Fl42IZkP6ny7mKrPI
HVwaDF0OPVYdFBDgeTbVR7oIL/Qb/vwISrTtag0Xa//2RwyW57JT+NSei1GyWnuWckoMa+ofaj1b
62BWJL6s6PToTh0kq5Ood/Wq5eJE99bWUUjLcVk2tyH5dxWrAEzPsrI5jfrsqNNB/roRXGBnMlKE
YQy6af/C1tb14GXrS4S8oPzqmrEZOGqbH2kJ3ijMNn8NakEOH+F7V2ZPyFBYiP3LiP5CjoHaiku2
aYze6Md2ldeXxRqPJAxunAEXvgCFGajYrV32/AwMRSLyXJdrhHSYDn2kQ85rzR31EaHe5q2JFmvp
x5gIiTsoW9aTmAb7SMb9RrwBpo3e6B/jUqrE5z/BrDAuGqxcjZrZ0QZfgja2HrwB+G+g5pZ4ypPB
TAO3cctTNnEwDgLrrRqRgEpgBV7Fb9j31MB3ZGWc1WrkGsl8SfNq/IqkA6J86PAtYWY30GqsXPbx
1Z2nMTvPkK2kD4JGhRZbyIO7wK0PAquJIhm8Cpf5XQQk5y2NVqVqlIPLCfrOM+97IVNfE3oVLjZm
3ouuwF7HIfptbLTJQRq9kd8AfdFcpIm+RcZdwZzODpqksYbXqDScn9W4Om+Y8KT3iAFpTUCNnDYn
W254ntfD4a2tT7Hw/3rUG3/++SZwFT1Nim7SIlsYc5z5Tb2W42NHru3Pm8c70qQ65pfxP68ve2vv
IUFD/CedI1K923uLodaZrnCqUqUwThr+Gx9cqWKLjG3LCSpUHnYLU0KjXMoD/M+tSo0R2ibSApKZ
TLvLPpbKJAH5uTWaaEBlwagWY9Zzs4ee+rH0ijH38wn2y7dhrObNpqNxAuwjdc2vjFj7a5DzdgAZ
6DG02fr/QBmev3+zNhMI9WKN0rqDslOAdG5jlLOkKuaTnDv0b9FPuMyz6d2NeVed4sZU/R5xv4ON
cOs4omrEPHMzIgC1tTsAzPfRwrT4JfiqtT/kaIsf8ByUoO+T7JrJxcBXym4U3x07+uBrJpt7b6AR
os3oVx7E/RunwaMBwbsx0OpEXf/5W0n5q9yddb5RJYerRW8tdHXusCfFmMSjXqgNHK86PZIwu7Er
kbkmIKkAlBjY72oDdIibmim5jKSn9GqgdZgeBAW9GXRtbMJwEdQ9pAk3XgQK1xp9v4PnvlGGcT0F
lbA5l6J2tfsBhkKHepTc11Opmkjn4JOKpFn91a0c7e+rzQ0dtRll00XkovT8FZsNju+M1UhA8Acj
2edL5HIihT8T8B70HrqU38u8qN6JEa3Oy+vn/+YpBEfKMdzgLcZenFipcbxHXpsvjH9EMJnSetQ0
VMhQ1xXZ/aI07QnBFPHWqkwuyQvdcd9qm/jognzrhW/sLW5swPtfsJpKtWk1q982vamB5K9ldkoE
9Poa18+DR9727O6iRDOGdghjbvDB+5aIAdoNP2NHjbgu6e9au+xDnPu0d6+/2Ftb+N+r7E4O8DYF
hIem4iQSK/er6FqEdOxS+zIsZfy1RjjvXKaLjsC3PVxfX3p/aIEPsT35H7h/k8n2iGJKuMxa3FVG
RRd7D65Ttl+Ldsm/qLLKkI0Sulf7Y4803uvL7hM3IpMACum8cykwWXvX46qY2HQYODmRkVZrHiSg
bTwfmSJ5KapBjCdpZ4I2qWg/tIOLKSN2ld4R/We/jbbfQBMROBr3W1w7d+nM0+bek4XmRNLNJ/e0
TTzNk9blIDXKoneKgzDx8k1vwi8wDpn504ff96ZLD5vvFi0MjGpk+amq8jao8AmI7NWb30mYY6GT
udpBvbavFLZn3DrDvGs+8wv6d+KOuTDr2sURFAspT7jS8odhcD40JjDEFd5oH77+ZW88JgD8jfm5
ja0YlD0PUa3o+XSpcCMZyyJQx2F8ly4qpseIaWSnTumbD5o310da/DeXBRkLHJ/RCs3T58sWo4XP
HQZHUZLr1p1mjLB2s8n03o3pqJ9Q33BQJHaWo1C0jw+83w0wtQ11Ge8Qm58viwKkrU6Zxx4S9lj4
+IR53qmyTcB4r7/WG5uVhWjuI9MJRHuv/m8iADokSelGlUP7pC688dzGln5XQUD48h+WYgK36XHC
v9nns75pzcybczey1jF96DtLR1WrFcGsIzD+90ttNAZCK8h+sM3PX18PE9DJ29SLxGi1D5qKqiVQ
JuvLPDlHEPIbJ4E21Da93dANLypIZrveqsDXjEYlmd52K9YcTGHiaI6T9KkXi3f3+qPd2hkAJIG8
bgZ+YIufP9qiNXWeO50W5VkxfO2HtfgZ65g/vr7KrW0P+QtCBu0jeAm7zIHRJSARKrrIdTD9C2SF
5r3fOYN1JwCTxxfDiuvLZGTuEbjiRgC3YXbTitkG72Bwnj+eE/dToo+FEQl9wMgFgoa8N8FSX3tL
QS8YEKF+qWxVvhlhHitBbFXpUUDdZ83t7DFrI38AKTY4h89/AsqBTu4lth7NY2v2/mo6DVroTXnu
qmUaA9cuBRVCnmEnrJdMh/7+zW/iRvomVI2UyO7kz4SD1jQTI3LSHh7CIrorpitNmClp90Fmiuv3
MA1Pry96a1NtkXV76E0gc/fWQc4oNKNSLTKMoTpljPr+lw1N++31VV7UebxZMMVbYxhAKOTf3a5S
68ZNcd7VoxpHwPuaEUtoDz2IbWXQQybkDsA0RTy2CaTyckBZ9NRnnvv59V9xY2vDtkCvAIgcYWBP
0det2tXXytOixTInMwnh5/Zm0BXwnIMKWa8CzXSmTwna3FPNGTnInDd2FxRkurqMrhHP2qMvMmNC
r61XzWick+Qhq1ztY9IM6NQ1YzkEcl2q3wZm2ycXTcuDKv9GqKKfsLXmiYqk0N1XJp80vSxaM8oy
o2+u2diMVtAXuvfV6BdLpGGLQrh+JFlyI8MAI+ebIxPLss6uJIuT1lNnfTCjBaJpGFtr/x6NFhdQ
uXHkUrY9wL+r6m1/bRQA+giofwP4eH5ynbVMxCyEHilGXjfnodNn+zR1icCEWQXIimM7lwnr7Wwq
dfahhWl6V8/CO9LOvHGa4FvxcXnVfOj9E1cu4tMClzG4l17p+UNmliFaZeZ6sJVufE9YWnxJLuhY
+OwrP1fOutubmRENmZf809CM6vzVavsw6V28pNKpPxgM3Dg63MHpVEKkQWBpz2Nd3ZU4qNdGNM3q
+qOcC4Z4/foum4R7ASE8v1lzrzpoxd16SM4Lmpw0iEgLu+1j6tMI6zA1orKHsEvzzwQtBKJVs0Yz
5FJ8BOS+uR7jWXYQl28e8vkeys2S6nXqjCjLzezkxLgWZ2pXB61RlRcKmPHu9XB0Ix7Q2EBebtNa
5eq5i/cFmSAfV4HbI162TeMPWuIt39JUumMIq1Vbkmvce4xqY1GmynKeESA/gmjeCMy067Hd8+iu
MKHf60gOhdOIdCjtyG1NV4hAq7RUfJqr0aHE6DIMg608nyY9HLy8zj8CwZAj2ntIcuCYHC/FUfn7
8qXQ98RIkbNDO5ga6vlHQF7SKWTT2lFNa7wMk6Yf7wssCIPEMIt3hVMM79y+8D67Rv0f0j9rA86G
WUw3BBD1bu1xhWjI5ormcp2WgFyCzl4yNoWDhlojpjezO2RTQOsNO+kevPrv1zfEy3jJZodLDQuE
qTVI4Ofrr/rQaJkSmxHc6cb017qaL1O12rmPC1Z5kPhfRsxtMRxVwVJxjduPGYdcJxOatRU5dSZD
N0/rc9GmztWY+w8UIPFnz4KuWRtpfVnHKa8PItjN5am23K3wAJqwe9eMvISVjP0m1dTLN+DJFL9F
DvD9nGryBI0dWf6RIcBpdkqBpziKdfpBuXXzbYNd294CpckeWephDuE4q0M6xm75I9ZA73t9bu6y
ZTk66LdWslgEsB4jyxdard3a5K2dumaktOm1TOz4Z5KZ6tmclvQgz986PVyzYB7St9waIc93EOkW
3UmjswCaeL14Qj6+dtAuTbNqearSMZnTE/xH7ytoTDWJ1gUjwb/fwhQZ3CeZHpMvdjEtM4q8tFrb
iop1NqKu7Jf3atqOeDo5R2K/L3PtNqkDj828BJrlHvddyMJA19CzItwG7DZoKOizMLGN+svrj/Qy
LaC4QUeHnjhZ/UVOXxVzEKZonYj7cnrW3OXd1MdIohcxttJNvB41sm7tFvpXNM5oABALd1EgEeTC
dmS92Jzk4vf9Zms5zHV9tadaHGyYl3mdh0NAZmsCkIT2iykthpJcc5yI8Z79GffGuYu81R6rX9Jd
zO6HPhvl5Hfx0Jh3f/9aCTC6C+OQU7FPPO4wzpZaxHbUqcy6fddS3EA0lhUoVZkXvtYU//sPC9JO
x29rk4fcP2pntLrbJK4doa4rhqtbYoKBjF6ZvJ26yptDKE9HvbJbbxdYDNuHspvL9La1/gV9mtrJ
NSap2FT8on1qp3q6pk5rv7XEWF7XLFH7oHSz+u+vsQC9oLUDbgDaQKP5+bLEzQKyJDvI6UwRDGAa
ubB2RfkmzwRiGdYgZTjHyvphGdUjbvuN06IRUYmpaEqAstutrTe6YmRp5kZ1rIxBupZKmFUpU9tW
jQNw8PXBNrpxWiA/EFQ9NEe3l7x7Vl1taHOzHk1d6w54nftmGpvq+4y1wYG4061Ho/u4EY55s2jj
P1/KWbjEmq2kM8eQNFSnUg2By5jBWmoT3CDniBZ0cz06j5Rnm4HVXgYxn8rYdmIakPUwtXfLrHiP
q12J/62q7B+rYjoCdd96lfSS0Z5GX5LkoT9/vsyZ4P1i/gI8sq5PPZ6U72fsBj8thlSOwPkvxoyU
d+Qocj884w2bujsaeV2hi+glXhRPrXUeqkz5WLn5GvZ1K89Y6HaBqRgFUdaR00kr6Ukx8re0LzRl
jYO7zcukyU/Zpn3E3C1p7raQnVFjGy19vK5UMkwe8vRLLS1tQnp5KO9sTRqfTbNNmnMXF/WP14PS
C3mM7T1wQv/4hBB+nd170Ds3QWui96Jy1VVosnW96Tt6/Y9ezabSX8xqujM9BEoUvN5G38JAlBGY
h13PSZqT+2Wzw9n0cI7OMTig7Xv/606tq9TAhMs/Zwun1j0cJmmFKJDEmMJG00H2NFZRGAHtsWEI
0iJBH8KuYrU8TbgmvussLvr+0GHz5s9jo/SXSZm7+mQp3vgJ9yDLCMcUDEDgGSP3KqNsrO5ka515
HxdGbIWbSYsRLIsZf0mVgS4XrBG5fiZ1qVdNlIoSzFacGzLIKVyXIchzzx7NoDL1UkO9Ih6nZETp
stLyNUDDJosfx6oC85lOBvoPaCIvtfZQK97sqX6XOJ5yNXOMsWWQ0oFJ1gBml8zeodHJLM6fhmmh
UosXxUwwFYpFm37StGESD/qcl1zI1tgzko90cfTutzWnjnuNMR8R0u8J+drke+0U9xc04NIO7uWa
eNW9wFNx9J0ch+Q7WxVmEvSTG2tPltuCTy0EEJ8gzZLFRgMDFpX4ihEYb2Qt8IkdM1WWo6+ZqDrd
yU6HaeVJt8sufTK31Rvpisl8myZIl0USfG120c2+dAOv0CsHdwhZV1fEQ9XyroYfunyi9bhUQY3a
YRzqnrTNr33RyeKKjHBch8YYW9IfEq5nZ6XrYzccKkOrAsY9SXvq7ETv382jpq+/YhpIxgPq5Nry
AHW3nDPfsxDbeFRQoMejEcGA8mm07XT9ZSldkZ3dPM/ShwGNQ+W84Ko8vHOSGuXBAkOj5gT9fuM+
aRVEgwgY2pQsd4BVVy/oynJxvw5N0iy/0U1cNHuTuy2Ge4aXVf9zjRkji9M8zKjxhjMcaTNAS93j
JGnG2pal76Z1kqLxbbTGqAdYMqh816yBYfVJH4eYGQ7pcGgevFKK+JSkXPMGH//JRMl9T0lN981q
o0AXKs0yzFcdig//bC2zBkMsJkB2mj3E6+B0D5kCYawMhC2NUjtlba2t14X5VanxEJzzxwQHRO7P
3gAjPQ0oDrL2C7yvtrrXltVUzrTHx7YMvVKZzAuuYfoMJdnI0yULNHSUhtnXZDunM4zeFQjcCYvx
At+tuo+FfV97WHuGK0Cb5g5V8N570kRm5HagjVqZPSKwlvS/kngtsmBR87zXwtSuxr4P5rUH4GN6
La7ltoJ8YOV788wrRmHOSLM50JqU+dxptFatDq18k1KsFfx4/GVUPOeHUkHRA0ioNQ/dJPPGj7Vi
8PyNHFR9LrD8GMNBiF48eNxraWhXnSg+04NBKS+p4kGc15Zhnh4Yemrrjw4jzfUUT72pvxktu7Xu
pOtwdTqVDWCRiy7jqv0eVwwF7uvKdtcPczm1S4pvWT9qfj6vRfIL+SxsuugXxZlH/Zq36orzuqLa
/QXKfA3CSXEapfHXdVVjYpM7JuKaq60z3kHkytGhUHtdPvWW7PFGapMk9qKlS6zVr5rcMX8Vjd4n
uM3n85T7meEpG3h0ctT4V2xWivxhYNvbfdaSdBH3XTGkxfskS1p1I7EkyndsLQyTPjtm537rrab3
FHfqqN6nSDisUa7Yva7fpSiXx8LvG4YFJz1BMr84V5YNNqItRWV/T41WSX5m49RZoIEYVYapPubj
pRBCbc/6OOnJPR+3Ez8F8hDdg71YClA62yxUzgIGUOn8vzGpi/UMkcvNS18brWm6JjOdKtKKO2g/
6eerSeJ3CLjI90rc8Y8MN4uLa6dL2zkXdOeSt6Jvx+lRS1tlulNFXy2f2SCOHRjz0o6B3Zm9uEy2
trTXVJ/U9CoHoZX3uAEu0/9k4zj5GnVDwqjJnkotv0MzZ46jDDP7iSAlFAZAetJl2o/JgaJ8l7tt
jZ3mgJbOj1qQQAIX4NFQ+nbjDtMaGkmXL8h3CLyaP69eY1pDELcmPAs1SU31OyROYd3XqZRyOJdL
lUxfdaNDsmF2K0YGZ9JMNV48YeNz4tNphh+dQo/A00Gsed4EeTzP4krOa9uPmbk0/VdQcapsQnuM
+/b7Itk+4zld+trhUgNWSbzVtcySd4UL3OzRsVN6mdDY4/jKnHepvSAdEru5q9QxU+5Y27E/rLOc
s09pwqm+Q4ndWa5C0TMA4ZbVyMxHvTR7AxA0HriJ9m75w7IVe45G5h44ippDIa3PdPwLRNJLMdv6
iUSAuhPyrij9kCSR47oUrSXHGbtfKpLLCLxneE9P2WxOVOgNvchOWMIWPpA0bideCyjwSdLHrsMa
+xGENSuravB4m5vMecoFVfNDm1drFRaTqxiDD7Q4yU4VBGklqBXX7vERQ8MFxCZiIM01RYmfZNGC
sw34tjqyGVVm2tcElyy0nQvQopFXq00aFops0m+W3Xjy3rCXzpzDxagw/QWm7nrfxn5Ssvdo5ulj
aMOx7oxr1zkxdk39gCOpj46MwC1J5ZzWj445p59GFWjvG/T8YuUyrXWWpSHQ3swR/jra2fqj6GdR
/tN3rcovbOhse08y6dr1c5OnZpEHghvyGkiziqkVF1TY50dj7DGrWgfPkOeyRwcVJxYwqq0ZkCeX
+ENsasZ5rZR2AEqGiPClhkWoPyaZTJsI3AF01BMMDUxnPG17IyVoyV9EpXoJh6YqT6gQQKGU+tp1
Pl57ZfuUtwqfSs5lje4rLworGOFZ/5RpkX1wui6dyNwGUi/jOPXUY/iTRsUi459t1jN1VwRlQyhT
VPcCnXndNyt33exRiNotLmXvdvVlrAsKbhXFCljJid6eoWFa1XkUMX4ScStSRFdJKvXj3MWWw2qd
6l5k06MbBER5+pW542j5rptk3xE+Tz53hlSBMCbOpJ2zaiyxfU7QOF7Kdc5DQB8jSjgFTnPeBWqK
WZxH6bTjm6VAueuqKSMozTYjjd5XZT1/WAwjXp7a1lW8b3FdaJkPw9d+b9IwVt4rKL7NP9uqsj9o
jTbh/WnF8ZNcLT7nYkyoiqpqNf4qoKsVQWkK80M/NMZTp62r6Xu17rWRRDX9JDfazp2KKmHuC2cZ
8lOlDTaVb2talHY6Iu74LUmtuRBtE+sq9H4xfTgM/QdB1z8jKfCafneN2XYBWs6rPLl2jMhxY4r0
QzyxIQPNUaoPWdOKX4XrDvFF98ZGfl8rxyh/yRWDsUA6hc1uToWmYvaGa3EcpjOTyu8UmKP3DqvL
Zv486L01gNJNcJhYkbqpA7VS8uoNdZKgc90XFDMdybylPo9b5x3pLVPvZ4aR5slzpTn6Xbe46jlj
u654Zia5808MVovLmMd18JKAVREXLJQpl2cMbgswAJM5PukdI8M36DPN81dTYUzli2ac69BO3MS7
FshGNhRRa5Jc8tFODOuEi4nN9rGMxQnBlDv35iJtqmWNMPhmmkY1u2hmotgZ5Z1n4487Wer7siiX
37mKI93J4pd8LAzFG0JSmKn7tjtN8u0aS83j1mRSJqBpuEovO+GEROvDKtu2OBVymtJ7xslVespb
TBdR7UoccW1gg3vfSJ+VFeZkKeXC8GxZY39V1U45zQ30LWbTblVfCgN3+ke044zkS+F0Th3OQu2N
Sz6bahPI1LK6Mxoz2fzQy25kgiTqvvlBl2QsQ8UpSHGJQTj71uZro99teL8MNsG8eNcEY4fmi2FO
9qWNRQfUpzIkAoRVsRQpKm52Nj9xs3DmkzEULjLvosXzSRfQPLkd4vtVxJHauHnCsTZy554Ispn8
WJ3b2UFetJgN59JDUnH2KsEb1Qdm3fqCQ4lZlrMTQIxL28sKrWrwTTcpqi9NpxoTStKGWE/OuIzy
VLhNPPnSQ8T+blm5zYc6SunlKReoVwZGYSUSH0AMUL+OosRAtm4QEVc5QpRYybXxBrkMH1e6pgAn
QGN7MzDeXhuq0VdyOymzyIoXR2v/j6PzWo5T2cLwE1FFDreEGY1ysGTZN5TsLZNDQzc0/fTnm3Pj
2lXeliYAvdYfn+MS0TvTZujXrX9xR20/Tn7DtartfkpyLzx4ZqZriQss832dBPca0V+YNnSD1Jkq
l43u3K0bt/Q6/ewPDW6F8nFBEVD9XRyyznO0gehZlaoj+cQ2yOKnPZlgIUuq6kcXhYj2eEuRlXdo
vL5iFPHcfIvlfR6+11D0JMoedsatd+/iVEoutzNtxmFWxwdpmo29Jm9h1ATvHS/1d8Awa6eaMhxJ
ETQ937hInKMvuI2J4ut4M/FXP0Z2m1kKkgUDKb0GlNR13sUzvf8ysHCBjKxOIi7HaInpLBwqSFJy
Po44n5dplWmjrSrJy5jOr9zSh6aNfp62J9U56IKcWiNl6NvSlXfd5B88EHB0pS2AZJsfjrfUKR18
dnCjm67y2IRn/xOII2lOUxNLj0z2eRQZkdfLXLRmRrTlxXXkp5r0yjEd4yE8zq41cM7RjqRP6zra
YerTh/cv2dbq11i7tDtTVBf+s5ek+sPnaoZsb8mP8pJlpsfKL4+HwLpKEew+2CKGjqS1ijnxqz6l
mTz43DcV/Kv1NmxUxytxZGGyDb+7qMeQMjc8B3IU4hPrz9yO5cW0thIYVZALu17fBEg8gVBy6TeM
+1FS+U7qEY3wJyCtW6T0AYY6FQRS/AgXtpO0cXXYFrrrIwtJXNR32Y4nEIvsrqg1tCy5WjxMI/Uy
7sOSZCWwxb21aUCZbVDOWgj/qOh+Zsq0Um89FD3I/lGqbCKJ/FrgqUYna9hO6myfliRKe0vXT1zj
9EuFQmlz3lhCnsKuvurLS2JQTzjwFUkuZSPvnajFLKt9ZT7x7bL47aUwwANCL8Q7k+rxQ7ktzU57
5Hd/2c8mTL3Wciw3+nrz3W9iaZ3MEU2zpeWWYPxNjtV5jj3TkWZgJ9uz5fudypvjCFU2oo+63wmP
ecAj0bOt8oTcefqu8z93bUO7KBfVk8onreksBx7SOfKods2irrc5LXVZV2lfsRenlk6gSk0y0imw
EoP/z2pG2m6dldSTjKusX7Ktm+SrzytzCsRdVV1I+9Amr5uDHLwO1CJK6ZQafsyjq8kj1DPHQ70y
0edV2Dh/B88mMFZNjtPmLUgjr6VqKfsgynB6VlT1NdkYWvXX5Mqxw4Xb2VbKRou0PVD9Tl0bu8fJ
sJ08oK0C9oz3NmCj09gbikqJcOOZ0eEPiSMZ/twntmwZ45Bi8Q3lB8T4GKReYDyXx7PxNAF3NoLK
vUULWOqVZLFklXzB7Roz4cSmZilwvFaVfMbXEc7V1ITkkwz/o0wFR+ngHk3mdpH4nveD+8Z2Prp6
ja+rbfBnblrnt+7iPU8WXFqZXY7to9pAW3ialPEPUR1Lc1q8kBO3RuIjUnpaQ0CQyXifkqdmj28i
oARzADy44TYbPYzQwhnSdV+1l7ae8KN8dM1R8bP3oSBLacaU7xEvl6JUonbVoUum59PhnEhX7Tgl
jrWB+Nx4PEKGUDqwgqt6PtzTUnQbttHK2UQaza1bkfo3DUPujLH9GDartDmdbZe6skMkbkY2cPKf
703UytY8+D4bAnGbNCwpyEujZZteGIAkXWveQHHyEU54Ml3Ggf0FtWKJIuDgZQnuXJF50uvHfJCH
xdQzz2LPoqbX/lNYIuHlE3HcE2Z8IC5nsIMyD5qx+cPI4GKzEcr6b5/WLih0v4RvI6fykE2qnlmw
7bj+Z7dykgX40/F7cGmyywfF2pbKGhtaZuj3Xd9QKlfDE8eLXh8n2xO30RY2b01LK1861Q4dmZzS
48nE6HpvaW7kRY4qciboBFXORUX35D8T7bLNWj33AdO9B9VIiPx204EmRlnX06VKd3USlinXFq12
A4hEfUK/1k8nH+DpOAEgsrVMYW+ns1gNB/u0lTVHptXJrAqw3BZMF0uLOWBQTWFDoSQ/7M2UpI6H
e8+mOLSfx241cSEIqWTpn+XQFa6y25ewsXz74nLH7Bk+1lH97S0bKfTUL766dwSY/qVUuAxuysa0
/SVhGJjzkrHobfZMC+5CqBKqitEVwMCsyTITxxqxpM+u/3AQ4OukeiSSAXE1RXPnSq/hkR+bqvlf
ZORXF4YRbWfxYBmd2h6BFhkMKeSSMx5tTeUaQHYWNwGmHFn7/G2v9m0+9d5+DA+WZUaZbwwPFTPC
0No3dovqr1nmsDtTLt+28B6IjLKr6zDJWMmpWoBRr9fzINTI/pUse/AZBW20naIVQCijK7odUvBQ
Kf9S8hjAIFgsn1lbxdGQj1Sz0R5s6O6MuQDsybniwf+fmpT5YVhqupfYuPuHy6Q3Z/Mc8qtGKev1
oW6B089jpaw3CcTrpmIZlgbKaZuiKduM5eC8msrwn+/OHHAjwSlDKpqEHXhUhLanDloeq9hZi3Rm
3NW9zIkU4jyis/ioEFkO2VbhvhYUuplTGajlY+mSDgcoV1qb9yx8A1EhMDgFJz2YoTetdVT40RA9
DVYEYBPUu7RJMO952vG4n4soaawuw/tyvFIPHn/alRW3t3FllPPsCjEw37hTXRX4iNcl5VQR3sMV
thW52xzGXCIUWK8NJo0131faaYpu4KY8OWYrw4xbWu0UebP8XpADlM/ClpUo1Bw4r5y5SUWfpD1+
rrsKRGquKSt3ja0CvwBeZfdJds977YFLm3R2RutPF41iTBHjBiVWZzWDRzS0F7LC1a6XEUwvLn6L
IT6r/EH947u3vpVKxjntmAf+TXPEdjNOrelTe/E15IOommvME8zMKWn7qi1ktyVV0dKwE2d9tPZ/
J8/MazETUML5a47tcZKB98e/bj7patgfzmwDQwUz3E+3Y8yynR9x7Zb5Pm/qVzNM4VcIAfivdJrp
q0osAvzK0lqc1KaeQBccLkxV7TqAhq0D+Sn3XTAcxTBv65R3AAK8Z9a6dA6646nf1mXIZHsEL3y3
0cHN7I8fvoimjoCS+hpHW2/Bx8C242TxbJTP+BpGKuO1DdOpYsoGOKTsmBpPMjUoYvBNrQvFE/rh
ele+E7NTLlmMtWwoSrgMc6LC230TOrqGGgT7+xLrRudNRwL3zeFq9YZwZaxzf5HmWayccEU8Tsrc
Yfyuj4I9i6+rIW8hyYbNgvuhDHWs+Ng3v81CgguWTJbC27MZjGQsFiorZJoopGNpoPuaXS3uDJ9z
PYZNZqRvrtnU6LsGZl/Ks/c2EWAFaxPl0SLivO03MnJC8hJPgAludfLtVf91ONPDojqG6rLte9JR
Zgk7AhO3EmGzlzXwR+tP9Un5I5/gSNjslE6iqd/UFAKqc+2On5OjNbPSHu5dNpDJOKeSzvpnIxoh
cuFa7Tvcut1k0Nrmu9zYjPKq75cgm7smftOTENFZkFr+O6EL43a3FqnuK1amSxPUa8h47+zvbbBL
N2uRUmi4JTkeOaqkdj/Lpm4vnRFRcopLirKzAOrIYrWT9S1gyy5T2pSSW+EjCk/dxSx7ttlrfYdp
vluyPnTLOe84aG5ZhwXZANHiyXxY50Fky4HCJBPLXF9ht2SCZ4sANsFQtwnutqsUBlphqveVXCVR
BBBPzGNMYm3eVZZ8Y56etnTzNkrw9rqj0lB5yvzzyhg/cOdO5oE3buqHILDq/bY5NnZ9dwiqr5jY
JCtdNlDozOeSeognxKiZStzp13zEQOhxo8s4bUWvPs1yWGVKx4QoMwU4cZyqJdo/bI2h04aW+1XW
ofXuV3b5RRnRSgD11AFWH4YlcQd/pYp52Cf7dvGqac9cpw7uPGbSLYNmHN/NUpX/NE/gI2WL7p58
TKNeCvA/qVS3iB6zynasX622urHoElbADN20aQsr8UYIPm/S10rfMe6zQVlXRV7ngj91c0Ik0RZy
Ieb7hmWw8KVpGPWOOQjTUM2E6UxJFVG9ZyK15hSLwCYKg3uAX7vsUCNWMNJ+mEBM5vsSsAvYS314
t4ESlpNtagUimv1tfI68/Wqv1VLEKQlcAy0MyYgIqRz0Z7TNe3U6gsTacgCjrbxY1TK6jxZq0f5U
haC9HNdNdE+a9e6C4QzNp6OIHGTwdacBuODaojtpcWwnx6fLMiOtipNy3hzujUgcgrnz0M1Pb+by
O0V1TWPFZMb6OxaxMVBesuHHVlFNtT18Kf9+cPf4pmGjiU8qqIHQtNPQkOTXfX22etiF8zKP8/Yo
sY5GqTvuoIAQHxt78sIkW2AVEnHGNNs27G88o08Ivcr9pnSkEswhrvOj1VFtzoDXDLLrUO9dHhE1
o58a3L/cOf21LPx6ob9ibVrGYuv3xeGQqOq+54YXtQUUSE/fTpR5uM/nRq5uQY+NkKdpVr7IDhXP
XQqCkNg3od8HP3mmcnHGAAFcff1O9ZwXqsDigGcowYO+HHdzt0ggyt2SR2oBWTWphOYDqK9a3RL6
J+Mk2+2wEZnb1syPCcsyORJjQkbeBDT90+VupZl2ccPrF6KSNuXS409ROd3t0K7Jm6E6MMzQuAE/
bpSq4tjydft1wOEw1YzoFIq6OlznpnWWwzDVBeWXNyRkyHq6Vya3I6u+jQjL+SnrGtmyEy/sCchJ
kr5ow13OjPVoLBC22aRmd9vW0JcdM5ngxG23jKyCzuRKuf7nKCpNFo3w4gfyFBncbWdf7iEwpuoM
a+gMt3EUlN2DRW9f9QNbmbBuUJdw5DvG39Z0np3jV9IoASk2kK9wF4imlT+5IlZ6oAPZ948tkwPg
fAm9n41xuMH4eYPXFk09Rzzuo2aLT9VewnJZgfdK3WvtFloTUo1tLmxskpyriQHdxn76cFXUHY87
AMzwwW1YD11aJrt7PPSj0w5vO2f+R1m5w/FG2h8fOQlW8VBA8U5//MVbhxMvS9e48AhJf1olFr5f
nXakeCjRcavz7tZrEW9M9zfTOHAkzoYu+dRf/PC3njxJ6jMQV3szEZPu3dj7PNpv/h7zjRzH4K/F
GocLD2USXg4eg9K82M0wHDeIfyCOUuMsdXAeAa6cVIwwOvfHDPKQ+oys8mUaNH92QN+GpZyUpuDi
QqlHn32EAgWLUrLp51lLvlAtYlcCmLbB9NautTVkZqPU9W5r2WhOs2dFybPZws06yXDa5oLM82G6
q2PbLKlHLx9ZoWa0N7hmr5HZNPr7dF83PTbX64e0342JCcIfO/ny+tHhCquYZWDzgjcTrLsTFGgd
F9ESJs5izDBpaDXo9Hz8HY+Bc2vj2LlZYrf82MGd8BptGjLM61UcpUIty5aXXbX8URu8XwE51v02
KILqguKcPsm38BgxGMu6f9yC8BgulaVUBhy0ZcKuX1ioF55p3RPnzUcZxmWWhMvyp9/VQu26CD6b
a+l8Xs5789tgsrMend1n2V2R/HPHxF8dubYf0Y5nca5wA60UlFRb3FANy0rvUZQ49TklbeO5War+
w5HaD0/23Eugglr/jgBGE86qvlT/9Z7TPYb2ApjXMYGo1BfCWLd9K1edxcoLX9tlqcZUbkHybZSE
qqjE0txUIkgeUVuAW5VlFf0Vnl/5Jw7/xH+domN2TzXDms6HtuoISrS7MA1o03VvqsA1Z0hz7w64
C1jPn4ZXF+npCXgjHlOrqbe/vksW+Yo0gseN38piied2O+3jJPXJoz+M8tyBgJ86IA6kgPEfCzuo
CVDDLhbkMUsJRE7UBl/tWIMC0HbP06WqjvIPNPb8FbfHE8LyZMw7+kJAvJeETvTNxU6XrjSl1Cm+
6KhYKgk2ujbloaidlNt5RQ+0ZKG0B3l2e46otFZRY+dcOQmtvGG39MyRbBZSm41AmthnV6AkQr1s
5b5e1gZHLztT0v1mPhgeUbbabGDhEtwsXJIey5jy0GLOVYfzvm/qf2Rrhde27Cn6da1bddjO4uPv
VKHszPZybr6jmi8lCEwtX/CXRilyua6GfFPjYxvoqD9t27R4n+KIx+991h1Ysy0BpiNZHz/Jua3Y
DswV/wkc27rvhmRJPg8UQN5j643bZ20WNQI0Dtq6IWGobxHmLHR/TSPqldQE1h7lg7C4+WPpwhcu
WCPOXmmi8iTsqFkehNXvIXh7HXzX8WT/hwS2WlMQdtt+PRiKsOt4zd6+Hb2NVXKIt/jbMiU3Tqnb
rhhHvdbnYI9gXhdmsPtmGrtbYycO2SYVag6f78qCx9BrIYNuml+5BNn/5kF3zsmW9rpnTdiKpdiZ
fUWOCWmS33Ku1YYWx+WssXj8OzcOviUQTQHGlnuwJdv9sWjh8OtEglyc87k6N23s1WDDu6wZ0cdg
PdXUUtGqDDOcjFmPBKTLy8ihB6FPNBP8YkJeVViy/PWRTYqfSg6fVZuVY76aqFc6netutjKndeaf
FFfz4/fGV2SJCNPG6aaqEnFD4gGOeoRaJMw2PmdBbNXRmi5o+xGD7WHX3FaLQ8Wsnufg25LbuD4e
1sZs5xsyHZGi2ElKJ2X417OUnLLVX7TMLVMhn9ljRKr5MdJNn5ZHO6vb3pjDPV0XA7Avm6so3AHc
Uw5dvyzkweGVJjpqwGZmIwpYB5QfiWwTJEe+apgbLXCUbFQhipcWdRF79CFgMuZ+rZfbcKpNeBPh
8ZO5DJbquND75ddFw5sJTpv24w3SJxhrtHht8FDrtn+Za738ZJ8p2bcte3ytSie4cNRIO0+MEiyi
Zrwi9aq3LstgqiHFWT21Rdks4+sBjfun1Ufy6M/evDPGLM0/yUQJ3gwDO2WVgtAH5zabexMdHqMX
8ran1j62b9tqui3ViOe8dBDJcNdOrbwIcEbSVuC6roOps6T20Lvf7OwDQkPPHX5M0dC1+SIcqLdu
rXon7cLKjjInlvpXXw/6wnFv7iIAerhNv676nKfTS2Vs/gvmZMdCbTlx3sf9QWjyXvPBR6WNnI1i
+T1IYT+OpJCxv9y6bb9/+GS6B9lUlhM5WPvRw4N523RLPmjvk59tqQATo2if3WrvtrtNsS41I7LJ
FBc+SbJuOHheevjO8nG4U3hacfWgJnDJwTyNDNTXUKumZTOxxBqBmHRln0qTMIu7upnfg7gdvnke
IgDpqr5+tmO7Lq4nvck5OuLyO0YSeIrjEqKVNoYetYgol4+S1AvIWObi+BwkZdDn3TDyLOAgJ1LQ
rREQcdP0PueZPjgjtL/sipIF3LCIMar9tKHRv0+M5nwBrO7XDPOQaQokHtDGFv1x/Su1k+MvfwCg
yHbfGbwLLSGyv4+maoDUctU8H3lTuzUcGvrKAupH9ueV94nEVAbBkAI2jSP8PZdxESx1M+d9KHzo
Ba9lZ9CGzOqzYIsYH2Wi7P1CyLM8h65c6A87vJdVx3ZXyLpq+7e+7PAvtbxcRoeBt0ihEPxHVWG/
upFNKTu+CLIpb+mPoWcrMJ0PvGihUrhfKzalnPOPXjJDPhzLdrBbSBaG0QXuCy2arjtMMKz+B+k0
mXSJxkll248q7yMp/9NdV5W86LjvC1B+5LmK3edPGE21m0MRB3WGktCzs94uo68g0IQvaIjrXFcC
c/3UJfUpGsLovvf35S+fqvVtz8c8F4Id1L7xxoj64AgJJeQUJVfiIWrdRaEwbKf1D5JqFnYE4+7D
FBnzY+V2mrKmtLa7g1FcF87Y2n9IId/vD7K16vNu2fHrjrnET92+V8tNqAzDbDDIzs24Udoeky6x
gpk3bIRgSVSkAFminBgUJiKZ2A/K6MMEB6iNdDePEte5nMvntfer5nIg6AizyN/2gYSqyFOZ1TWB
e2qs2eYAUI5SuTCk4MKa94l9PsIQim9x+vXREA0kaLUq14krFDV+kJZ2tMMWLElCKGOpdXmzuwuK
J4J1WCDmmIGka+PWu7ADYV1T3O1BxrOS5tO1Af07mb71Hkn5RCDiuHPj5PZqwFbBYlWUVoG2Z0bx
Udc/66aJrd+G/ak6T2BifcYVOm1OCvky7hcOyGDL0agC52mkR1G+I1mWmU8OVXRSEZBntu9BuN/s
zoIKPOxcw5GNSq7imp45TqZwsL8SRK3fbSDdnpdQrsHZYQeJrv+Ss7k9uB3foFIpAlysMuZfioon
NUIb+5Xaxh2BMpanNvUtqBUdrcNnW6IteyDktqpP3j7qn10nlybbmzb0Tj6rGSzNOAp1VmrRPAKS
qHMuq8V5fe4a8nHvfaAv68T6FcnUhc2KzsxYgJgtGJ59g2fFsnKxb8udJxUVDGPJcyCOOz5eyxL/
bX0YqnPcyNJnAmk6wwPH8pf7UPPlZYNothc5oOYEFgoWL02Wq6zegtUdT0Fp2urJ9PD+eag8X51C
zojonxvN0QcW2FKfNBRmdNsm8frH474G/hhcALk5pNAqtcFrycQbKtQqZhmHjOFpeXBmu71rndU/
dda2PyRz7RAmwJHwONE78I5Ecg0L02NhQBQYr96DQvqwszZ73stMFXCVLYKk0dtS7P6PYBHJ0+CL
o8uh+oe9cLZgfMP05w13FfIPqiG72oYei0vrRiUCVCXUk2sXEYwjK43ffhyqkuZ9aKewuzG840cs
oB2hbSGCmDN12fM9/h+kLmLDEXHVibSCYxs3God6WIU5Ks+9Sv1d+sy6JmAvjrwVe7lF3R5x0aRT
QiQlpQREI7M0E21Z/VOmS45zhMfoyFu6lv+iikULXANtS5gN35x2vNc0rdblLeG1ci42Tzfvxxpy
rV3JzNfjqFjb4VSv8vGqlnYmt6b5pS1Q3zTkHEboWv7uhzW6h6fWL0hRjv/wQEX4CkC5AWgQuZJW
UnfDdL81PrqXcd/8QjVB+6FmBxRm5yTMbUS3RzpD7Lyik1F/9YZyksWgjZ69sN7KdKyJI7tC+vOd
qnR8u9ZT8mOCMX6kx6X/XhPFMrXWvrxtRRc8N+62PU2Loz7t2UsYOpJtfxK8OHD+Oeh/toKh3shA
6VTOi/89GO5UZFvkunVVMNwNwtjMXdjucj+x9YMYbJhEzpIhiEZNVvoQmr+OAneft6s4XwbDp4zZ
fo62Z67pYbzcKrQzEfu6uOLGRaNCcer0OJ+NE43fs+69iyyD8LIqe3xfndW5q/zVgkX1WYmCca7z
ZILpC1b3AQGlKlij9xekp//VI6oaMsqTdGxJIrJ6h8mCJCaELENpbvo6+cJvR6RHe6WfZnG2o1k+
oYML36839LlzYfQszcvejd/cjF4lz/EY31cz+LfrH35K8C78ciD6Xwh5k0eo31OS9C9jH7uwm5y1
2ZT4p3Y71ruKbIfRVnQDx9+D2lEijMfdhEQx5W81KFao79d5nX6UCyGZWTMjxNnfm9livSLZU2Uy
nrcpRykXvsfXLqkiiFYvG9k1H4I6jNCIz3L5LwyNG546p48ezNqLy76GawXyuwiU8PGEdqTZHvGp
c3UDGaD2jke1nsy0Taqo2+4gvGZ2oiyMu+BTusZ6MRg+P5YYU0g9VcvTZI3Vfzt6cUYrUhu+wsG3
fyoWit/WYvk/RmtwniCzp2d77YdbUVn7mtt1550qzop7Z9qGIgGHvoPUZ0pWhzv8oxSyQmcz6TqN
/TksFMIh6Hc3eTxkcBUabbIAZu1/O517HGmfOO1tD118jtFIw5eRjf4Rjkf8JTn1b13Y0n/JgOAo
enSgSQRafgVkzZwjTggl9AMJleN75Uim+FiIO5AybOpDZeY3t5T2V4DzpGAMgLvdBHBdYtxf1uIj
FTWdW6h18d9j7pWbbt8a2AwCXRnJ3yrO7WcSYvlR1hK5f5rkarrQQYXeLzhueeb2kIfuuCJ1Txrn
BLcWfaDiGu4ZkSfuaFTpz07n9z85nCOYu9K9tS0CPtFAHOWUYU20z3qP+zt7RJmNbsgaYVecQf/x
fKt+0SG+nL5prcdo7PSraRdXp94q3NOGMei3tZXer2ZfhMZwsRwXhjVrwzril29kBQy/NPE9iIYd
v/le6tLj51dlAzQiNvc3gIB8DRF/IlY5Qq45PfX8nBZ+/BkFOJH/zNhVcnEG3wKKTFxxfYwQUnPE
FbaBbed+qyb8MfM4NMU+Ce8BMeV8J5FH3rnoN1IZjeZJkxNWZ8jzHCsP9hEhZFzzqOvZIwuQwuk5
mbsDQh8A8b2s1ualg/NGWmpbGrS5mqrf6ihHhb8KBZE01vRfrdYqX0O83mkog4SlIaDqNHXa+qBP
mhjxh4Qx8tHguJCgvJv5Fg64CdwKMkTPj807zSWTyh3hLluThz1RA7doQ9ftyzYaMjxVxq3FDeOI
47940m7cW/YwMCKTWJb6ngax2yngmv3h1WINEYyj5/tVbsjgbzpR7cPfpZ7H9ikCcF/uhtZxXVa9
uFwKNhYTgHNZ3Q80kEGPKqUbnaFAYLK3uVj72bBGjaFD5pCZl6rOtBm7YOJt7Z17i9GjOy5sGRIF
37VDE7ePnuKdM8GfENOzZ1o0CC/i6OW7FdYI7TKo+8acmkiU0bOMy9h9qAZk0UUQVPEFN4z5jwTr
ZsjqY1D1Tc0WMD2PA+PCCUGQ1vapXpwhNo+TFYpoPq1sGG11XiNQuiaNxTZv2O4SvGpvQqDI3Tjx
pIl/jXAOIcsR/DuuBm8+DpwKAVrl9ewtCDkanHKGxs/pgG4oEMfGKBekKQXOYAv1hH3fTwgX6YaD
hWGjnezWXWd03fBJItOo63SVe3tYO48j5FJ84w6rLPkk4W/EXx5sLvjpboSzyYtbUqrxc1jNZp1R
nzVSpfGGftdjaC8VxVZ2vMbHSlkYe7J9iuJmr34oOuC911gRLfmIEmZR4BirZ3eUeGIbeA+dXo2X
DXddBA/CrH3roxJIWGP1vmd+5ZaEk/doMYsGoV93X/uRLHPed7PaEGdurD/5Lmqk9+GuvxSmWvvH
sfB0/L1G9qDZCY4WuC+t1mqwfxFf5ZIuY5hWu5dQSWd5nCFx3Qt26ck9k5KxoI73F/gYroFuxgyl
+6F5DGdoPHSQq+0VPmxNdO6ncpT/wnDsVsgZVMdvOBnK8efkKQfqeXddUBFPC2bUrZmd5lEPOF3B
ymmBcbMG81F5NjrUEGssZhwXnm1Jht0BwWlexUQa3dmINUqDxyP2mpPleo33Wcsmsh4gOQ++3mW1
1uOxhNWKf+BmwVRgj/VEnq2Zkva5Ry5MyTnJPuVNa+yoTIl+P8xlODDlPa1Js5YQ/JHHTmEsfmmd
8mnF1Y0Vq0MjerJXKd1882aUyMCNU9A+UbjBU9jENjKKMZwDgB9Kxpblyao38I+0skRXJQTeyzYI
zrzDJLpx7KhDnoz9WPUX/OoKxjhaoM/TcJ+qivQm1ubg0+5j5Xz5LX3ERbdLjCoF9uG5hObEAXXN
ByqXRJ2nismnmHmJrpP3kqL1s3dQg+ldeKDHjNaqWQCIRnf2vN+zbXGNRGtnuVZ2lckz8VoYtsRG
QFbJ0Iq5JtD35QZcm2Jntaa85PuMFIq/KwKSedY4o8EAhi+dj9aePPEcoBJq/8fReSzHjQRB9IsQ
AW+u42foPakLQqQkeNNAGzS+ft/sbSN2pSVngO6qrMxXD7mXMgsXKBPTP5VEUX+h2EwmIkolfm08
QWFdXDyZefrIgEI6vzGa5NO/SQzRfO59VNo9zt4y56EtrDiqRJnuFpyCkyGxs0P9JMXS6xunz/N8
5yWYQLeZCYPwF1HTsN4DuTfmscbD5BxmZMDqjv9aRBubpOhiRI6ZWpc9nTgSYCHWvVP4Y8xT6oPW
2blNafydV7c8/IcUmbv4oFCUomfm7SyBe4kyUSlz4E7xmRpMVVI5N2yk1SnHANsaGGY3YNS5M+Ie
UzuVzmJaGrpeTTdhqLORQess63AnktCxEolEWu/FWZg5MFmiE3+JV8IhGG69QN/xwMryxH0Qmzez
dCxVI83Av7+OhPESLBNhrxuDNUhfrci23vKy9/0/MoCyPhSDF0Qcc0RZB/BzUR0frYDxvivycUyi
Ux4Bq30ZxPD/TGEpxwvz1jBYN0HhIvvvU6Rg8SCTuq5/jV5d8K56ee+SfE5cf1pCcIzL6rhH0Cva
MhslW9RNx5aPxI7vsUSk/3IJrPgWZZb3/nFIo7mN3/w8IMS8KVmdEO+8SqUVbVQh2vTSj0X/T3OU
ZFun1XV2iAqpJe7rcXXXY74EjbmFQU7+daWN0o+JHbi8K+AzT4nRHl1Q0HTL1rSwe3gz5sCfvwfQ
6h4RxYjJQnyoBtZ8PKhsmJpuiwzq1LdJ1DjhV7IOrOtkD5HqD/0YsW5hM/Ihli6ZdHJ3ZxGHWX7b
JbGHENGy9S68OOmk233AgclJi5cxu7Go/sMZu4JiaC38frgT/tg0l4QrlgmOYcIxbLAOmIyHaTXe
Ie6RY09tsLAMkVBMMBUfgdOwLB5hMnP8k/bsGHhvk+bA/SmTYCg/+gZcV4AHtV5iuWHWuM44mFgv
1W/03MQ4gmqJL2jx0DH2kUZU8OkdzSwvc5ChTu0NC5fG2156pGwAITXJvJ0BoVZPfcpwut+06TJg
NGYM2G6sM1XZ7wky4FygyDtlVUIIBIp9CKc6NP4eIn8c6Ic0Uv16JlY99t+EIphy8FsEztM4InXe
eikG6nI3OgVNWmcWlT+T1pZsFDBIFfmGgDCm5sFnifVNS5i7YU60FlFBQjR3luNE2fonWmMhL6HM
IU44OlaMSRKRjS+rW2bTZ+lgJQg515psvDAFkg46JFOxYSLyEeY0Nw2fU7krU8OIk1pHxNulSJvm
SIc+xnieoq79aaGFlY8xZIvuH05JUf4LzHXt5maW8MdxtWNgs5RolStIa4mI4CbBwWDn+EUXocFW
ungn19DWZ4U1dXiI8SCUT61H2Oqw1mHSn42tJTXQCuapPQcVtdSySYgSkutM18hlbIy97rfuJZcS
PD1JzaPNPHb60I7SqQmMy8zqYxm5XjHsas2A4ER2k0F8fl2sduOqJu73opu8v7Zv2+YJa340a3yp
vHuXDg/XpfZRR6nPyQB/DipL8x+c6co4m1bhot4JnGBJuovzMRm/3aXJV3uyRZGo96gHWtFvSh96
06YATQLIhUEO6n2qiyaC1xulNFmLv8TJTnSF1ocxq1Lx1U0o7EQiXW/5wGahewIW3D/ea4CthpvJ
Cath2vUhlrP70bcpoy7rucXRhQCGAyYcjYOA5DX5gdufg1WjmDOiSoXDXFFLRp6H1q+vZjHmogFD
dBe8t+cvU33MKZjUaUio8WtKwLpxvlb0DdyshGuyj1ANUBq2aJK5XDYqCev2D3V9gVkXxiytSsQQ
Nr+1gUwEKA4U1mfmPirY1vi1qbgYnPaPBaYr+17g+wJM4XBd74bUicMf7hfB2UiwDJ5qXqFi6xIK
QLUJRJSLQ5VVvrgna+lU+1TaMfyTJ26i523odqE51CC6amoSPMsLP2ART79RrNjrG4K3qreeEyID
bYjbEcC1Uevj7S4qB4iAShljOK6W0OPmXo9so877ObqWy8X45iR6wWgfqaruYEXKpPwnc44zXKLF
0ppXMtepPRY+JAIM6nIpoIpTIHrX4BhpRgyCtCS+Nwb9t1373Li7sdXUEmrSvCAx90DyCtje1LcY
bIhy1/rqCZgSVXWnalAuvhOWaYBokHMT2NdQspruOp+IxxuyxOAdnKS29UIRSXjrFwCRaTqKiPDZ
SWZLO0ie5NFZXuBKMLY7jHZGjbGRJll07Kl6yh2LT33PHhyDq/jYpAVdLl+1iY5dpGIclJiX/IAw
2bzkmOIHW5CuM7nfRrd87qu9V0sZjIdQap19E0TlxNq5qZQsPykq376OLKj9wgEWfo2ht3CLjRiK
qttaRSiAe6yl4BgiX3nljef3DqkvnvN6wjMiEZ52rBVq11tZTv78Qfk5iw/fkMFmrS9XlbltXYfU
J4VYMu2sIjHennne+zndWaoqorQ64QJ1aKG0TF/dhnxFehROowoco3m9sjuq7QGDp2O2zAfRzFa+
+EEnjcFQaso+ZOIw4tg8k/FS/nyaCfvVEjbRqoYHL+HN7tH255VHeJwgL7zgu3fKx5We2f5qcKU4
vyO2yy3fTcFOxfPAwVqtuEtdL/vNxzrYo51iPFAkJpe62LndKBcsdiKlj3Z1aNcfIGXEmyjWdOjz
piYZvnAmYGXlBJtISrp+nkOhHbEBfBE6GSNHnNnc3ly4sbhd4RTP0x6NMRl6TA2zjoNdGC2Mq08h
pXj9xvKEATc5Fodo+ZOtxWR/0AFc+cO0LvafFbHV5F+pGuP/dRcx62bDJDRs/bsW97SZ97nb6/4o
3Grm/Z5NppOUS6owMtp5ywBGYptg9CTR0rqyao8tIj8sBp8g+2lwNDulkrG1/sdQaE/fwDEV8rnp
xzS6n4ST988Tc9X6UwzYuQ6lWbPx3mUEF28CJ6xZskNrX/2OUPzzc4RlmnuEW9TbafZcV1u3DNme
6DH3Cd9WRP/42bXUrCBPgv76NzDYvl20TYPpapu0rNOauEKYcg6BDrubvHDX9iOK2ih7JsdGaJ8+
ufH7nTdyIp+yvI69k0DWCvfJwAl0I3kuxBHCU4C7Z3QhBaclCyh2diFofgHf4ZorWWClB4kqpRcO
JSvC4BEvzhqeYi/OED1h3Cglj1OaYZZh1m1W0juRTaqL5gGL4x3BgaQ7M4sS/gpsOkTOUcVaOfuO
iU0kuXNxkIkd6zlKLF9DlDrTN5CYrlVbUzAapqoXDqXoaLx+cXYrw6v/W7WFDDIe35rw5YZFj6xR
2uDQDJy/JqAcGVn/GOfLEeukqe4jQdyGTdRrUB6Kdi6ikwyvYWXYE/QWl3lZCXYRTh/U1ZIak76+
41tzLV2x1434AEwh/DPx6z489KvTSYqPbiX5P5BaS++owXrvUZOUs9OeDL5LRoCTVd3JWsT9oRSL
ikbsI5kb/6ZUL4GHEf2lJZu7uN8y12a3JT2oUs4XDUS08ETjWFq2YYidfd5htyxAdFeEN3R9my1l
1RMVDXpp/015VTV3ouHAOpcLc42bHv8vwUDuLA2epPG83dzHaYmAWBd9fVGMR2vARCuHGXvSBMI2
jBhRHlb+YPaky9hOxxmu1fw64Rq5nm9DkMTvnaV9/wstIR3fVNy3BLhyf0mI3PXMTd8J0bjgS2L8
s+96yILpIKo+G77wCVi6Z4p7t/oxo6vHJ8yODoUcsUReYywXvn5yLLhihmdeue6wWLbdU9qpq2/F
Ex7l/5QqUpI6bo2TbLJB5CK+LYcWQ/1U4OU4rLLW6mhhu1T7ENJFBJhhwnRx2xQJwl0WLkv3MoTh
mD2MzcrI0UjF72pSqjdvx8o1ZT5Nycc7UvtEnL3HrkZnurQI4s0+4rPPsm2zFFl4LJJ0+pqvBABy
nZnFP6IDz/xOlQTZeEHmY8oUoTe5R+pp9vzdJiPpv195GlYI8nj9Rmp+n2FD/b6CJDBUbBhmGwr7
GBcnZrWc8CAGidH5agGYylfmUbJ/Y1DMUHQzqLk0d9gPzHr9H6ObDiYjbeL3Ehm78rLeTg9eORVN
srfZ4KE85zJgHwgWVnIsuncDguzCl/aee3NgEuVIMh1YLIdm1sSMszKkJ6ibaO7wDAd4B2qEreo+
z0LhbAmByun3Yud1POHVHqptUcVQD1LKHexFVWGgfrJcRkVRulkQ5JmuiCxdpruwDNrsbRmHDCdv
OKZuuOH4KgX9hw+gZ4M2tkTkX1LBj5ySLN1V5N7St7UnXk+8sso51vaVV7MqaYoGSYZ8EIlDqCwq
vH7dDW7epuF94flUHucmFCx1jsXg2/ER440qo2caq4D10ixOTcLXOnMDc16mFsq04fOdyQPbLEFo
qqvgAAnP9Z/arq/kU2SRvd8kwATv002ZfB5y6CTtDflhoK3a1UOab+IyymN4CsmY3hslm+7SVPNA
LLSownSujqUNDasOpwC8fo0t15a4a4frUlEG4n7d0dpHPcbFX0OmRj6M0vMuJs2c6oEU3EgrOA2U
MrueIEh/dPTIVHiDI5Fg3y4uSqb/jOtK4AQd1ouSYEczJbStRAnyad0z9kU+TfHt04c5VRxOe0BO
OntA1O2qE6cNYygEP8dPv4aRqvfTTsJHNuTTw+tP+BBJjOSvF74px1Iub5aYafoG5iK6MnOgxOVH
pvWqz5rAabiruadEva2KHkEzYcuS/9zm2JPkNunrYv2S8C+gv7EEasCkgNE759EKwl7pfSbwleIG
LBG69xCCsMp1rk7nx5VRFKI/qaYM35mjgFsmtsBgDo6irU5+JWVX3l1ZN9O+nVaLfWmmDesfGkQB
tzqra11WUUgQBOx3SssBYxKGzVilxSU2mt7vfjQZEQVc9pFU/+iESUhuGfVc7VZ9XLfLy2Q8OGAH
lqZ7/Q1dv3X/rrPIRLBR2VT6zsEPl0axFUgNfKLryuBhR0Y3t0/tWLrdM1SXNDbnZA3Csb2QNJH1
PaGc+jDQfDd/EdBRmJhV4byTRE8hiPieevVMrGhfR2l+FkJh3JfFap7RJdLk6A5D9acsMKFu1iVS
QYLs6s5Ot1k5voKDo7L1I+Sl+JNrOE2sCYIptqGlDG6acJnMP8p777EI+4oppiozbxcpIkqEnoT/
sMxoVIfWycvm7CA5HbrWlgHpzGV+0t7Vy4FZWSe/PDTVAbyIgSODXQg3pSGkXL9MYAX7+5JbuPnW
ZDldj648KzWikz8H5o1zNkmDjRsPsX2ftKXC2NAqee1hQJq7elF9td7PI5lEUorrpLfe5M00PqG+
dgRMKViwTAYIC20pcCz5C7lyvNZY5Q8zVzw8jKSYkycuHve7bUtc3wR9gouJknI44nCmMdfwwHye
0YGOdqsan9R7Se4rR+ypmKcHnV39HYO6/q/2e0D3Cd6oV9w6Ae4GWKf+59yl7NJoB8xmp0iNornU
aR94IM6zzt/381yr2wr7oniK2HkWfOC6leFH0YXKf8hTxIwbhw2k002F0wA0TBt3/vSBhBlGZ6BY
7WWcxYLeHvdZhuEGlusxy0toufyyTnOu2zyXOFGLIQ6+sef1k7udamhwZ4w4SX0og5W8Vuy5mXM/
V61G7e4sHc+GOW+6vpdN1Jk73EOAIMz/SHhI0uVjiD9UbNJWZusl65xYfjnclqmkXETURFXpS/4f
LLnxFD43IFsa3wnzOWYKWhQ8gbwrT42L1orMOMiq6hFhsy5Z9nxxS9YRi8AqwUxvaLus2Ubh2uD5
gsGGQoo3N+/1R4BgGmI5S9HvvWZ2whvKqNi9KTDgqRuHCFSIObQZGvURRpFwLm6GMx/5PVp8rG/Z
rKeTj4gf/XYyAQOOLQmROcumIWk6ZkPzgNN06am4gqTZe9FEwUBdYzhVUjxcgF0gxzT43OOMc6ry
+JvpanAl190Sjvu07Zf40KJShy8+5EOCgzWh1nGHOUT+pmlezC6lCydEWhv7sjh1LQ/KNwGEpQJ/
5L0vzDpcgxnxI9vCtd63XVEYzA11WT+a3GTBzuVGL+9ta68BBFP/qsjo3Bf4EUnheXie93Eb2WdR
Y6y+DRwoXDcLRyRDrWbyLy35JUpkig6k8jUhJvWESEeCE0yTGxyFT1oatzmK+eMUNPm55cgjjqSw
xj9w91TzJuUgS09Xz0u4ATExejwJKWGxUMUxoSZAJvIBx2wT/BiYEgVp0ZCNfw52VjsR5NJixmkM
H60U0IjDFkfJBBdQ9hGa2EjVyxaSuZ6s2bNbly0EhUu7z8loQsiz23pypYZe4TgZ9fXg/eM8bXEk
CYJzXX8pKhys4ZHwWMnkFTVs3c+LLUJkTb/7Thfrj/N2ScXwBbiT8HCVqC69LjOUTsZDioJBQoxw
64ibcSz1hS2LLV967s8ZOPioT2Jw7UPpDKcVNot9AtxBgoreerZvtsRXDI6mr0P7MAxN8E8EwfCX
HKgbHbMoLe7BbDbrvq4UVZXb06PQKtMS4gmf2X9MEqySnxHeVX0oKLbOSVGBiZa50wKdWKuAnw2S
wlWz7mLZHHKMK8944WsCWySHb+EGDiTGMWp7B36P4Jl4V//b8/ymOtV8Od2hnaYITQEsI3tkKVKc
C3/5cqidZK1exmj5P8ZFOXbJXTa+7sAcMPKlaeXFRVeKGVaY8idoY/2acML9OH6Y2ttKyGS6l4Mr
3viN5vCr6JpZfUclEhCitmz6k1fpaTiX7cRkVAxjke+ZH8NEKbKZMIJnCcAzFRma/QhhAt95WXXq
ycfHbk8O0jT4Eq9tilserf6bZcVtfFinKn9WSIHBbgyprvegOnEsCnyhCrkgKtMdXHT81AXrLrCw
TLPr9r9tI6Niy8NNVVTRGoq9z86F5rvpW0hSCFv53BKK7iO/9ncuU2Wc6RlmSlJmotXxCf5wAXQj
rSkLiRCMvEh2zzqxYdwyiRHdbtFo5L+cKhyXsy/AhDy6bpHbKxqKDar4t8c2AdQgPArMVeBi3dTu
zARuk5G1q/eqqRxsZ7DgovuCCeNf9Don+qPAmX5Os1fVL8yBsX8kjJvvmQ9Ch01XwzLDMueWL4Rr
nRMqZ/oH6am9ZA6YLqIYYTkSXk+Sp4JevD7EswHIQubTA7AMA7gDGsCq5207wa4DzkKAGvMsIY2H
gGQrMmAuKoADzcqEnXt19LeaKb94Iy86HXNEb0uJ1YDUgEw4uvc5rJz6PGQRruI8KNboIjJef+bw
XvpQuLoftnJhvnJBMdQtFdUIm08PHt7GkYtmR7RTjgAIrLn3sWTq7QD3y8MrlSYvhnZsPEw8MP8c
CKpX+sAA5DbHkOoesibv8mM5p+65G1sR3iJZkqmcmyvqhdaqfG2QfAD90S34W8ir6dEyYETej1qP
1LfDnsI70SfiwWUDcrtl51f/x/DgMJPVrPiOUfHYDsGA3WEzScfgduNVvRejiMhR7po+aVhUrLM5
OVEJMBjVpnHxmTE+YoGVWadnTgMcvGtVzssOftGKwZLJc5AdrRTrfZ+wc1rmJmyP8XUiHjO0SY7x
Ms5gWjMCAdXNwF6uMDj0fFHNiTFIQZNMr+XthTNHyXRJR2QX790bnUiKPYHCEi8A8ZLul1GxV982
M5HdI1VbJ9mwGud/LBO2m1x56XiUpgZxF5A2+CwxgzMopWd+j2F50PpRPrEII+aecE6LP0n5W7fk
Z45Ummu/K+qIoxBZnhh40cQ+rxi1c3hTAC909ytCl/0N/oSh/jcDyJ74tJt3ZQtlcMxd9p4SxU0L
TBIivXH5k0n3yuRt5KZJBEcG1hBO8OrJU7ZjnOmVlVdgIBrKfLEW83JRdO/tnK2nYfZU8dm6aw5L
0QeKpA/VZPuJeAX23J0yMRCK2fe8YOMHOrsHq6uYJglsIge8t8yMHMcBJZR6vG9YrydWJpEybQhI
c32teOoXqT6rxWsXyEDD0uwCKGHZnrk/qN7J+CBzeEIuLhHM6aRZUHmf2ipZdklnNVtjSq0q75l9
I7r5swghmCDk6Qi4B8CMF3zgnGLPwd6nNRrO/pSAl5L9kH0JJi/ZHkkOFbxqR1+dxk4SDU/zQl1I
n0XpT2pBPXxyxtvyFtDEtAMRZlOmKWo5V3yUCCNd2jcf+DOqP34Ts1maWzSyzB+EeaCHX/rXFtDc
v1mR+SOLPLYgB3yWFm6quZ+bbicqg5GYWJAtbkP8n8g5tQHz4Xf4c84+5HhYJ1Vn26NpsiU62GFq
7UvlsxWUQWqWjhcBzLTEIOTn4phOXUS6dkTW3dQrPlq0YKCvDZIkE43TaMoFE1YKUKLAP18fMOzQ
bSZmaZ9ip7HjrpJ+Mx6W0ldAUNqGu7NIM6PulrEeLyPPOgGzZHWO3XjdmKd64T7lonbSfR1E6nYV
q4f5e+XNvmmxk5KSHoQ61wHx+13hqwbXv63wgua5xwh0wxaXEXehTObbheA5HdTqTLd9IQjO9ZqC
7XViQF8efU0js0lsVEe/OknMatMg+P/hii0e05nU/ZG8WP3kGCeEfXAdFqE7T8uEmYkZvLOB3cFs
ynhL9CuJrzEVnhU6d6KFEFYE6dKd9UT5OAEl4M9rXXzMbIwzO8IUXvsLnV0FG9yA6z0kI1lsUY8S
TKYod7C42gjfeJb4IU5eSa7o4BHCHrep1c6veHbkgrXCo4VTNRg3ovbye7GalNYV0YAjKWZRG2vi
CJR3Fb2yxyrAt2VIJOAPL8BrBbrY/IpRVquHtnYLRUwZhjg1n+wm+ThMk0/QnbBRfSzdmDpWOZoM
Atu7euYIK/tEpmUmO7Bk0KPJ2HXVcRqCUd0JKl11Eo0pvnXNIYyy6i6vhdUm2Cu7gnCqmN4JwqKU
wxsQ2q7Ytqx9OUEL16j1Za1es6KK4kMXGKMOpjbip8wotK9NsXzuaycat4FySNjRPwTQdPDOGvLD
a/jR4uxv901jg2azlDUPcdhy8W/o5M1nVoxJv2v7Pqh3gB40s67RT4/9OlSkAMfqtits+ybBTOCM
7PvmF+7Cor0ZAeC+ez7snBuQRcETc/72HazOyjTPL+ZLmmpFqhwjDr631RoSlPmyBu09/rT0LxPV
IjmHoN7MBX/dIO6zOOrPah4xkgKJyN4IW0NS1y1RapxX9Wjvw64gVl81jOBKretgz1BB7bEUWkJh
QrVIOmx6Gq+orhxHL/Ci7G+sdWfNIaSf14d6jJg85D4Q7sPIVoJ8C3giuzQ5RpYd4cTGnBodxGeo
iPLYt1qSODBlhl3bUJzcE6js3H01WIck98jCChJwONF9PLbHiuA4MhdeOzq/1TacPU3ixgdgZOub
l9e+c1cODKuu3POJICJ0AF7gHEa2kdUX81eXR9aOOkvu27jOnWdGU0yP0iWa5MWNRTCfF1G006HC
/e1saifLfi0iBz/RUvFB3F18MljxvBTuiUgk3W/WMxB5FU0aMXR3liT6JGBep9weM4YJtwHVvJtV
4uUDvnGLjykObMLccE36vtuNOThtSOOFVF+en9FubPK5lG+axV9ov56cdko6SfXcXh3CG9lnjnho
JhZFHWXLRsLzSjtuj7J2E9BgWmDcWUVDPzvPaBfbFaMdjSPLc6dbpdO+/5mhHDwYSdd9m09wYoee
xgHltgxhg2/kXMf9LQo/MDHYdlrgmnA5/I0l9rgb1rV+asKk/cn5HV/mmmaHXD8fJKKl1q8wQeWE
4NiuzH8TC2kf0DnjgTHCBB6MfYIUXoxNv6uSNR1PscWzxbHWZN5lSrLkssw2eI/SqrtnRzEwHQ9L
23vp+lC4wsQHT4qIubxYyieYL4TK5ztck8zMiwUHJ0F05Q07r3T65PdqWIlxYcVgWh6rmZ6cLhNt
eDfCrCM57EBCBIXCcVNL8hhbPwTouklA4Lwxu+ULrm2fcy6UepGHtHdx82MEjF08ll31oSHslntO
wOjOkLNvtsK0DLBNxQziiBeVwhOIYUhVuykjZOzj0qM87zPqfnsHJpb8W8gHqi4ycbziOWYS5Z+X
hBHLiQRB/dWyKCd695DXzgotPmfTByvt73i0gvXGGZX+rgQTx01XUuNt16Crygvw6anD72Ca7zFy
msdudhtMeLEPMY7vjn6nSewS3PqRS0iIrgV1hFyYsV9wk+W/2recjIkoVPxb1YhlW/yMWuzrGtbh
1umavtmxbFOaHTD3LtorpJjXjuxSdKrM2MyMjauifUKuNsmHSFAd31u39NMnI3ltdg2doryM9eR8
zY7fxseE6iK4eCs68paxUVpu2XiQk5mowvVZG3rJLcxEIrO9wXK2EalYNLqdnbFLj6Dbkw3m59Z+
4Dzy/Fu8t/5yhl/i/h2aKgsvfpT67if5VfU8yDY3l7nqdEIEwvNm+K74ch9pS9r8dSSPkG81PvVl
P4GDfV5wAg5MG9R8zmrk9pcBIC+7NAIVHZt+hv9NaQ9giThCjSniC4daHN2lkHarjU7xerI1jCUL
pybDdEnSrs6aw+ym+MEyJjPbEC70Hsg4KzdVFTrB42TYInibWx9vKCBAtWwZgKEodiZbnkpbsLSL
ql3qrQ2qCLzF5A3Fdii8zmy6Me9wZUdg7rCniJJkD/UABMQpD/6GA2rBnYvp6gPAXu0ec2YSCV+5
L58jw/20i8vBX1keMtbyTwQLjSlfhigDi5YPe98BecZXM1ceqso6D9Guqpkw35YCTc+POhV+JlKo
4Dul8DzPLERAAWQLTfMD3ieYt9Q4A7GCJISxvOQyu6AyeHT0azfeVpIl0TticDlY1YGGaluy2IGJ
Zj1PX33olYzqhymKSA4n4jtrepgQ0xpOFcMoidkffO/6x8kDmgcw0OGftSOdcVcYZZlvpU2O/D/Q
zYhZ+XRpdMHDhg0eVGqQdzEM6Kl1aFh7DYwO6mZCs96G7fzALhW0Gma2RbKNGmMBl87scZywnE+A
kRr2itBhDVfGID6oE06IHD1MYZbwKnB7TJ3GeN6ym7YXiDee/0axHkPeD3pAYk0DiCUoI7XxuZH+
eRZDOTDcafhhQUDBkgq6CU7hHIlu4+pcPpLyVFzc3I0lnMjUvBocJj8g3qEzZJU2lq7BBQfmBhqX
c2Sj5eRRFy84LmENbwWYpqcZ5yo2wRZkykZgFgp2ICDVV9msIEQbRCtWq4RdXN9VawIpIxkdUIBO
pIfPdWbWfnUWJbCkTPfcrlYdeWLg78A4cJ4EdpmcWq0WlyDLXGKUkeP3qKsq/BdkLoqGEwTtobKN
8421HoNXNGX1g1pGhvI55K4R4bed3jFZwINNanaNIYP687YZr3KxR8ThGg8BF7rLgsV/H/3SfZk7
PfR7ZtF4rxvV+XwTWi9/0Ei6t4jgXwSBiynNxu8CxYYdRBMYVID2OqhvcUQstVu/hka032vsl8BD
mc+wDK8LSbHlUuaIdk0cI54jq268IO2eS4NvddMavLb8ajr+sSBUT3xpMdtwoHYIcm9V5RzcMh7Z
/22vPtuuKcdH0Y1+QaCzQmvA5SbZX2IzuLtshF3brUdn9qr6WDxya7bwCKMCPlpnexbXxxiu3zsX
ojYF5LB+qC7G/8eb2ZXbRMfpQ+VpagSabEUQ0ndsu1Gejz8UsOYAXicnVHfISbqkW3Y2dx7NQY34
je9/fNezv/6GGVAnBDQxThfMCoHJR7r8d22NQdSv7vKSJE0EvQ2fFRUcnzflWoHsaXvWeoSDcsi1
WXLJLhs0HoSfLKB1wfOmm6vT8siamT4jUzsRZq8RQqptzft8BmeXigtXZTRvSjgW5GPLFGurIeLy
ZfzG4H+H+PqkG5+RUtvn6U9LeBZmSUzQ95CMcfru2Q7NvKV8fUbe5B8xsV4X1lQzL6Yj1Zjs1yGB
7TED2Vv3fpq3T1Xhlb9HdQUNxg0jtV4E8JCncebpAn6T38deR36YwoEbhQ+CW9rmGXV0UmTLsF2q
axfS9T0FUuvHQ7EfdDCj99WVwEfBbrA3jKUM2om/XKPXNpvO2sMVspN4DP46q1P8ZfPP5DPET/1z
Hnfrh+YcVNtsbpPPZXGmknlTVb0RBjafbRf5KbGvUD2ksJHc7RAYUHva5dbaVHSxL9ns5Wi3sQIV
xPSafj+ocaujQeBAJEfVRJc6mYePzCJoXXI+vB8chHBDYMfR3a9NmVwSHKzVoR2gITD/l2rfqzx5
iCPrqP0cdeWt3y0cycGS1yVsjmh80NQfP7bidTkQxsicDTuT/G4PK5LZomZCgQTN4Jf1AzEt6Dou
zJtUtJhgF0UTTFXmUN4fr0w8zHzhEs2nSs35U9MFYDB0gOVyt4AqHrbDIA0Qqqlyw3ZjAt/nYXH/
4+i8mhzV1Sj6i6giCnh1btud87xQPeGQQQiEEL/+Lt/XUzNnum2QvrD32iY84zBzflImTynl91I/
8Fmysh6JfLxj68VvgPcn14eO9Cbaq3GRl55aot8laYDK/BZp/Rpk7NGGDdsdj3IRMD/mdozTeFOY
/bTeNSicDHCCBLH1WSGMig/JCJwfGxDjEvXUKFSxGxKUeHu7dQAywYI5Ty55VCa/kbaj9w56Nfxn
ZkQHRIL0ZiLYc4Lj+Wf1IKGEm9aTKnm40QAQovFY9ejdmE4HiPgRc3T+0YDy1l8N8n+F+ZhEhQUQ
EaIl8mSy8oSsWjJGQL8wTyS9ulS5X3FkGc8fLA1kdIKOyjaTZRq4YZbYXDlDkSwnVs1YrfpZ2VNF
EEIFXbMu3kKss9UlKoLhp1RCJfuk8BqYyoMofksOph9qUSK6+qlPC5pryszd0k04VBWjyb9pKsWa
bdtiiKf+TAkXJHfMgCX+2hRFLR+/ipQOrzMXUfuPOB5LQzuNfneLgFK3LgZqW0s3IVOd/oo9tGI7
5rF5hLWMbczRl11xDVoUx9tbMQehv1kwoVn0/zg4GzVW27Vk3KCbwsPjH2Tmh3V0SFHtyW65Wnjm
KaR4n+x4Pty+NSiGQLTOw0uEwWIQuHpisj1KtBYYl3PGM3d6Veq9div+HvETVj6WC7OQTdw4yU+a
AbGiKsNesOmQW9dPJq9HEljqrP4dM21NTzqekndHJcYiNRQ4aYK21/8NNsQf1gKL5ItxIPGSAk1D
vwfLl6hjOg79G4pFFW20NimYii5uycbJ1RK/TyQYvhlQ3egIgnS0J28JwFjnhOjYY4qRWu6jvnPb
3RRPwQPrHj1xFDByJYMNuc5wMZ4qp985G1b3n4NU3eeWGBv4Ohi9jyZYxFNuGLZ+ytKwca4CV5q7
vk5aDOCQ0vpmyxyrbH40q85p3HUF/mJqCptjv914eP2cK2kyvFwIpOO/s54g/vGrOM217NYgBcQy
RmySs2qILmOC+pIQpTKrNlMYSaKkoDiN/iPZ9pSBEt7/Cn+zEIjggrquUH8YY7ds3ApYXKhC2mUv
3SZTQLr9OjCPHC1F+y9ix61OITNbgj40A/0N1KC8e8XP3tsXrxL2xaJeZUq1zAkveC+AFfKslgYI
/Fr5ryuD94JrPJ2Ld1DO6fJZjNXcX11v8v37gqhvjjv6H+AJWAWyi0bGR5xRixVuHwucSbiN6//v
nir1yBChgnAkq1rtZBIIStWI5cqGMXs2PiZaWXsaml5duN65avDamfkv0zDijCKkR+gNbIa2THe+
es9t1cX3piYxdOdqfuLPRld9+IWL1IufY1CufNqokZm4QsZCN0QSln7kEO8prbF3ogsl6sI9GK3z
I9V4GW8b47Nj5/HT/aZFxDv+IAdnBgrXCLljZg1zOyA9MCPzZpmHd4xSgC/yRGX6gW1AH+17zXj9
W6+8Iw3fGdjeA3KGpnyGL8ZyJBS6+UAvOYjNNFjzWIwGolG3zivqUPCt8SloIrlc2OcO/kc/ynXe
OZESJJOw8sbDbTLXq/5jT7AEdwq7xfQ0EngnP/pA8JgwRmHiESHG5qH/a1jpIiWKW5QYqzfGwEM1
MntiMA1KHZoSLEcb2PMhrhk2R/IyqoC2q0XkEz4TRqGS9wA4F35XVBjZd+KLwn0BZTiD+woy9wyE
RsUPGvHJeG3Y1B4Ze3QdAnx0C3e4SoD2rB4Dyd+wNyMWOWiefeeunB1RvVEwopGHw98od962FR6W
tyRWXfiG/yuAHsgIDvceGkhnOwKswCyIBdkFbQ4z4K1EBiGOlPvuCVVEk7yx9yODy0NSWe6ksP6T
odm3pwjYwdWY3HvL0jp+HB2MAvtad+U56lzGbqwrcnAqZUuxlE48+oR3zM11GW5mEqFZmz23Dmv0
84T1Bi8vThFsBrOFxoOicHLuVuSQBQ5GFxThYzDmav4J1tHYBzZIqDRJ8C6DX7XHwvabd6qK9mg8
UXvQqURc4bpBvvmLZHg0lzGTBrLbmljNLaH0FkMoRW6MIWITh9zNZ5/51nDf9Szueymz6X5InRQx
oBsWc4wZLcWaqtjcYz6AIl2krIIndFL3QZAOb+ibuh962Dj7Sfk1f3Q8Msysfb9miVKu3X9Y3NC8
Q670WR8ty1IUd0ufF88IsNd8N4E7GLcaqiu0EjYH9wx6FTs5vqWy2Q5+dTuOIoxc28Fp/V1UhUP7
klk5eodwbelTpwXZKrgUs1ryvtz4MUraKDnUacegIEoKlhDdvIDvyNoh3YXsk3jqytL0u5n72PmI
mOaKr2ly3nPMNvgoeucYxlwVYccnvCEHwk/uGxq7mYlO0HOtK7xFPiVrKp2KzJdlxWA81SWbSTWw
TEtsvFwnnxhqyjTI5WRupK2WK86FpL/vG1e920HJG75t9dynikGxc68goodPgPLr8Kh529Uxsbxx
H71PebWZPPhyQObSuT5WU5R+F0US/0tQD1MQrOn8t25FS7bDqKV/EwN2r2oSLWGbZO10KHG65YO+
FjmHLWfvGnaopEj0MgXFyIBL65QxvMR1TTpJcefJCJgQ4ggcpGtJ2MKxxH3xE6NZsK83poF9TNGb
QjYd2OfuW1vm5VYgKqyOjTuURHu2w58mbdyePtuRaCYJMg1OOcVav4/Q91+HlI3+jqG6a5gnSt9A
VMXpjcS5bh5nO0QsjyCjuB8QcKDQAaemBZzj1l+vy1rB5vWCVOpTK0Y5HKzLvB1dzuA3W1JdPedU
49umQQ8qmFxQByaxJYrRVQc3xuC0y9iAPUfUkQBEQR2PI7pVXfIcWqezn+H/w2WqYSlx2frEvN2j
rl/uqITC4t73e/lFZ9qOR98TERCEUcNjz/1i3OHQkhhyIKYdAtGZgxOTCbIhK9cuh3ZMVXnXlgwZ
IZ94KcNOXpp+MwkTL8eM1VL74FEhrJcoEnO0n7LYv8V6lHPVn/yoCJ8yPYfyOyqJiSYrxI76yCI3
/sgIDYO+1rDqxJGdAGGDI086Qek7k6Fd8v33voupqEIxCMrttMiFfA6t19yFoikdqLbBuB48hmPy
Sczr+C9F8sr2wtrEay9jn9ud9m/oa6ZL6252mNNfGNSy2XB6vA1PMzR+cm7wWjw1fiLLg0fBcQsu
6avwa0Avj/F8KZ0fL3CxtrHkCds9QjwdlNsZ2ERzYvOwvqx+PqTL0ceJFFJgY8/3+TpMwFI+WB3n
gpoJaUjbZpSauXBYwcLQw/Gp6urAceI8IV6U3rafcFmnpPnVot0nIoznbVewTUBYrQI6U93pX3ZM
6ku0oNHapozd06PQgRigJcHyEZSSMRXu1rZCcYPjBIjvaKa9BVm/4CIwHXRitiEryIGVVaYoUmSv
nVhq57NAfnhRuomXrYCPYw8JcyJD8YFkgIqSShiQ0Tp9rviB2gMqPIjIkwZJhHS4f+aAc19JBMnW
ZzXEFHisNfuOWmnBbtbIG3I5iloHCEIzfRFUh57DQ0KEGLbL3jNEcL/YI/oV3+HCAANdlB+c+jZp
H70h7H/67kYLWQcQyUOa2uBaOSOX/7T6CxylqncvrfSs/t26ZSqfXbyLBwpmSU9vI9G9ebKN8nPM
jrs5uwzKjmEZKNQUS+e7z5LNIXIPT/g/oXd7UsrEN+T89VEP9yRIcHhaYIdmL0giyahMtMdM3PNy
uVtlDtSbYEiyglgfBMWrXeYs3LUoIeLdwrdQ72/s1JAjnujOAx2U7bjpJ1W9KOvO7jHUBG5uoF8w
ZGGlBj5j9l08OoRvayc7skcW7AzHPIujYzYztGYPMgbrS1io5S/BFuLfQEl0hQJZoE3wSac+jiqe
13d05FQbkbdkf5WW+XSvPCd74sCBiIVmeQIjFoBq3QQTVf7d/yNBvlxjuSCRv6vM/0NMM9nO7oCX
ZA+YnJOzlUXn/Dgjpl7fV3XyWBdl9IHPo3e/2at2yYvpOCdRUXIVugQnrzLaepG7Tt/BMrsOC6Ob
6mFXFEOSIQTBtbwxdACI49tCqrsSDm/8hjwnBIXFPpQx/xpi94YdpQAGVh5OqbTWQMd1FIBLd/kP
4FMjfDpQq7qz8eLc7DD5N1dUfmN+z1fUfOPmrMnYGGU8k+7Qj/d6BOEJ01bO82XyCkLkNkXQ5rzQ
fOXdT85cSHyFchx9GoeuJpGLkSsydXoivhbN90uFB0Ir5OxpydlOQAlc8f2BiZnwsPwCc5AmnAFu
Nt8plSzdqYmR6h5CwJzqXFDhRSc3iLL7hk5yfQrlit5jjNclJx+k8PM7umCE2BuXHWV2Hm5Z20/I
Cdb16JaRdB91AHO8BY7GXoNMnRoj86CpUjt+W6yPdepHz11Qq/PNH7vu+9uCAFBG8CQAV/3zLbO0
3YxACqEwueE7zH/eGUewYP/WJ3k+vtWzGec/k9OO3YTmS8X2pU+Kxtkrs9wedN8XtA5UUm+5X5ME
vTE8SD8s4xz/+yZuCPbQD7PgyTOlTu9SSbN2Tzi4OK8kWURXhJVMBRNe8emTIaZujmkTOMu2GNMJ
BoxV4w5sSjPtR4YW3KbJzQG7bUQolh+bZSM8Yh7fZVq3abyadwdud/AYgfFi80yeNOP+nbQO/vdb
z3aPoF0ND8wSxXjoaSoQYBQNjTtaxnr5mWynGSwqaf5URmb2KSKJHN/2NKfk5HDe4mqLTDQ/M0nx
PKR3N2kVV07xAPMybpnAMVBjj0+G1taPrOmeCegcm2Mxs0vcGiJDzm47CeItzMQpWpeV7FH89/Hj
zY1Lu0QeY7gRi9c6Tx0RZHYTBSPJKtPgz8HBNTjBIX4R+L4zkZO/Evnhe2fEvTG/hs7n9qAgCLwt
Azz9LcD0mLiUZS7Yyi1znMeHtvScM8FJyFX8ChbPni0o1ZScEm/YVkR5YsCpUDWRx1FVXmuhBueu
2q3Ac8QhYOr2200rm7GOSMcHxkE3XSb02V2OEXvl01jg8+H5oAIxhQYHxsCi7Q4MYNiuAxW/kc58
ciO38QRaPBjkogieCaTZMdTtn/IKK/Z2yEY6BcTtihiEWyKw9QDMbZPJmd2zB739Tyxb3b9PmL79
R7a9rr8dRO6h+gRQeI/ksL4o6Irrdq3wlBGK1lbmTK5e9c8DCJQfclBnlyBWZQ7yIBiW964aHJTN
U+pcKkKUxLV0gzU9l2XUNwCywuVf6ktdfnKUzc9tWsb9mfwdbLKbmAXZc5V6y41M7BomicmMfDQg
xJLg8kXSXBi0ZwyiPMocT0+YZ1l1TvusL/ov/Idr88i32XVn7HPkstkS/NkdO0T8BDzmgf1bUfJw
Z2gxtixM8TltE58R9o6LhtW8IzNDLHdHAhEFddZEhI3USNol1vtk42lsVQmgXBd9bdmfG+DR4HuY
hp3igcQJ2IEMs3YaGVS9Xz1Q4SuiwPjEllAs780U4z8ZgTacVKjqfIuK/ZY5Se5N/zLlSHdEalrn
NVlwVXK8sex7YnwQPjs9c4GnnE+IePQiY8QT4l09xk6FPlWy8frpWyKGN9IojawgDpejY9vynn2y
Hx4rTpCzcRdToAoBvvmQhpEmKIUDuAqwvUZJ94hn1j0KQmxAVPadGg+2QMv/yroyfyM4tZOnrk6c
o2knwkfcIVHnOmHe+Lyw7qx+cMhruHaJWMu/qnIIQIUDyoPPgjQYPmfUGufYGVwyMhcM6/Pg5O3V
rBhyN4uqA7jGMZ76bYLhWZ6thobNFiyNmkOsnQXIjiWtgf9igOp4/J47h0gHphIz2zRiVKL8cQZ5
t5yh+ABgL6B7/gfsUCNjYq/3wvdf8PslcRnv6wAKAVKCqdGfTZP1WKljdoY+mcRMINm3dHuuQxUe
J24dTDmTQWarbAN4FJeFvrYdu6onV2GAYnaBdZgE1LLfm6GCM8gCZKX8BdtLiKUZs3WfGQMqN2Ik
E19D6KVPxUxk3VYWRf05tUkVHBJi5kvS1Nfo0XYeCgIsSkOEUfEG3V5Z5Tyjn2HBwUw3QAlReekv
/EewbmCITMNDz1A83iCpkb9g0BVMnrIb2bCilGMxNmOecURTkc9X0eJtIgsh4Tk1LjJC363kc09V
5p5oFPzPaNQe6+EqMacSXff6tLgIs5CfIcPGSL26FwRH5IwtSibpS4EsQO1Xv1KMhSf/PyaihvaO
J+8vJbU5oxFFfOxyFkNFmZX73033TOAkKYrBeRBSPyegjKKt4xiUPwjT0v7bkvN1o2EPRBLpuvnr
jSXi9S2VXXKA1hJmbzoZi7MH0rL5h3UpgDeH89VHxEcENABCw2SegO5gceejBj2xfIQ0s+7fzAuG
8pQgdWIoiHcZRL7Xvc1ZhHRmDcsc628+EP25Y102TxdYGAkkeZxE+xX6Pi6FLrSvIwwQKq20sOk3
0X8xcB0fECBQk654IFPB8krbAN1R4cR+CaZyKQleLJGRXrKkrP4bY4G8TAA9gyhHbpGHP+EWrYlv
naIonlX+uqh1vhrLsnjbk9iabd2ptSQk4jF79LlrxreoS7J+Mw5TVx672QmhQaRL/sBKjV/cV5os
vc7r/Us6wQDcqGzFLmAQr3JOzYX6TYWtc/7hkLn7RmkiD09xA+jjpEdnOPYhBv0jsQS3ytBh0X43
tEN9WhTi/q1t4hU/X+6pCyDZ5TfCnrYhL4JK68GWOsx2xdgnsIo10vcd8MMIJ6qAc4C+nsSGk6sS
mxM/EGZE8Xltnf3HuIgjA0yITnd0zM4Pkmi6x6J3QTdmYajbj9pmK2umCNf6K309qFQnpmXcopBA
NgYYxD+RmKftQay9kGfTFFF/pdRb+IO+E/0HWW8CVjX68TFLkwS0l2iR3uY46Yc74gMxzFk4Yxmj
dD6wj2Qqgzcw6wkbYoGlCiRN7oPaqNAIrhgw1Inphpy+8kTGsbgElMn2u1sX5dwtJG/ej6LFhcSk
MfwQiFjEthxDkrXAF6zAA43Tj6j/RCHRAxJ9CQPATRUCG6I+wqNJa4h9FTz7t1GRRnYCeV7AolOV
9m9RBiEEWHdkoMeijqbdn2taQy/VtYPPYdE3x5Cb7EM12EcoQn6IMDYdb30XTuq9XwXZfABvQCwM
4ns43P3sJmpDliwMUi5cfSW98sayQphLb2IXBz5TUK071gha7VJj1edsiHCihkGLtmeChfEgiX39
DjsXrZGlDfjWqmeZLNERc6yjSnLR8JNStcloZ1IilcfpBZoVWRT0pA6ONdeXZzUaoa4uzfANrDjF
5ui53fDAa1qsF1vP4a/KqenaSeUY12tdWfdnJIdIbrNVxu+jqTu6cmz8BJFykhZbrNOtZcFPO7AH
1yjeaY5zchOqwBkIFHHTh6V2p+R+bAwXNMQM770wQ/rApLouufOKhjl5Z8y183uyoECmzAe1QkW7
r01ZPi6eSfLt0Cui9ZxKd8WZi6d+bGlbSX704jS5Xxiz4tIOpuC/CvDG0YttjVQ/HekUEUqKMwTM
hcPCz4onLjPXbFhkC29v1hL5ZdHDmfNRwvA4DYPzhZPf/5M0A2mamJSHI+k/zT/pO/3vbiIrDRES
fJuATraqOiizufcUEVcJXCj0HVSYsPVohn3LlGI7ehMS9MwbWetmwURQa8/09jqT3eZveakBQE1y
Rcm3iXl47S5fbaS3MgTYs/OMUx96BnnBtpVlED6zRa/1fnFrwqfifFbZfl1BeyNUdVp5T9FAyB82
yzR/5YHpCDpkekkXFWTTh6h7SjG3IkUKt3eKYNSbeSn2XYIefQf4AJP4iMH3X+jPyXtNWUsYMwiz
3zAlUYv4i7H6XpreHz4DNn77WDU6YmTosDiB2T59EuEBm0kgY3x0ZYFgnWhmFDtQtT5bop/SLa4L
oBElp33EpmqezlGbLO6uJmH51o9G85MNGXafRvR1050Zy+QFmgFzg5CpRcqPrgkYLvnMiVeCpLMh
kIIuv0szIhMxgxbJKRmiGCmPj+HyjmhwdMjwx3yS/UiM/AjoIZzfyIszkFxGqfslMnn+HMwxcmrm
dl8IfRD8RBGOyj2Tp4Ile96E3fgZ9Vm63tGt6RmqaJ+CUk+y1T1hvqJe1IT/uTdgUtS8kLxhH62O
aVMKvGZ32Nvy9iAJyOwfWHUlF8i7EQ+dwK8DbaGHM72SU9NcWqhs3jFT/+exL0kClLSfL3YiEmuf
rlmojmUI0eMXAn3/0SwUhTuPCAy99RXQLqovC2djiwCkIJxkMTJu1EZOU1gfsQjOeCAjx/O5vEKv
OQ5DsD7PfhAz/a3N+NyCbmNiPEXYtz4ilxyAnxY6hbikcGXhiKVxrj35lBQhcuod/1pnHa7r2mN0
wcwzYBnKhWjAHyUNSccriAEe7HJmtu8hrnmFpmD6gwGW+0xhGfb7aV26ixwbd95FXohtvV8pSL5o
i4r8yNZgZhRe++M5DQDm7Sg2gnTfTGJ876ymPZCFawAO2TI69TEz572vfPEXf7DmcNRcHxvZdf5n
NfvJZUzL6ivpCbXYEMmiicdTYvjplUtHPfTEK5B8i2JmE7Ego8PxpuhpxkNOOF7cj8l+UmPX43fs
67sAkY0+2b5fwiPjGZKCKCFZ3C41IusjCQ3990pkp/PlupZodQcgXkM/k80nwkqXpxR/LwILZ6j7
H8dBobtNIR5Qw4oeKSGZew6jj0K1wS8Itmt9NxEgcD/CVlk2fman/wBaVGK3hgFO2VVg5j6RO2HE
nulZ355ns95cC7CXULMS+pay3sPDjtYtGv/EXh79LuSAyztxpmbFWUfaczF32CQwqDbFXdF5zjPG
doUfLUFycSWPIXMv1OcZKmjrDyY69mRm5Xdk8jY72JLINbZAj7L2lKawSC4msBBoQBEgZAsZaG/p
aNriwubWPmclD+kJJ6flbhYFAZ8q4gpF0gdC50Bljzxujc0QveKII6WzzXUR7HEe4SBAqGrMDgAf
yUtA1ehcypH5OQT0QBflPp6am1oYRJFdbi0E1hIIJWr9SmdtojvHbcbyT13XuBOdVvmErYDfR8u3
oX5EF7zh74HYO7BhrZW3q/ByBHtioYjbE31IQ9vSzq0wIHAGkhTF/3iHpwq1PmyIaU+1n/7TyEin
000UMLGDo13YRLT9zHFUk3/mQcdI81GwhsleiYfDYgmfMcWzyUuCEOZim1EG/6hC1uowc0H968m+
+ZYTmdl3aTIAsjIsaFaEDT5bE57ALj3jrFBnUgjy7CyH0XudUtHyWrKt8A4NVipzJiti+Y8QZvcP
zJquub0wTbLHdyNYgk6JXHfKhciNltAZHyC1Gefdn3FBZbZkysC8sQ5olPMSyRbTsVq/tbBl3Pss
Z5b9V9bEAxwtkkQ+UwhW4RcPIL6L7YjkOjsVfPn+byUm17uzJWo+5ltycZpTHAdujW/VD/+jiR7Q
7i98RedsEQTH7hwvnNBHhkzh/jpRRQGe8O4RjpCNyr0DfoWX2EHKm508y0N5zjC64ubwEY9yIvnQ
57PIDWVMcCtRH1uRMcrVO38BFAs1BcQJm7jAibjGdMAl5GaFI+4lOGbnwp1XrPs8Bba+h7ghxIvn
DeydcbrM5cGd+YkfUEcjzjJjpO6E44jgbo2jhplcKHBpzUC6AnoZJxoO+RA3DzynGYlmM1N6gMc1
7Jl4asW+BIwV8pGyTF7OboEIjxlxlMTvLfYGGHGNigMWxL3+ckvp/wxoZ9K3EWMiIHwWhOfUjJpw
XVHFL5zzDolm1jBqBUvQXWcZkrs5rC0yfeA16WlkSUWMvTcFFw0yeDlSYtJsSydJmC5iaWl3UbKE
0QGJQdx8BhWrj7vCUJK/pQWq842e8kLcEy2BCBqatChRF1StKF4ZyUY07zWDAnGcBqjdjHbbG5Mi
jUCzgkqP2d3s1tyhZ0UyT4jpKwKrsH1YQVSVByZp2e+uh0+KXRE52qGdiMTctp5hIUWLRGzfEsvl
y1nn5auIjXBOMpJxeM9MDRsfUsp6p+CT/O20DJEziioI383oec6mxdZt0BYKBk0rWoV6Y2cXu3yl
9WL2LUE3KTlWoexOYb+myR48JwEtYLkkpvCZLKRzruvkjbRa+cBAjYVJehPp7yCojw1hQCituXdk
8B1XpLZvKKItkNAsQsBI4he9H/B9QncSN4t+UVJwzowd9dnRt4wxNhkyBwS3DaFGxzYNyZrH8Qn7
1J8i84QiO2neY4Z5txxh7V/4tWzAeYmIZFdnKcjNIADamzbSNt8pznULckCWs/Mixg7xS6mhrmD7
RcXxAcFXwBbEyoMO3yAaEHulq7G8ZAQ7I811wqK+WGnC7nsVgQ5/+KFU9iMjf4i9n25ko3rCnp6n
hz4Yg4cpoavBA17kznauoVycuYVWcJQUhvybnuiclwp4FUObVQ7r9Gp6t6/RhGsQBGcNsEwcdMRg
7My+Qtufwq/nrxvaFPaMWWemkVnm7uA2FCGDHK/Nizts1bEDEljGaEOnfHYvjnJFsl2IIJRX0cxY
SFIGc4yVyzDvDBFonKhwLUDRFVuvVsnDbReDlqkqW1CTGsLXBrlvfKn8LCdIHMQNYngixOmUkUhB
fL31NP28xtVxSdoq3JOBwyslRqgvoBR7Mb8yfU6ADdmUEx+eiWO2S46SDQVsGnK39VOe/cn9Zk6f
peI+vtbLKvh8BH83fayEtuMbiXiqehaodm6aHe1l1BKk5WBnZsV51wHCgs0Hqg+zfWVLAeIKl/Ih
XlKfJgJqsUTsV2bZsRcFyP6Nt/A53cSD66SjHefgyiMTz1P4Tfu7PLsi6DzItCXuBMZm4uyyXnJo
7Z0QuXxc+69EcK8kdpkGksceL2PLw85huyFaS/ZHLYYhfg/Tkl6TFeV6wJeN92EAAjQhBmd/w07K
sNsvYz9+59BFI46VWPCWqVgTigh669c4x/7fAr4caiMOUMCkKUMkxBeu+1kwjlWHCB0h+eSujH4t
ZU10NQUK8fD0nqRNZpI4HmAnXKJPaIPI8wq8LngcrIjIVQPnTBXZjzGn22bI1jnBh64AQPh1Wrp7
i9jpFn0iIve4Qmx9Y/3MdqVDaV0fBYMOxGH5/3ORofjhFdHKd8/h4qcVPHpBRLNqqW9YG07ElE5q
CX+hTQFfwh4N06FNmNaDXh2i5pK2KjoEjC4IdxkasewoKH3OWxLp0JuLamEVpzXyL04lCakdzwQj
aS7tbAtmI/9XTu5A7GI/D99k/AZ/dUkWX95k5W86IzgXKBP/5laR8OBhGr/D04TPnhTyyvnN6YzA
Pxt5CPeUjuR/No4XIzRrwBFe+z4EUBcGeuhO5YJWFmkc5PKHgib8V8sEq9rFKq7eXBk+LnpJm0dV
Lf41jnW9bK2KApJibAzXMbWOG5wGsYSwP1gSMimHA1FyRKDgfKV7n8SBjetaQljXFD9NYyvq03ak
6gL7t5oOP2ZLVwm2CFkgTPuufo6lP5f32l/rP97ah96+bTE8aH4zh2ZoS1e//q4tysJjuwZy2aJZ
JX8713SKZ4+B4LjtYq+SG6cWPUKIrnU/1Vybz8Eb4uHQJsZL96rynODS52n2xTMxD0fAplH+OTcB
7XnsjIzN49iK+9bSaewSVIBkRS8yJ+xpyHzLvZv5b2liiKiT6bTOHwo/G/G5aeRee3JO2h3kEvJB
GYcFy673wuKjsy5+rKCGm4EBia1julvSm1PMXcaxvcdx0lPndh1aHutZ9+LaiMRqiRUVWkaSaxcN
XNVSEb65WAHdlxljVnkhJk12vximT4CiVYGByvIkLlnzQj+cf8HjY+SGQYtJl46zPNxGuetgTsxb
NMDtbiR4AOldLwDLbVXRO9N17WItt5ZuqHydo0FxiC1xlO5ShGc4C2eGf3DOcKosiI/VkDUhh7p2
MdKNjuZnvClPsKowdoUNxQM+e2N+7PoRO6xsSFUAog6sSbLcGPKKiVolcfUM0jCy7Eqhkf8aJ/EQ
jUtWfNW1GQOvd48FsSZmvceGXLCmHRz89+rJl+XgHejHZP9hO3clvysI5JQe6jIbMZaLAtPyKDA9
v7Qy1HywoOagUCA91tgvWXGn9qxWxI2HhdCc9n5IOiGuVTlxPl68POzJV0G/TezIruecCwEhyEgf
WdZr/Zvt1BJ9ZexNqw9VtCicCUIBnrD1RqJtd5WSa3d1GeGjMWuZ68INS7IJftQQY5efGaw3R6/j
r78WDS4omGssMJDvSh0550ozvT6ubluUT0ODgnPDGGDgD7XGFFDtcgIEUMLP6jp5S7N8V3nvE8Pm
2JDgBrfptqkMxwuJNOH66gKeC85ybqBFOZ6dYyySCgleSWFKiCgJFUweOmEpgsMBLtPRsFT4Q1dk
cAzUsYf0jNISfRWXdAcWKIcjRH8FTvSsWLTqbaYDf6VrhrG980B+gkYQrul2U4+yeJf6xC68uJWV
Um0GQYTuvbJcXIjAJghO9ywlhH6p/GDs7hEc2PEjMvTETDzrPN9FzoKXMECeC8xE9NOfDGpx/jAW
2XTtPK3eEH+77SkYfIMTCIuIyxihJ9TGBtSHTeczIeq9zmU/VA7TtVo0YOTGZAsKlGG+IcJ6yFHf
XYVmFnNQnfyueb/MHtKoaIhnoRDdTAVkMQSqbgoSnS8mjI/BkKL1LmHzipNN15ElHLVis0XHRSQq
7GY8SmmZErrIPUjRxlbGyPul92neuwG6NIG7C4rCmgCW9K6eQp18eQxzP3v0wChhkObcF01Vrg/O
PLvtL5gjqnwiAoGTgL2/WRGJqyaNXzXd27ADvmB++tGhkO8jKpMTKvnsC8WwvPsfR+fVHKuORtFf
RJXI4rXp6HbOvi+U7XMOOUgEAb9+FvM2NVP3jrsbpC/svTb4MrT4qOUELz1N1u1UK7SNw1aoEe7I
HOqVNYQKrxB2cRsIJJl2bNRsz+cRtYFzULU9BI8ZDy82sQrkx701EvKwn7n2fqRGZA911B8zfJGM
HHfalkGxt5uuim54otWjD/JvC2ww3Rf7kkrv/YAOAbRIv9zM/N4iNj7j5luF2gAtBzDa4aq7Ll3H
sz+udv1n9eVi3fD/ENYvua3mR/JfZ3FrOcL/oDL06ooM57mAvwmuAcVJ3BW9tD/m2puX8sRvUaas
pzEV+swbCTr9r8vcMSHIJizecxashK2VvHyY+Tai+gtrzChjKR41w1tSpKnGc+9orJWw8Sr76FOh
VXcspZPkP17e1YWOy5ofRYPKUrGn79yM/ENtCE3G9aTDGi6AUxTfQwnBczsr6YsK33E2+Enph87e
kRXjvrFKepSVY5576sXwH6tL6XMKc4Yyj/Ze23WYb7KogMmguFvIuylaDc+MFEYIE5m/PWplEXzT
nHn9R43d9IYnzKCtnyR+LdI3aA+JVffA/qZQiX9wZ/neOZQFQfUZqPvuo2Kf0pE7xa+Ou3+xkZ8p
mINHB+34h09m/D0CBwIDgV/15kjemDMgvUi6mQFJWA8MrqT3DjMyILitmiz3DeW+154MciT7Um5I
IMop8oyeAx+Xz2iGqTpX0NCzQ+HbHW5QJHNXk3VpRKwS3ouDa+MHpHSxkovoZpxH/VqUP7zk+j+D
7x28bCDcT7ZKpNMtYBKjUxY4RDezW+s+mzCxCbKd+vR9VfX4CHeKeXaLBwLRG/HS+D5ab2p+qMoi
87e0XO6Xziccc5+OOp9vsJzUz000yn8ZPBJDMLtjJBJZCSqryIamjBGMz+t7OHvOpSclzY0tl84v
HpjTdix2uIpOrFkTBMLNCDYlb3zvpZV6KfFggajSdrVVTJ1du6wztlx1lOjFzBCRsNGLHCbENnU3
1fUxH+ZA7wlsR4qegGgnVxj5Mam/c8cyOYvSFuGMzplowqtE4khtZmsiS0bnOBJWbh1K3/fvnNIa
UYKsbvHA9cJ+foocB7i8Dn3W+e0cqDDOLU6nI7Eqszwlc7jBwmf89cNHUm74oUrLVKPmEdgz+9T0
36Wdw2GTEIWwAROPMOFK6JmmOm792iDX4T2nkPN2BvsKGFlM007/bMYIkcAOBf7q3E0YjP+tOezw
WBvPKuN6YcIDIoFwnBrMW/pig29HlSei5Z19HxU0UEALQiSgdoClud0i7A2N9bcvVH716jYqb9o1
7bKzFaTNXVMSn40VUE2Ts5vz1SXB22PWs5+wmX3N+ObSmzwA0fdO5VBcR6GbYjPWRu2dIUpC/C6+
QxYV7t0EBo/l6E8eG0DdKdYFFTNV9uEdBUX67tpYbk6qhtxfXyB91/PXhGMAUevsR9VpZJ72DDJQ
Ei9a0Ka0U217XyYZxvmO3B8CPVHNQnAGzt8SCDZgzd/JzOnYP9rNL94LeUdgLrIGF+/HS2gcUohR
UnjiQVqMwtTFXsXK1hMiy3jf2P7ggj3Ttf3or3PunnxuowiBuOWVujuOU1kZhTSdGIURmhiyQir4
xpdiuRILzUJ8V9mhN+3AM5QWzQqLfZaISsg/eKWkxx9BCvQZlc4UEnqMYHdX5z3jB1yOBj6O6BdM
1LndQ7ZvlgCslEe3hA+vxgND5TnfRh353EfPCHkDaiL5mUIYm/uxst3ukzpyKki256z4dqBmvMM1
GckJSZu/oZ7MqfFm9x2jRvg340Ym+8KmI8A5TlYXcef3EYoDoAsKOB52lbn9R389LedZFPD7OhJB
3lFqc+hjs+M2VolgPxIqhylNZgI/ucINXv9Dq7J+Y9Z0/4NzzIdxJMse5noY7Y4hwqItWwcrXk66
y3peR0qGGJcJhqaIUvCToGh75ZuPovlMNMe4+Qdpzh+YJhfBI5qqRiB+oeJSd37uBOst+EJr2eMh
DHGZk6kCDNDeQFy6oUvi3Q4hBWrUVvWP6gLTXzqITRAPQreorgmAKwtCMzkpz77gnyp2CVpNRsQo
8Dk+O+S2dxBdS8yGkw6f124gdgPxfk6O9YjbjbeBXOScK/TN7YT1B3u87Z5DgGXiac6GhNsbjQEp
KrjV2r1267q43zTvb7wlBMz0RbXEcHEKhwXtUp4dW5UwrMuEvK5fHC5IQofE8c4jOSmsTQtvvg2i
ovcuBdGcQNqo+cHbY0QibiWPWOa371ZV1DRiOV0zibbY5A/uVJO+442TMwBiy0z336wdHe5dZQ/r
iXVuudxI5lps5EEwN39QF0d8EQXvd/tVB5AFT7gNXHPc0oKWd7+0piEuyg0GCvKCeBGWXSqJnt2C
95zK1QtwkmH6h7pEsFqsy47M2l2BgmUnWktFD2lKOXUTRHWvIPOiRE+O23UOHaYiWsvxhk3z6trO
a8MSLWM3uvRN7BK37sQrMZ3TS0Ulnx0Ba4nnNoXFuRPbr8y4sx7yE6afMmLE0XKiVulg0BeZWtwK
Iesz4ZOEV9AireoMyQf5QEFp/1UsIRaHiJP2PKF95fMiSnuEUBMkP8DIchw1aaAoeRJNNiBLp+WO
rQZRFknmW8AwJx90l+TIfTPOghRv9Gy2qHPgatCNg7UchOMq9zFbppXbBn8/EiFU1a9D5iz4E9dc
3U2C6zlyOhMdM89mMsWatlnR/1YeqbcoQfQz/YTG2ou76K+slauuhA4YwgvmfLzlva9D1Lqie0Wu
Qfw3Kg/6F22VJoFQuIzZYWx9/6Fge7gC1MRGmmu1/rS87ynd1QjomGG9b+PlZP1nRzDNdwksBfyw
ZBeEZ5w4bMYbdwLCp2j/EGK5kVOcXE6d5tLThU0HDXq5GY+sVHLnwO9qY4HPjGTjVI3uelDMd6J+
r1v2L8EJrcfA+ShyGJX2s1MWdHlK+5Z1Glp30Sff6fkWnJwNA49iimqksBbxNnq+qWi2LPQJnWDm
tBd5noR/57XqEmKhiPFAfqYg6TWAsVFembnnFWOyWj0jZ1yW+6LDdMWzDNe2HaeOy5TohDtWpCMD
0ZHT7QQ2wf9m9cFQeqavHk6qgUF/QUiJ7iov4SzEPv6N180elnE/WwrzRDP1d4VFgfs6Mmo+a2t2
BmbD6UDVOFQOEsDd2qT4h1A5DDfG4sLYY43h6CSArUlvAlJwodf3Mn1g1g4UyODeMYdQeuv8NhUD
ISqUDRm8upSEyk9ZiuouSqEbkMuMnwYbNwLxwfVihqUc54ml5I+HzAREnkLZu++ZlzNiaLLxaU17
Ik+YPMgbojjIY+zKJL3apSWjdyXG8VwRClLuAjkhmCAabEFjFpEbRT9o9OqJ5gTE0zG37GSz8Bka
EkhfpvTyvrYFyVUtjrW/a07XvUdWabxYbOaFc1BnM5AjP6ILtxC0GtRWrnfusgWs6+gTP0AB1Eh5
pH4ZzUNHTNKhokEPDyl4Dve2l5FWB02yibebRiAFx7JwqLim3A6Lywwn7a9KZ3R3mBQhbxIU+E+v
KSbaLAjhfMNxIWLlzEoqXy9qMhAK84KCnTfZI14dbpZOTwP7HBa9oeKKvu9QmYQuv0bfTeey7Pv/
+mIefHROpD5vWd9AHri39djn3S2OWiWnc0A8X39TCqeyUfdwnX7aqsOTUBsARQi1VM1PY5yZfafC
yRgjf4foqGljvkE5lRM6hEUtE3JNoC9fiajaE3yxWrx7SMTLZ6geib6fIWMRzwq3H+QgEMZgC03N
E8x3DgtpZosr/AVUbDiJd4pBW/ES1CGahJB0bck6P6MiLqjdcS+VaR/c46QgGIgNwEZuWUkbWuLW
6dkylOXUb26WuiTkLi8ZKKrVgazRJ411UTkvK7Ogitk50XYD2Tdodzn+2ZdXCwvb5OBVsqGN4qn0
kuLoZMReQm0Z4Q8/l7Wwow3LYvXzc4RwH/GF8rt62JWEWi7pkQaj8tR+XdroP9+qymyvbGvt3zqi
3Mp9hU75HiPa/JJbSWF2uGAZ9Mx08TLuQRnfNQwkn2tNoczGsjc3rnTRbvrY+Z9TK83pZgxR7Udi
NItLiJR6OXWga70vi269ILQFTVART1aRwvtb8wpQZT/169fqGeS5MS93BVlXOAbRhucG0X9rXo/j
71rO7nxZbJJ7XqQEVQ0KwsApAlhTVgmbVNSmy7Crkw6piwhzKG1expz4fgxRnlwlbDmWhXWCdHLP
hed7R+K6LUnGBUnl7T2nYOKh90x9VpN47AXCTrCjo3fymLRJ/wyzCkboniauHZ2dwy4SnjsSt7z6
lS4CNY5MDmck+iRwgVUrCXRErUgxkFm3lpqd5W5sUr/7w0RwZoST2CLA1946uX1qICMh4KvwuuOd
hwe9yuGAMr9Mv1tbRs7Bm7M5vTpQWEbyLu05S9bPmTvrT4ZQbqaW6kX1ZEUlVoV9h3hkpuLtK/u+
yKPNVkUH/K5rLHzPrCRd77NzBwu+h+NNdn7bilX7h3mG9HJASVyOfz0aCS9h35qBzdATN7B/z0rX
r5E5tgl025w+T94jVggEYqe80PjwqmXS9xg9p/LAYVg1D7CjPGSGgO/S29xH1fGobbrsn2TuQUId
7N6bE/bKKD4zbPRsaoJfn5rC2VTBSfXpcr1h/xgZZd1EAhLz54JrD3V83XciZ/nWsjAyhv1et3fw
c0cHKn2wOPwbwbV9R/O4Bumrh/OBzSJ7ljw8tWydp5/ek7bGtJt11tG0OrBPUg0UziuwwAxIUUjy
xr5HLBYRiSUTA57NramzYsciWYUVeBa2twjEo5TItXz12LogeJnSS29rX4D0UoFZflrShMPT5AXs
SeH0Ylr+KguKZzSZTpbuJ6/tFlLk+qX86j22wHsDANbEbsnTj7xWA8k7GQZSA6IIroLkQQfJpG8Q
PLuSXFxF2q69Wnl0xJMAXJXDYZrcU1cEuXzKQO/Ti2MaDY4Bsk/3aRF+l56TdaA2SXwndfal8Gus
ZZPIbOvVbkwpjw7BlAtHLgLzu4GdCniTMBRdf1q6zKNS6AtQeCe7zn0qFw2C0gqJEZ9p0XBarE4O
YBClEIL9iDIHSi6whiNwPNWU5xoChNfizuBMJFVtCm3eWyKFCrFbWJx3X+UwDMFroFDRksOkA+KK
TEgaZtwWJnN7fOY0tqyRGYhF3T4s8J3wX7K0+GnGpWxirHi92c1pIryvUma6yK68OaGLZ7pEtI+B
oOFg/eVpq2m0VxJo7lKhE4hmAZv1nSxUAFdPe8Q4sBSbgT/BMsJ3QN/c8Vk01/fnzATEvWVrUYq/
QYPqntajrBzV7kiwDdwZ+zGqWUTMONIFknpojqF3drt0dJEfLiwWbuqAeevZeDLfnJDC5WwnQYQo
LIw16PMGJv+xj8zjv4pqbvqD9oHhH8lGjhwJSVEQVDzoLT0XnzHW80A2Br2VZ3jqPVsFAZhqF9ky
8+pBBI/Sha5DDnWiE30VOEOC7p5pNtS/JcYLmgPlaTABV/l9CEfIFPfQu1sjjy3oNaUOuIGdGuZi
I0IhYzj6uKcXwhAMmnZZrNOxbIqw+mLwHU1XuRbrcDKNJqyiTqPcHGlXQ5KSAGFmx07YRPJZvQfE
iLEF9ldjLwtxSxt29MK4f5gQB2eoO3VfO0DDjJQDfmAYYId6DOZLRW+FRpSvp97XqNgg9KFWYGBW
VPkz+lnFnN+fSqKOFG0DmMSBwqBpqPn3lokGSiPmF3RrWUNcHXpqZ9e7C+m6DGz85Ryy+RN7VloC
QUWRRWdByvIPBzxDxroIvNvWHUi1RWzxoSrhjAcBRdFgFu/xdHlYSJgp+QkqAjwIzEW7OZsuZEYl
f/vWJV+58xPZ/0U04vvftDZ2h2UXXVwcIG4hiddblXlCU0cOzji7MBfaoq/DI3M9oMil6q24JWuN
dZ87WRPLPA6jft/h9DPYT8hT/imlaa8oRgowe+VKF2VTtVMQVf6M9SN1sLhJGKXYyFWZX/tet9EV
FMPU4nGuULelRNk7B1ZTlGphmpJhEhY5j1RotQWaznb2V85DExHAYsns0xrafD3XgBx7nmq7Sa68
/oinhkkOvxlbx1dRiZmVLz409PN2Sz3ceMg/mE1RJzAUp2HbyVK2/m7GRAdqYgl4+i0YqOQtRVz4
NugA/3FxKUQOVDcBAhQalOyGuJlwekBAXuSXPvIHcQ3navEPREVkb/3kSYkmmB7wDqC5ei8kksvv
oEmZyjU+kK09+hc3PXalbf2XSr/6O+Azb/g17P5ttNYFoxUhgHVs0H/9gJDB+E8wLyuELtkCOadA
qGeMyrVzWYly+63SoGsBPIEcR+XXrTkRgqlxWPMV5srBLv4OE8ow8KRRtD4RpJU9tHCgllNS176K
2fBuaTatCNtDSLwzqTM6bM5ojzNvb3dtpJiBIn18Ghx2TcdBk1P1sA5M9l/YVhHLwfeTtTGjYdiR
aFwIb/fbvDgjrYZ0j4Erf/XUmKqbInBBYBC1Axo9kJa4X9IJBzDpovXzJLypPdbBYktCliKPNL3R
oPX1grx/Uc1cMo7m4DkWiJybk8zb9EF6LLPPk8t8i+SdKsKeOpEWebB6FQCR8rJE7NyQkfND1tQm
gDY+epgc+kEygkkLKw7sHCuCYKwaXpiqzJfQshEwjSb0aAyaFJMPMdDqHjQviTtWEOI8tZELkVOL
RYYkiiiwTo1OCMYo0QaUzJs9dE2YC9k8ky1qPbZyBk4I36Zwd4jTUtSZOJ62kxlz21EFvLjfSYqh
bR8mlv+M0ghu/diY9EnVovjjWYW4bRiMM3r7P6zLinzk++W6bkcgHnzEifUygGEfCoZnEHmbWx9c
BTqxoRdsLTF8R8QggTUrN3jhcIU5ECI761dulqCsza9tU/WGhBlA2wjb/DKRRrBNlnABIgmcPOK5
rLUe9iLo1HJF4552t4jUsEbMRfZFibcE5Hh16euI58O/MX5G6BUOh/KjsYbupyA//k8BbdO+2cKc
Xy2N9DJmr9jcKD5Svs+wlDOgsYnceG3tPnpPOTmf/bnsKhRfHLcCLb4WrzVU3e5CIM90ZNPHtyyT
kCxCt/NNHCJC76lklvA4w39OfhhUuQg4oJVVJ+EXrnMWSua/qxDrH8k6idDFcS1OEYBb3HlWJeSZ
um5hMRnx6QmpFimWVV6WiLZWmHBfI/cg3Sv1+9sBoKDHPpwnhUlJ60Pw9EqmZIQwrTdmnEI4XAju
7xBXDemFX9CF22yjgd43wi9ZbXQRPdxslQmcbki29nXAy5jvRnfGX8Ut29wvOjcTNgVjQydy7Gbv
rlB2btdVq/dRluMnfkewOpEly/IQphSN8TjYW0+Yp91/ivEP7JOcsdpXY039H70KDPjRYMhDQh5S
BPJaOU0w/eDAYyC7tFbwk5qFl3J0PMV+BUXmiUEA0NoAKN+RZWICRYwoGh7iNUGiuQuaJP21EfCU
sOvW3j3LnODvXQuEh7MUhbxzdMZONnejkn5z7Gnq3NgNla9fvDphDR70JKu7OhuJ/CDZdXuB9fBq
UsgsB5aoG14QCQV5SRTsBKrBhKHXbcivOK0a0UtsBg8TRZplzlfAMti/7QkHm18bHNWAbtysJsUX
yRIGaGsC9eMmln2RY1SR7lJq6uFgSPzmiqiMyFAgFO1vYa3MonMq+hfZeuUn7rL0J4GNZw7Nws2N
liOiLx2mELd77umHpKM4jNNsAqLeDjr9osDAkgTKKWAx1yaKUVDKCm8XMlVL0Nms494PXaKxyK2q
6rj0cP63Hlo0elfP8p6R/rBuDHJymWfSuuVjbQfuHyACE9xzT7vfVYaa5Dz7hn7YbZH6IBDpw0Oe
Abd6cLGSlNzeuSjvbYF5797k2t/IqDARMFZJHOf7ypfrBQj7DLawnsEoijrq3H0+23hgOlP23t7p
1QguE3XhcFZTOwM7g7Bhn+wIfSB/VU2W0QCeZJ9hNRY7HB9yfDKaXmcnNfbVm7b3i3MztvZwXVSm
4IVr+v/dSufjHzJrLMIj5/hyoZXwEAhP7hRY98bDmhGeRUK3c8B06k4fDEUz8VB3bBH+YbXBu30Y
ww4A6XFCYJ2nd1WKRsI/5dNa9cOhCPGZUmv4w7LxEJz1I+GvQnMyR8lITsLou29WO6FgzcdCR9Rn
OU6GiZDgHkh44A52DDSbY9J1PLf+VlkVXMcBNwFuEzQENXFQSI735eKN6g4F3tIfR7O0KAnRwlhM
6W2LyC0BBzzTuNiZ2T2z3MUg4YPOVbtyoQAF2RA6+iMoEWqcMOV27f2CUdTCRZmAf44hcjXZIxlg
ucPIe2Vag9xmQUvMxpQPlfNHkYUg06CKS8tbzdVwPubnlXMagRcBgimWZNRFF4QjAw2kF05b5EAQ
cXbggKvi1RfzW7ZG2sP829f6iJ7Irg82UsRnP8Vztg9riOI3rrSqt4KsAOcu6QKqVoYQ6EwZ6Wvv
jXHc+Dfi3aVIlv5EOOAccDtjBQoEa0AibGMemO0WCFtVn4LOn8JzZzNTZp0F0ebMVsdJ/xD0hQoS
eqEXHNsuQ/cd4vfNzmTpLLQwvqdFc/WzcRj/cM87+R2MCL6vAv/extRpvRdnK9SfkUCkyQvQqW2V
uIBIJ/hs4Yk+FhjIs6NZIX9x1aXSOXt+itqS8nX8CJdsyU9pimR5p/oZjxldOAp2+nfBMCWz6VcC
akVANUEl67iQFLtxgzTJfvZp5Fkq1ISqFw+ZxK/KRQBRqlwBPVMNAYGE5SClL2Mv6JZHih+Ho1MC
ibqD9ej/7eF1LLeT48r+dbIF8W8MwxXKodAKL3UJM+nJ5NS8nx0GiuDspgyE0E41Bid6tk67JfWt
8SPLfNnetAYlbcxItROMiZSOHtx27sWBCaXgiiCosv3n2OwCj+jWfJCnWZMx+3TBer4gd5+qy5QZ
ZmXMYCI0TymaTu/JRXn6NWIPc+80+cXD0U6oM0AqOLwzS8nPdZzIcN/gEXo2Ksbrl5GlrTVqk182
76qNtxv9jp04tdkQsCBEj2olXfba1XL5prxYpicVEeUcd5ODtzQAd4aDyOo8We+QnjfdXUqnXFzJ
bQiL+65l67OP4Bmyq8b60TDQQVnu4t/EFQiK33GBrTL5lmCZEGJ1KiI0APNaf9sieRn0EzyGlfKD
vT/aRd8IeCkLmqqaGyZKrMc8sEOtX2kxDCGkqZ3WrJ6sdSCSQnnJEHx0+FVmmBYjFnb+F+lGH4OM
lv5PEdE5n/FFjf6Z6Zydf3Db2dYjo3KTPHtpofoz1QwZg2YOXSzkrs1tUvu91zzOiLKzw7bssc/C
xwJ3IGNXv9JGs8dmySRII0k83OdJ7VOjUu30BM4CvrA0aiPvyFDaUGg7xBrJmy7Ff3MI/Lyvf+ET
gLmYszD/VPBzLtrqLMYige04xHok01u1aer4nP0wX2BfQ0r3UhP8JiSv97FmIk0OUWlxf4bR5NwH
GA4TYtl5Vvfb5RVs49bgI3IgDTHpBhvF5q+FUoM+CBZn09v6vE5i3OBVCn+ViNB5sqtZyg7GgIRM
qhu53iQhzibmXDMISTVJoeAFGpJ5elQeaVwOKFPqJYv0nqEcGadsRHxkmuivgTjzvHzMHdci7kid
vokM/AsjeWPdWfgdMC31vEwxKjwKepRq3rQF8ebviKyHf8QLIEGy0N2zRu5yn38EWAZTdCuHXk4N
+AcPNm5kHwlxwuIY29/eT0ZckWi+0SNTh8iPMiiLdq/Q2H8i5mejlwezIW0Wy+EXQhqH2CASVS6B
T/DAYWIa/j6s22Knd+rlXvOA3oE3ZJBZla0cPyCMVt/r6vQbXc0kVpyFo/sENcg8GycZvkiubP45
vVf+JEuY3DiOGeE5dqjxdzN3OI439ETfjpsht9KL0t2B0KnIOkR1VXxGYwMNz0b0/JVjWXuxEMRn
aJrRnOwN7sX7OiM2axfpFtEVPDf925cUKSzXnfIJV637HgnX+Vfm+f8zm8YxjFdZayTZY6AEEEy7
JCAQyTEru7Sx9zxmnIkzetNyz+q4vkrkmECQCDtWO2SL4JUN5NKGA09hZVw8RYYRTkm2F0XCmUY2
CtuiWgb4hRyv4KxdiwXvhMpQrO1kL2gKaPisCnOf1/7TXtcHMZma+i/lVZsfHNOEOXVLA8CzaJzw
OqA0FJiqPNbfsu34rIqIm5zOIoyqm8CtBjxGUBdHIqNQq0qBMAWRYpFMJw6C+q+ZlPdjGc7ajQ1e
WzdjF6jfkL1ehHCvbsh/jRjAH1ILCNZhXD11P7i2fOG+SYMzeXwkOSyIZeFiNHxPu5EzlQbOykN9
0cPmvjJTWr1o1RNN6XBXk+vbsqk92OxZ/nn9aL0aZMDnVXXOA3jlDbQDoalnUVZmqEy41mMTFU59
ypMUP9qSVfKqqzV6awBijPEI0gFJY9viFckdqA1IP3D6RqwBHy2UMupiauk8T9OQPanE5h5ENbhA
TVjS+Z49RwOjA/24u8vglF3x960/YqIojzOXxOtdMNOIs1a1Mdd60zy/G7GAzKQfZdnJolojyXYb
L2aVWl98FE5TPGp/eGKXpl6LdGnvioaQrB1CGaZlfh/2TxUASGYzaTj/s8sCwQjrr+DklkPVHgdB
SvnRssihjxGbE2Mp1bz+h5NKvUg9pShHxGYTHia7qY/UTOSa8963UywsSqlD4+eriU0uIV2hoBM7
BnvlY1GK7AcHVMhgyLR+vsfOWDxH9LZhzCtXf4+uFf5GxTAVe54EkrI6urLnCPAPf4aNeefA0kBd
o82bEK9pbTFeW7vyTUcL4pTaMv5t2tmNc4yomtQu7AsOz1QzPSI8iDN1F8Ep+9TzHOJDDvj9qRgS
Hg0uM1RBnA1g2scutx9JROScgs1lf6fsrHmoWpZD/TJUn/7oVJ8wXJqvYXBRU9pi8W5ZMBSvSROA
hR6azq8vU13Up2oG/LefWWZ/ob2hMUqIanF3ZkX5RN1QUPKGTguE00Finp0BPrAR73G6ThevoYOW
CSpvSE8Ley3NywipqesoBYi3QVllM68/T9NE5c91Hf6S6K5NPKW+/qxpOF/cwCJ6GdeHxAOk2Atg
EZoPFvar/6osmx6MxK9Hae34FGxT7a2b+orRF3S56s0SyLt2uEgFQsg0jcyegU9fHATKH9SbPcPf
XT9GG4md7QoDnTa03yXvL1v0oCmhkBv63V2q03GImQ9NHctw1v8H1BKgn0k3Lj984r/Ebi0N4eal
7iWEuSkjJEL1CZ1XCkHMO9YclfcyXNMraphu3oPCL9Kvos/cfzn6pmCHcKtnml4NOC/qrP2m5aiu
IjdbDoCxARXTcaSSjJWl+QABbC8PTGg1IBBkWnfZPDv1xS5moCbwO2ouQEcB+SzWpWvPjS42tSU4
ChBQSov0YEFhnq5QK1keehpZJ/MK27+fVG39HVFgn/ztTwfdmhr8cuSa/gZLbSN5x6OH8WLyN51r
qcETRkWnXsq5Dn8i3RtuUc5ALKtgQQ6LcDwAS8w/b73Rg7hJXwa1R8JPq1iss87Y22S6EpTtOPVM
CgIsuR1IBCMgSDshscMoYempVrTZ8cg6DdCSoXSnK8vqdgdRYejZg9IGH2waIfLenN4hlqgS6U3D
QcSomOCYf9bEpRdboF5YbwTwgHC/NIuHtqkgZ84pwYbuBN2hFUPR7d4GEIPQx1iY37IKtul7xURn
J2zTfFSE5Bag9tvkHX0+Hs8kNeyvBlaV/DyYy23yCbfszFluZuuGzs3p6i9d1U12pYTwHngCFGLw
rsh+8CO3b3AqmTp3iZfWNym4DebxlmA0kLM66o96ku1LQlwOxXOZ+nce5iZYPHNgvtJ04J5mteHp
fWY7aXiYAvLsd8KpO+Q8DKr3hs2WpG3FGIk+v9cPbuBMGPV9S/3wrhOOEQRJ+2/G7EOuLMoK9Kne
WHzLCDu1O9JHHhuRAYXCkDc8RWQPMW8s2uaCbr2bGEKFxI9tJSdTjnB2PiqI86xB2A6DNEujEJ1y
X6INHLEJk1jAmpVLSGUoa1135uHkV2zuZ5DbvymkIuJuVpWrOBvK9L1HOjrzvjbDvWzr2WJhwTu6
c8oRp0rl6oGMgyj5y3PN8AbWcMMgvRAvHIj1S7o2utn7Q7/8Z2OzeGK5MPgxo3QF7Bsi1j0bxU2m
QGDdRxgu5kJMrSfitY/ERqRKwGfY6VSmoEnm9dNG1nxXzzg992IEpcF3Jhi4hf7UocknadrEKsqg
PPIN0OAvsw29S7A/pVYpLb/dV5Hl3tk8gqS15LW8Ev2NLYnf0Gn3rnbZD5KLRQ02kC4pYstoh+xY
ihJsP/YamYMurUAfEGTzlXP6hO+VlzOtzRDyMOVQnXvure2jdbWtPgJH0rHV81T0hNZW7RPNFLYo
alq5bwDsF9tYBwusopLFI1R5dGIjBoGzxmFDZEs+TW8kGjYv9NrTz5wVJRainqAci+lCFzdMK+td
Rp64iNO1tk/Quoj56p3U7SiQmvIdebp+72HvFdyJm2sht5ixUF5lGUSGgj7CnfLwH2eJDPf4TApc
wtVgvjO4WB9rx5J1F7jMbw9kxeXBWUlMZKeUUvWhlyPdFkrwAp2XqfJ318OpAIyTVPqbrLeaZzSE
GbqcDMw1jP1m/so6Sqw4azqU2dAa7QsHFj18j+Ck2luoAswZ20B6z3iHDZbLsAMuY85tEy9l7Rcx
vsIgwoWfpxz9LLTBpKet+akrtjtHXFD9wSY8gI2gQljDcFNra8+yfsqemSynVFlda+1nXI/ifphp
cvdRU6EpWyTL2MtAvOgr3t3+DDJQsApckTZCt2KRyp7aKcZDMa4J8AUeCXcPi8f9Gq0BcqQmfnK4
ZBI7+3F7XHy+Xt6iAytrqBv0nPAq0QhqUrmsMFBHC4szPRNZ4As0QSLH51ZRVVXSgw4hPeINECQR
+soWtRdAEKPWnKRtFLlrmOOy/f84O7MduZEs2/5KoZ6baNJoZiQbt/vB55jDIzSE9EJIIYnzPPPr
76L6ReEuhCO7UJUoqLKSgxttOGfvtbEkV08OaWXBrrL0+LWJxoX5UgvMwbRXJUIFVB0Ed7Vd8Y3K
qgRcILCcrAykxR9jkDZwYiwC9FZVjtByI5MEGo9pRmhAapjagOqiwvrWlmCm1/jxxcMMcQg1jBpI
j+rRZ5HC2kpmbNdbwLJNmAzzlTXGUbPLM51+dqcpVKsSzhY6C7YJ6aFtSo8IaVx7/p60Lk4f1AqB
ldacaH7FXYzfUbQot64yw2ngFbKDodIoB+kfAqojmNtHwq8hDqV389RLA39b0OcftEMAygaLhO/d
x0zKX7twCOkSFZVrbarcHzixEub7nVoAtJFubErqSPTt7CN0mLLe4K2MH6Oktoc1Z/qSxG4Spvgu
sI0QuO2yt9nYyghfZpmh8A4iO3hM+9xut+Q7yX3vmKQqjSrp7tjmjdFecJKMVpLVx+Tr7+DpNNQs
XkE8xd8s8kqXpCEjrz9AanePmdnRRRxm/Cd71aECRaNcc6ajexBB8IZBRVlHVPE3LKb5T4zkVrFO
TR9/BgF61rw1pA4N3Fs4OXD4RAZlFI4nsPbY04VEXvYbVsmaDQxsr5c+cUH1IcrQ36Se3RofjG0h
ugzCJZpad/3B75RE9EiIXb5z2ej+JFjMjDc2GwJIpolbfQicNvvc5Jq5G+Sn8UrrvKrY2dF2QIA1
hvqqzePiSw342kWM6KMD6sKCGhzx8ZzcyO/4ULrF0g0zW6+6JjuqAHRJ9qdeDSIS3WZUAQHhAYUr
aoHZIo+YWYUPbWKZ+zQtcPi6GmQVu7hmNL7FFJpjMmh9x6aNr8E5UxWsfxKW1FsbCp7DY4Ki8ydM
4nZe2cqOLaRsvfPBqIT7daiE/03HfTzMK5Np/VfbTwwWrx7bL6Hv99HGpbq2HdzWRt2sQvvFNvL5
mFgxYjnLbhJShHMruMpnQQj9oDXjHWhLTxUv68N0NyJYvBdx6cJLoKk6lIDdyW7ufrCvojTKh1fG
6RH1S6jRnLpFL6gyMAVvrHDqmChMoXrv2cNblu/asNfOSljTkNDeqU3Hpwbmm03fYWQFOHOUyAjq
TVHavf0F2n/Oz5HQM6Zu3USmfRVA4+9oxhRThYiIajF9c+6bQtbaMjL6uxFjcAnLaO1o3xIKOPJE
k8nXUFmBl0hWNrStVwuMwybWvQIS0iaePT4KElHxRihmqerRF46gHQMrQJOyFuu0Cz4Jjf/SXXdN
MeLorGIF3h8SFrDK55jUZ1D4Q+l0NwTUeXJH9HSs9prYwvwVj6og5d4WZTNAWiwLvQXUAAqRcDn4
q2ztA6sDLR+mlsaVSy1zbO9Ct3Oa/OB6JCvpG/z3tBTor7gRL2S0S7g62yZZiplbgIMjsJSQdLqV
SdneXA4GHN7x6I3swTxjfkyh8Wd7JNw05gB1MhFmsmVRZxWi5RCTEmisRysvyJZAtUSiKsaphfg1
gGOPiRefweIQ/bsOQyzoIBQEUwxunvBzTLBit4prdKbsHqLcwhOrlc3Rm03cRpJJeq+QyhPGWSP9
oDlScYSh0f61zqP0l5ay/oTutm7WMegANk0ZcSzrNvLVZ1rW5PR0hbAspmpSzTdRgSFmYwZuaq/7
Xte/FgkwpP9BxgvcpFb46pGmE2aO4Ie0miiXnLTG6ZerMU6TdJ2N9HiQ6bO7waKQbPFVmQfUgUJR
XSjruxIT5bSap9r77qTDtIPnTtGd4IxW005sKZA50kbgNnRt9GVEcv81IA4v2o65nVNS4hxGrhid
LnXgPuisu4Y05wMGKLbvYIDZeJVjxZcdzKqT/NVw72SGyYWioHIQ9cwtDsJRsyNdc2zx6y1cIxLg
C0V2SNTn3gsFc+QoWFszfa1p0KOObBK0jF6bGU+mlpRemBmqX6HICR7NZqW6GzeuxTP7OjRYgcfm
dzWb5INuB4mGZaUU+CRpmnZ8RcIJ/pAyp0+yxsyImigSLiHttjSc6rpdhsgmxgZj7M1hnCOIRRUy
GfgqEClcRewXEM3Z/ag5rNIeRSUhSMjrBcYuZJwkhlQJcekD09Jh7DJaH7agnlOWGLqZHkg543yL
YBu6QE48SBfWrj40dd5ex34T6E3Ui6Ffu8qnzgBOhb8beg6TVF7431EGNZ89BJ5sRDFN/FRWZf8A
A9YzTPTEyC5FCxJ+hE67iloQpRusavKzZ1LU3eU6rY8IwCgd8WzJoUMzfwSkNH5XuV3eCT1hGYlo
zfhbAmmkt0UxZ7MqEluFBLLG8buRAiPxWqFUtkhh0HW6JjuDghnSMs9cKSlhELi9P9H+jOMfeZrT
zM6b3LgH3ZRCeHPM+jpPcijKjnarfRYR03jl6WG+Mds6eXHChoAZrwMXuIFfgJgQtTJ6JKvV0ln5
6IA/o+Cw8O2B3PoeRsmEos+ZOTqjJWlWagqiaEXNl/NN4NOCWfE6WN0byp0fdSiGL2Jui0df8UNR
OsypMeQGdHqCwmyguNNgfoszlf/k6BY9JdZSPI0ye+pBqbuMN0myHHa6kYIMxzhMAWxQEfg7wRB/
MwvQrFYS9XgQDMAM+Jjm6LM3WY7ehKgCvV1Jy7lcsehD0wCdrDDdWXRpwJgPIeAHYrRw8mKHI5/N
GV454E3kIFdje8PvyHE7tvxoOVlRaFt1TEUgKyECuQsjwfmiPLnYjOcMugznqxx5WyG7B45RY7HB
H6C6A0XHulp32lKPYHnGb/gRa1biOHn1Mqh5HOrm8SXFK/xEW7N9Ac5dP4+QyMsVNRVwOZateWJQ
j7yI/8DJhuad3fy2gkJaHirTCQFl1B5swF1X0t+5jtDpE0Kl8QWI7b//9Z//8/9ex/8KfhaPRToF
Rf6vvMseiyhvm//+t/r3v2gYLH969eO//+3YyjSlkh76SIdapmdq/vfXb09RHvA3W/8R+iFuySaV
W+JEv9dhVVx1dA/YLgXj7h9fCSqgaZpK4mPQlvv2SoNihVEkL20NN5LdmnCLGS6LOZCc1tE4Wf0f
ribxrymATbYwxdurMR5wELoOcjaTjeMWIxV890l43bVNO+HX+xeTZy/RUnQPXEd7CO4c03l7sQTm
PS1yMr1QlNWYj8jsZKIy7Jf3L3P+WynyVYUpERVIx7XMt5cpEU5BePIkSDGsYndQN3T4eUBdrw+T
dH3/+f3LWctt/zE2pOc5DtldtsKJpQSAnbfXm6gWdoTn6WMOwhwzAfCsJrkXQUeBbzWqphr2tF0R
a2dW31eENwggnxuv89PvBt0nsXVGFSb0zwLZ97RY5mYG8pMHgD96WTI76ziuwCRg32G53l+4++Xu
3t69Kz3NN4h7wSEt4WRkT6SWohOb9RHSY0YWgQ3dZyLiMaM2F97Nhc6+gh1cki5j1gwWsBSCSDm8
lFLEzfX7N3P+JhlqHr8Yh1etkGe9fZPdZKqcgn/4lAdOQxyVDDS7ttH6OtShA2AK75BJG+fm/asu
T/j2DXjKlfxLaYvoSnnyDeQxaM1u6PsjMen+DxKYsg/MpzQ+FgM4FaCeuPXb9y9pnb91rukKIS0b
IxR/efukebZkyXameZz4bbwr5LsT0E9it+mJ5z6BRMMWza3eszpn1GK9UaflF4Oj0byZvCGowbW1
gLkuzAbe+ZvQFonLtmdr1BOnb6Kc0RKPfTMelwjc1knBdjE4rgYRS7WmBZsDJJStWoHlze1DOLEa
ry+8GPvtLTDPmiS5ot5FqyI9ZS23+MdEmzgtmJjJt4455wnOtGUf6T0H4dl4sUn5e5zbfMip3vdg
5JtwakIyhMwhu6Z/6ZnJtR0mWAUb6KcZ9BemI7l5/wbVyRjlBpkoYCmwxnme5ZonN1gXte8k+KSP
wVBZc3ytOw3oicpFyNF3wLVk3Mp66serOXRx3zJrz461jmvt6aPpDh7o5poTMpRBqBzYNHKSGJ/Z
UAbNDWZw4OvUtYZfNbxmck8rg179upmGDBBgDAWIU3kXQ0qdiJryx7Ul6/aZrNGwrbA9lBwJSVwy
3HYjAsM6EOyhht1osTd5IJe4THawj0mWQ67XT0cXoNEAG6oN2y1W8nDYxilqk+vCj1BZoJocPqge
+viWEE864uswm+L2vmPmlccy+d3CTY140I9k5sKozDkwzms4Q8SbCbRpe2NOTOOJu0pfLCpCS4k9
4Iyj0iHqDwNWz+y6q8b72YCr9oh0DWPuheF8+pUtv5UlTU+ajukpfrNlpfhjMJE/Y+agM63jALLy
FhYyfYolhoM8VlAT61ySurFJII4PFBI6HyLmUNEsCp2dimAsfHh/6Cyz1x/zDHcjGDWUymyPtZ0b
e3s3bTHIoMNO99TO/sPQjOHBw0S+HtJGjnz0yS9X5hA8e7+4MNv89cJKCQtzqedpefIajEGW4IrK
+gnKVngwY5LrnbyhwlaK7DGGKPNCRYg/rJEJH95/5t+L7clDM7k6fM2WcpaP+u1DI/ZiLIxT+FQi
0fI2bIsJwh1LDHkomRFsoM5M7Q9RbyE0IJ/saUDG/Tn14uzCxHL+Dmwp+AWEpZQyWbHf3geEHOSw
hdE9dQ4jXfqWWFlpNt1m8En30P2jb7GpwzUgZePThVfgniww/PDLz+1Y1GFchef65P2bUTo2SErT
J06FDilDvY3dZzeCQbOoGkEhBJHipqy46FKJGQo9mc/P46i6etVOmHTCDbLDGEmY0Qt9wDk3+EfB
pDP+GmtCguKfUwZh+m7q/Urshzgbwn0bCGQ0I3A2cjvLLqTBHuJuXemS1DkwOrUljjWyqhv6o6QS
pg3fAj2MyLwjAURwuMUvvgCxZqQbuAWJPKNs2tfYmELcNjhECviWQQ0sAVd50jUf2B4Vj5gd568+
85B/VEVV6f04WtRGe4wO3q6SZtzsG0yZtI5bzVE5RJPovM7YSTP6ERTnrnl7wBUgfgz8f+0w1o80
HbPbPB46Yz+B3UE/B3gE2erMC2uva0BgpD5Byes2Tm+7BCY3QlNlImSjeg4NSrOPxMG32Q2AMmJl
qHa4SbAqVO8TaIhXIIpumzEbk51Tj+4TDAaopE7o158xGo0xhkFotF+UztRXCGhAAWj+NOR5O7ne
dxHNdZSkAM+gZcBu2bXCHA5uhkTo0yCn+oD6NkatqTnH4hpko7XCyjSFWx1bCbZQMvmaWmCtbGT8
o6aPQjwX+GAv3wdTJauv7hA4+rEWGGwenbhB1mwXoSJ1eII5vm3YlwBTRbID+6AacvOONpgTV7t5
mBF91kTSuGscOHxYI9W+9kutraG4dRAA3FhEmOufw5S5cLSy4ZMoppEOs6IKsgkI9iL8IiuHLZ5S
gfAGX9ghGR0BxRgRcdisaZhNxtpMZ/c6xKc87dXgFl8B96N0GXBlfdamSqFcGhoEpoYBQebOHIh6
2utBmPEL2NTY24MvLScsuRU64LpwSWOIXRWCvpmGgfYJqlAvvZrsMTWvKDH336s0C6hPQfTGxShB
OX1sBj3btx3+eWcXCsS1kLTa3snISo7Fkhwp+xvLyRz53E4WuNsFPW5FG5l5enpgIKTZtwansH/v
j6IYrgwEkbDOMUGXe4dmDb5Ja0iymzyJWvVBySDob+fKVM2qH0PxOgP44OMaqELcDCLDEbwGLVFh
GAwx8C8ZjOU+c5A7U0SejTnY6ShsrpCoInWg9mW57Gsyx/w4GqUbgnjW5RKj4qtiF7uNGLN72KlD
aWwVhWobQWbSHHFwxumjIF2E2O8kM/yH96eq870N74QjgMcq4dm2tRzg/lgvwaPMYJAL44iPeIx3
hA6E0y2lv1hupBTTxtIIbVYFPqFL+77zKRL9Df0SjvQQJjBvn1zZQl1XTGX81HdV8FhG4H1XqDio
CY4RjB72OeaFBUEsW+y3K5OyJcsSTVUEWo44ObYR8cE8Qs3imEQUiKnKgJ1dh9qlCUm8XWIhsyHs
aSa1zN61FcGz/LJ+6JGDCUy5vC3davlS26Cormne2PECtuZzhWoyg/jNkDJQNSKEENj9ZHs/CJwG
NY06fIwKIhpQPtPti2pm+Qs71POVTimeh6MMYjDq6CfPlbkmOZGIA498n9wqLcWxQ/xKod2m3R9p
uQ+RmPT3Ni3QItw0mATCf77qKy4s4QryayJyOtnq6CYDSTtG0RPVRvZcwAOSh8Yjy0lmFeIEHGAH
BRP/AG7WOY6e0WwNpPX790fzSR2AZZd5hmINtGCPRd89WXbHuB5TzyLtLFUZYASYmrR1r2nzTv5H
6mDauTCizsew5tRqs8mi7qDF6cmA1Gp8ySTOPzmmGR4L1As/Wx/mi0Zb+oAvx7L/+f5Wmw5HEL4b
VkaMiG+/mr5syTq38+KpIbYpPxh450asE1D16qooHMDOoeveT9XwCUNivO+R8uIV5cCJ1psI3Pdf
9/m406artWtJht0y8t7eDJah2Sstq3wa6iL92sBCvoUZqwD/zeUNWox5xEzLFDeMRndhZ30+byGg
1WxsqVTY+MNPNpmpw5YjHaviye6a+L7vbHMzDqr7NjouSMJUcVzGU/b0/vP+5aKWRnBA3YDIAMs7
HV6I2fJGR+2TT9N703SFu43L0LydzCL8COQjuaZRJS886dlLZofC6RwUD3OW68iTjztxJiIDS9N/
SlLd7chiiD64sVu8QpEjSLZg82PdYCbzH/LWo6D9/hP/5eJCCoehLXnN6rR+Bwu4wFHWx8/o9NN5
g+iqOsB0UHurJLHN8aKiWTkUh8yNmZOz9/7Fl9/wzXQtlmoe0wq7GAe5wcmUQlcRF/JYps9ShQOy
fJNflt3ZrTmmsOfAGiNVS+wHG8XJtRHF1vP7l7fOlgtBMVZxfmCUCz7xk+FNiRgYDsvQ028Q8tqI
U8wmhdurn6NHgB0VK4lKw3SafVzp/AOUVOwJLt/vx8nPM6JEMnXhYHE2AAXTPEOIOoRmGIrTUZ9g
1DdSEtDiJEqf7MwxDnAXSA4TlVSHOOn9234mheb9F3E2y9HrBaACMgK+BYPh5KqzZ4OJC6R8qnzD
d28mTLm3fpUVW1FUXkKQidG9vn/Fs3lcCFcvrxfpObO5twzLP3YlGMmQzWNHfkKJln1oKmIpHbTI
e6Cw9oVBdv5K2fWwLbCYvx0q1fLtpQLkBD1+2OAZl1L9uRjEF7TDGh6sjaC787tk8UbG//R4zs5Z
sloKU7ksVd7JG63J1SEqFCts1NjBDedEd22SfsTW0lf3kCidmypnq7liz9BfKH2ev1qujH7cYetF
g8Oy3z7vLMZiTNIufC6oypBwEsDqtfo6eIC4UosLy5Vt/uVyONGWEqvkK6Ic8PZyBYOZc1vkPLE/
qOoj5oqhYtKacSdvoZ/L5idyX7//MNuuiXIpsDIKjmz76VwX3dib0A48FP1N21r5TovS+AE0goi0
Joqyx4F0R39nd6RYY0CKo4zSWzWG15WbNDY5DKZD7l7TgTgmEGjBYbeoAKPFjZDVV8MAYeeRE4DV
vaKs8NL7RLmVyckOStL4gMmOnLnWsEvYfUNDirTNSf5TmUXZR5IfQ2JCowiMzozPlrQUCOWvFhNC
sil0XAfYjxq7hyeSJ/dN3bn+hs28SVBXmNc/3UZOIAu6pmzvUD0aX2Il++7eSsbmU1gXxoubd81r
CoYw3gZjMz9qlfnkBfaoF29Nu1NPcszm14H623OY1cRsJD1FZfSDI136SAiYhTS6wrvBFpG/GkzA
89dtFhdPnW917VWeN7PaFPQk1iWEBvcakT5BQvTjESpIwO4ZYutxDg503xA4ujhKP4FERoPVBU35
CwkgzmTMM3WzT11zCJ9RupTGT/RlVfE4dUm8Yd9XjDvlLWntPgWWWyhD+H0p6ba/+I8UR3aBw6un
kSBtZQvbHwWa2X80BtyDnwvonyTysS5cE45pY+oc/C7eTKHVfbE5LRTbGFNss6J01yCxpBhrr0rk
UOxs+XO9EfgPQJyLpCg0iYQBfU0yqIT36HJCG3euWUz1raReEn1UTUwahs8Jc8QbFNjpYRzZUq1C
QrectZKFOtRFDvCUWmMBgQUDidyrKMu6u2qiXgMOCv7nJ0dViX9NmiY+SOJI/QjKLmc8r/yaiUXB
q3DOfOqcyU826NK6fU8snf0MBamRtO3TOt4RM44knm3khA9DeByKDeHPIxKNwn3RlLf0K8pHJAAt
FPePFX1zrM1ET8Y3ytJ5sdAlMANkbpcVV3noR9/I5jbwXgaRQfmgX8TBm74c4teAZYocpq76mqV5
VhPdWea7wQvhG8dR4N619Uz6bOWTMP1C4bsoNxTtJmeJFgJi4TD+oTRO3hR97pGE/WDyb5tjh235
Ho0a2QllmNEu6JjcOlyjLf0wuO7WC+TP1nyEJKJp2zuR1k+uT7n/NoUVfTvUvWce2FMxi1CHSBBC
oJYKqwlBDlbeB4xg47jzFi3bx6Iff7OQHBkOK251QoSmM5pH2F6M3N6N/YB40odr3R/wQBi4MPoE
yaTjNNxRAwJX3cVh3b7UhA28zhA0f6QWgxsNSgybs+m95isG1DG6JaosLq7GKce1Mk9Qb2QUj7Ak
GvDSV+boGz3nvDx6UR0BMT/82m0lZYgOKJHoYvFayXb0D0nZecTrZWyQNwO5EREKLjqCC+wuRSdH
/KM8hh5Y03Vi1wOA9waFzHXfVsH8HHcK6yB26pbDuNJGsq/Q7ePZaEv1aWQ8KlQtrBaHZDJGGosk
rKEICftkF5dRVK7NMhhR7LOBBjE3ouXbmL3ryyvcjDFgIAeTIW8QnBlgokz4VA3TyNq0fi3v0es5
yIBjrDLRjoOwpjgp0/JFelY0rDrlDwXSKIfgvC8z/3yConCP7nI2EOpja/tdd9f7lPDWmeXm9X7M
NCZAGQj9CQcg/iZf1vVdx1slpKVagpZv7BJPxU70FEZW0rDibDcqKC7guWkgJDJHNe7WnDCfPA11
ANAs2Th6PSJmLjfYcwwgQ8XkbfkHiGqvi7b4mUzR8BPde/7RtqymO+AObyUKEfRrh6Ay52Zlon+i
DO+o5lvZ20Ldm3ZEXqcgqozUOLu0w+upNbENUp4EYripxrIQe0IEFvhVOda/CmxZJIWnhfHTqGXQ
33Sdp6ptRbJi+I+3KZLW4dLeoFnHUetkmyLtQRI3N9lPdHYDeAgqLjemdHGZqql5IkMWKlFQdMOF
Bfx868dlHc7TnEHA2p9uVOYaUBLMSvtpsYEiq4PZyiQBlC2ds3uti+f3933nmzG+cAnxyXY5vZ8V
MvBZT7ktGvvJQMn5FQ/yEtCJbIQAIgqHncqbQ1WZ6T89xtKP1Yryl0NJi3P1yQmrKCFHxqgyn6Hs
Q80NvApoX5H1DyRuYpQ0JgDDLZ2SlfIat7jww54fclzLEjZbMcwcrmefHHKizMwpVvTuUzeUaOW0
pDY/Ci9CsqMw4XeJjA4AXTp7XVqz/xkQNw6A99/6X27BpgJAMY76kafF6bGWmvRIIkf+3I4JSZND
AtF2IFMIRTNZmrQ7QW8GgFJe8JySYJImqr9//w7OhxnUXpNEYw55rslG6u0ukSOuCVbLaZ7ZuNoL
vmNYgqYseY3DOn9qRJ1/fP+Cv5vKb8+WXFG7y3kKEQw9upMrlmULxa7HUwhmBDLkkLtXYYVKZ5PM
dKTTlSob/QtmVfRAvdowrgObxQ1ydU0fF1UjZu4kTgiziZiYt6qS2c/FY04rZ/AxNikPRM8+jurh
1pnAZF8YNOffievSMucUCNKM/2K/vftAOw2RymH9vFBESrZ/nbcdU8sFY2T2Bjr6sN8wXcChfv+1
nY8Uzn/CcygZ09gz7ZPrerVp8OLa8tnG/cFOGVNxtm87goFXM4EebGBaoniQVk7Dy5B01bA4DoPx
wl2cjxZOokItZ1KOiNRj3j59RS8lHQqreJ4JuftecV3Cl0OsbMjJjbUYZ/Pq/cc+u6BnopNymCIk
C5h1WoiozAYDAilRzxauuLtqMKfNEEl1TTepurZjt79w4D5voVLf85StKOn+rmkuv8Mf51+n0Bjx
EkVGZkEsCl2r3/G+MO6IITSMgPBY/MYfMao7H6TuwNIiHy4e8CdLdeG4eF4EWW6F5+YgzioAEOnk
VlSJ1zTu/WeZd8POJv/oHql+uY6Ytxoaqnm0A2JkbIbA9L+kAkJqZNX2V2Tq1lMJr9G78OP/5YaU
pjDEd8tv4SLkfXtDhNuD7WM1/ADtVxExVIVfutQLwTqrKQ/XhKRFmwoNE4V3MU/XQYDFeJOQGfxZ
idL83vawp94fHmdfhaccZVma+phJwei0LIh61qtqKwRAUWGCW8EmcL8hPB6+ynBWtywtL5OColR0
pnmVRKQwX3glp8PTYmcg2J+4/3t5+2T29OCVq7RDdWtUURleJ35Up49OSZD1AT82EHynVKG+MGWf
TkFclK8CpLutNOXJ0w1JHuRRFqeu+5jA2f/Rtpya9w1/KvbCZMew1SOwmR0JjVX9/P7rPq1JslpS
aafuLoSgkH4q8UBhilgNM/ERAYv3nVApgkuL2ZLbWHiDt1VzbHzBemwQNa6Rt16YC84UJpZQTLhg
fJl9BB/pybeJVg/XmFLBscir8dsoDL0l/jYr1zY0+y8pLpg9wSHGkYTYGHtm0sE77ueVywb8Uu3q
bJ7gXqiB03wAdYqu7FRTZlS+bFA5pEdwqdO1CysLm7qID/Cp5hswPYiAO88LCOhlI7f33Tn51Nez
bx/e/0X+ch9MSJxB0ZTyWiixv/0mMTTY3UCx+Ei8aH5VT1N2L+vR4RyIOOm1TlzrmyPH5hlVv/GT
AmWwxXt+YUk/HxaaupbJhygVxbnTBpSXQDuN014du5626lrnOF83nBLMj7WJGW0TSoJogMeSI7jC
5NJd0guffxDUZB1J4RK1jymdkx16l84tvFhzPLa2neEEGrPd7CwZjz6u4tQejCte0aWNwPJi/9zG
WDCHLYdtiWUqlqfTQilYQbsvyYc+Nu0MkEX7Obl7Q6qMKyo78YV57mye4TK8W7bK9IuXT+Dtrxyh
VKjJw7KOZKxhC9OUcFdh1vi/Ihhyu8CW7vr9cXU6sS7PJZGRoBUDwc1y//aCTTY2Q6wQc8l59iBt
zPmdDhHG3yP16K8Yx8knuudqSw0Xvp07p6G7ff8O/vbIzOpsix20ZIyrt3cgC8CiNRjk4yxEQGqW
X/fTfdAF1s7PI8u6Sum0pRda8mcDmadWQESp8PPMjKa314zQtGRNMplHFXSI8RUGiwOllQ4Kv9s7
9i1VJAz7me9DhS388Mf7T/yXd76sJUzpHMVsV55cHZxxnjl+aR978lvUqrLD+nMpHXOXtF3WHli9
4n0eUqUaw8wBTTUZF1752ZC2F9EcvS6PDQd9tpNRRrOhNCdDYAOn/9NuJHmD8goTlbGqPZ/whfcf
97dU+80XRM3aMpm4BI9Ni+PkINCEuaCG5HnHPPbQO1RVrzSp5oUcbunotWS+NgkW6swPga6RJYEg
swBGYnxHwGLbVKwBYh86KOJbWFNRsuvwoOL46GWIYGpdQa/JYEBil3O2UD+AFJcm5qoiVpypMbcB
8xcEpIBFm6dmNWu0rLhdogwdLu5iSuJRWfYa45hLZu2oliNi68n2IerHuL2011t+29N3wQnMYqSz
oZH2yRTW9BHBHbOvj+k0UnLqi2Nsy1GuCNKQG1KqOfwReu/cdGThbuGqDXtJAvs3SOjTixcQuoJq
1Lx0U8vvfXJTi0J5IfO59tI3efs5hFL0+CuT+WjlFLv32MBq7xbvHsneWKJzg1iftKTK2FuVty1b
kRn7gFkseoqtMjcuDJezSR7EvgsjaulGCk+oZfD+sTFHbwePkfCGoxB5SGZeEfqbaBqnfu1Ypdq6
S3UsTnx78/4o/dtlPew7nHrY85yp5NMycDopCusIxNVUV/AFNCr1IqRqXVVlb9w2SLF2TdW2FxpV
f/kYWc9Qc7CiuTTIlvnxj+cdayVCtITmEQFc8kvXLlkDtQHsL+bDrS485W+9wMlPDYCPC1INQUH6
u5n0x9VY7HKPWA7z6OMW+RLQaoduxLkMfnqVhhsa+nN8g3Cf3BEwOIQzBgMNCyuP6ysLdfEtDvup
f4x6U7/0WBbxrxsz1tgxqM1Nrdt42g4l3YjnDml2uG7DOnI2hetUh2hWxNMWSZl7GzkQvHSY6n5R
vVtTCyIitD0MY+//pH+Z5Tm+LI0xi/YjJba3b9YiIaar+9E+lrEXbBci0lrbFcFYtW2XB0rM5GzM
dHh/GXkoL+3X/vKzoof935e8bCGX8fbHi5Zo9ZKm8cXR8hCIUDX1Er9aN+7c11cTEmn7GTrHsCd2
3jbvqHbkdx5HblKtOK7eBOHsTgDX2mFBfhoqu8OWODwkSe6KCyPiL8svi8xSm6JHS9PoZHK2AjWT
is4GoJ4c8xP+dZK6kmbs1hlc3xxCZR09/9OfxcKP4FKQQ2+xaMXevpkMvoGVpbU4Cm3OwUMHuf5j
KIx02oxOb7UcrkzrCyr7MLiynUZ+ev/q54svRThKrfyVCihn7rdXn9reRlvI2tctJqEGNMkrPvke
2i3yKaMijJxKoEdsFvXxxiBp8v3Ln79uBMuSkhh1B/Zb7snSy1NKJtfZPgZl1G57cJYYUTMBYCSJ
LHoNsp2371/xfCCyceXggr+O8Xh2cEC02QFoRJHnRwHmhsSRNAEJY3DWMqrE4/sXO59FuRiybE4o
vGTKvSdvdwKs3ZS5OrZTSNTR6LTGL3opmAC0bY53k5mEH7K27a/ev+zfnpFFg387uAAo3L29LK80
NjLGGskpRvLdMFzKgShbnGsSFQiJfv9if3vGRTKDlMECZ3r6xQhaNZCguVgJ4wX09mgYR9375gOq
16Bc0Aqs5A1xNe9f9vwEyJhdanKewNVCIftkqy7CCHFl4eMTAdyLn1Bib8O4AhRHRYSA53nW/Gho
wlLPN6JtPqtgy+FIfPm/3IazHEVt27TRQ75910CsoBMZjjz2tmEhFLKTncYMgRgHmNoNkQzYvOOp
fJ3CyL1vmsKnKhNdWq3PSwR0lJhcmdn5TCnRnnxHWlWEm7ja4kdoOrIpJ7rhe1pMgbdlvkW11deh
fiRpSOdsCsmbwlkMIYUJJUwXHE41Hd9/L3/5sFFSWfh00K9JWitvXwuAgjyFhi4BzyfRtVlH4Q5v
ili4ysltC+z6wrx9PuQR0pjsmhGs/V7P314vjNnuJqrzH+eKhXnV1Fn52UxBxOSgTesLc8j5pLkI
43gwHFrs493lf/9jMfP8JMSkXCZHa4Qn/dDW4IL3nBz7DRy6kPBS8OXOJg+r6ovWc/pCVhEqkH/8
3XFApEvG5I0gkkLp25to7UkZhZqKY9E12XfupyO3Dr7KOikyd977fiBuEsBgF/ajZz8s8zSjfZGD
clbk5PT2shaLUh8MNMySERD3zsNCSeHxSllt2exAzOQXHvP8egwedly0IjmSU3Z8e70Cr9s0R8In
Z4J0qKuyKMIXivCEryChAtSdyHG+4BD96yUxRXMUxc50dkDLccehW3C9Y6PasrsqPBXtq9TxIKyp
fByI+gPRf+G1nhWZ+XwXYyyyauor7EdP5pFQp8TsFlnwlEJqA340m3n9suSgzB/GBnjLpsYL/v85
O4/duJF2DV8RAeaw7axgyZK6W/ZsCMv2MKcq5qs/D30202yhCf+bgTGeQXWx0hfeIO/1yku/OFQC
hu3gBbDMINFk/V1VV/jctYi2KwsH62qv0+eHKqk6eGdyuObXrBcOVkny5b1kTt2cEtFl3wBCoMin
ykiazy024j+qLmzSF7wT8y2k+2ghH/tkOaj3IhqpUm2DWzZ7zVotq9CzHoLXNla6ez2I9O84EhRQ
u/DGRQEtDcyFPXcVKTNnGpMTqhwSMqWRyz2HyQXO43yOF8hOo/JQGGl2l5auy2nu0a1Aqb40N2GU
oQVJdgFl5fbdeXWXmZYH+IzNZ5H8OfZswniJ1kkPCuU1rGos8DqUs/YSWHm4t1r0zW4Pdj1Xm2uT
eVLKp7iuT1//P3dZa9QRqlRV8horSn1X8rQcR6sy/iGj/eaBp9oBQcXxmY4iLbfbQ18/4dOaQtub
oLa8FPNE2yiAlCOqzdjAC87A2M29NhTonnWK+I6AUQHOK4rWta8I1MTy6N8eRMfCYf/k4E34dloK
mKNOwcS0Gv/5ABhXKDhpt86LIXv4Q6vSqOu3qA8U69nF+21cwWgieomoN8O0B1juH0wlR/hIq7oY
GTg91B/FJLG9sO3/9DMuclMIfZDULSDnpGucwcsfpsCDwrM59l7qWB2Cr3HgdPEKD4JxZ2eoHe+g
ig3+vgwDFYUYW6KLCMdcIgQmguCARTHmFhD6/BjHMhcxOixDUBkpq6J8CCyb5NMMBngpMZDYXeN4
/b+gC9uvNYyv8RXR8hLPSVutym1aGcbrwsJPP30+NbrvnjZdr0RNswMWx8moOXXLAaNrIrZRYDhr
LDaDu5pbhnJyFEDN00w6HKqpPaSDPuxHRySPDkrKC4ftKnzlK/NDECewzQndP/spDa+OY/u9j2Ss
YWUHiKLBObA14Wyl2gXtKnNdJCwDPK3fbn+ETwbmTQN9ACp3SkVmBw9dzabwuYFePEsgJ6Zgj/ct
AsbX7uG79BjmYTgVBqEyLpy669uFgAz+O11laq4weC631R+lIAizwWtdW1oGX02r1oCsK21lIZi3
UFm+DkwnspfumdQ5yfHgblyO5paizluIMa9Nmga/Q9+RyR7JY6N+7pCms7YDoIuJKm0r9WNW44L3
BkoCqWNDS5C6k2qlLByrzy4drrnpNZtKe+rVsUIV1axaO3yNUNA8lTzmT02h0qHRjEnIsI4q5GGT
/i7LEOoH5Nv2K1yI6v3t1beN6yPwp3tExwFQBZ29yw+DGwIiCPjivXRKk5d3aN9iswplUoc6Dz5q
3GZR0YI6QwsQoGHrWN8CSwIMLLE0bw59oeT+ycfrDSMpMx1+950BI9f1KudZR1zi66iFIb4rrdpW
a3/o87cBvqO1dvEEr5/AOiHl15hZ8GUMwvS30xB3wNbLjUfhgYHeBYkRR2+uioruWrElnnWQ9gcG
dxPoF5xn377XkEzfWk0QiR1eF2gH+VXsanurqJV9k7qQgCyfdIm6lup7GxrERfQz1sLqIMA0IOWL
OmK8li37HvKvlO6OHYu6pecOifbQeB0WioS3+ddqiNvhsYay3aH+roTVPSoyqvHDsFJUmSTQ3mHb
o10BsTV0cetxo2p8Rm/R+Kf0cuRz0CSLTrcX748+zuz+moL/6fjyRAM3v1w8DMxTC+V+/6U28+FX
Z0f2GYUkEW5CV7FxYQVfjDw51EqcmYYaNdtMulnzofOc/VE5QoA7kbXAsret6icTNDOah27R/DTi
HEGKknLZHj93WS5cdn/as7MfTiUC7R9uPTLGeasjyvsWGTZPeQnHPGs3QYMB77oI/AFzD4re4UOr
t2n1HNRSdfcKXTIBjb0jpZEZ5l2rEiwx2ZXoDBTHlb5RzS2bvDk0qYwBpqPg+DH6KjvCSNXyh9bF
yZuD8Zi5BRerYjpXg+zaFqOePVtlZ4PhTGyLgWUW4w7YYobAfm8TFIIxXyLkqvhoqzJsh2pbG9lS
8+E6rpw4qCY8I8RALIR1LhfRrh2zsJHofE1C7D2ecaAZv8emaKMnAZ3rQEtEftzeN9cjOnSaoNJg
1gJqcg6iCnsDj57Ey16jQOoqpHad+CFzWrEK5PCC/U+ycNd/NiAdaoRfgS24FGcup4htgubovixf
0bt3D7w4EJSHJo1+lT4WantV+qVcqOhdP2sOBCCIkHgDT4Xe2YWfBkrmjVpTvsJxkXgQZ853mRoj
RiVZHq8N5PCqlYCqvzDsdZpCPEGKyD+gR0LSu5xpVmDjbEVO/tp5+BY+4ejWYhrj9dUvaPoA33XT
HXHS7eDvr0ZLaW286EHtN3//wTlXJEsTNdNCBO3yZ7QOfgiCiOEViApUbalaW+6f8Ltt+ugvEHst
RK+fLDAMajrWgOTo1tizPVz3QaeAMhCvBaT5fVb4/3gY7j0CfpZ79HPC19sb+JPHk6nRMGHbmBQ0
5/2SnIZ4NwxG9erDlcMTacDpA18BzDJXqTCGneB9D7fEFJr+ALIavVmrLbAy1XokNhcy08/m7lFk
wgoDKZ9rxQtadPCjW/Ea+H63D/SxfDQSzRjBJBTPqO3TGLs9+z+50OXt6bCtufQ5xaA+5rOXcWx6
lMPzVzsyEW3yQ9X6oB7Ve4exxIgdDc1JCnGQAUOrMOsjQLxB8awCYcuR+ja6Gr/GyoXDoeaKAd9I
w7vZA3uLQI6ZkNFWhlluZJDjvaQ2I25fDdcIgopuY8BDKZJ2F6LVisusCx9io8SYo331esdceCY+
OcPsXwpqngnWCvzF5S72zFgxertOXyvRpEcV77JdmikZAxrdfVmOyR2vy93tj/tJHubAbwTIQsqL
dso861Wpk6PN4vkvUUbZ6QcJCBINqwKYfrAS9VCa33LcKfAl7YZcfXJE7d13NqCs+2Gs4OCsUfcr
7wuK8UulxU9+GSJaJGJT0Gi76rxhn+nYcwp/dF5NoNOvbDSxQVnW+KfqhL63FRm/6yGmVqHXsAeC
wC7vK9j7OoKJqHyi9KMNf33qaRfpk0QgCHlq37PYcfDqyMETyHkNIi3JV2JAyS9DJKPHOhsnhTIB
/rWwJa4P21RXVkEuO2C2nXmqHkbY+cVt4rymLY6j0JLAyPMRhlMUo1aMeqnoF4KsaRKXh40RKahz
xC0CFm92tXVIGLhpzYiJP47fMd0y1+k4RvZKVHm7vb35qDXMR4PhAJRyepm5UNV5VuRbSQUIKfR4
P5yx+RHiG9Gi7hynafxBPQYH310whiiFVkUd6ejqdGg5s7b4zZ24c1LvGyAsRaorzjrGpoB1FbiH
2HWkB6uwUyxzBd1lOsVx624K9KiDH/gIoJNlof5prWM08MShD/PgHo1rET+qbk28BQmph/iTdeYx
qI3AfJrQ1smqnPzk+RBa3GDjSLdXK+57vRyI+IHraOnGNV1luIfTqn/Rg0xazRqcgwpnDfdcndxy
8PSTQuLPE0WJAVwrTrcocZjoVVmZ4e9QqUA70VIF8rAK5hDvTmu0T1NonxyEHVs72FdhvalQP8g3
HTdFSr888NChUVQgw+sOdSH11FRGra4SQk5s2ToxvrhK5Tnb1PLaj9BEDGrjWgWejHWnvmm9pQ04
nORm69/FcVH6j3aIyR7hvGa9ZK4vMW3XU+3dyhM5rKpC87/GRd+Zm2w0JFrTRq3/Jh61jHPOMSwe
isBC26xNxuoDJU/xQzTU0faNqskHzrOirGI9wCgjSYohOoqCzqvRNek3pEmql8gMqgFZ1MR/RRzY
gmxXJsk6a6nXbXBRlw8AkYt4HVW982pDezvj8dEeEyfxf7aJp6UryvA5vjh6EHwrvcz7TY1S87dA
1avgLS/od66zhGQArwlIm2t47nX6lOMc0z3FmAV9OLVDPjVoMXXgyvBCOHMpjN1V2OhDsB8oHJab
yJNqDT0rlx9Ykgj3IdTCGB9OrFQiHJQiD8O5HL38L+7o196LA3MelRA1sx9cfehO1D3x7pCmh2sp
NFpvLdCtRWpVhCi9DtFQvdhjjmMASLmgXsWxXZakadMFgDGmdFaq0nj/IJVQ/GhKvUuemFS4QQjf
bbZj54f3PjwzfWV2atO9DS4WlRt8XYd+K/yk+l36oEgJRNVuxKrSadJTQxtRh2SIgerabKXmHNG1
9D86/E+Ut4YKN07saoKzpVM2frgPM1TeKM0MrUBLthjGdVlmeL3gkGBhF1TSdvshavoia0kXMdvG
yDlNxytAPi+KamwWGvruiOD0oUZC5pUwjfBuxrIiVitIBbbeat/aHKbgd62sTP05gBnUvBl8/m/U
cor2wwyxl8Q625N6cRcGafeotpoo/sH1rmheAPWPVNg6gcARqpzS+dnIIO7+lWFk2k8S5Oi4y8ws
H1Ylmv73hRp5/Qpd1NJgicD4Won0nksMGqwHbI7V/qFJ28lyQiBUuUaAmaxp48O0fQIkaGX3/Ifp
toac2ttrMInUKVOiuIlYQxRzwNpPi86ZlYQI/KhlfZeOFXr4Y10P2CCBwkHgOMBNAHsps3JeQZ8F
uN0oiXQ3eABhA1GLqnsWeAhqd5GqKHu7jS1vj2cGLqI1ylMwgJshane5V6NkpFfpAGw/cGVwZ4/e
MB5bs8TYiPn6xSmO455sMhUgyrRKt7+adR1oWzOrs9+1AvH6b59KgESweygz2hONZK6bmhVajKSo
mr5pZVP5OzXW+98KdhvYuKN1L++RdNIXUpHrmtcEmSJioKFDLgQf5jJ8QrinkSbL+CqNqFilFizW
GDOsL5WsuLzRLymfOoQS3c0gU/lRFv5kv2aiBJ6Z1OX+9uGeoMmwKQiTiRauNOlizHeyQM/7V4wm
LUjiGh5ISl2bK9WqnRevVoKFxvzVu82AqGpqE6qD/u9cwyKPVGdMG2N4tcp0XHVVaB0yI+nOQ134
S9SMq0B1Got3GeyKxpjzGqpBWaxEmXN4VQPdevEBZGMaze2C1jjC3PfmaGrR3k/9ZAm38skkSbrI
fzzSPHDQswiZ+CFwWwoLr3aaK7+SIjjWlKaijY7oklxIO65CL2uiCEKqdknhcZ+Z9QFUE10KKzXc
1zzH0r4ox+wjJKWuVv5gWa96LYaFxOo6y6OoxeadZjbJZM21BEcqiKld6dDsYb5sAUyrT1Ff5L+a
0NaeNCH7e9WWxl4brRYPN2TucXdqzW+3Y7J5Rg+WAWQSNWre7AlA4F6eoohmNh5nTvamD0ahr4yS
ZqfWFNEHngLxTqgxKfyI7E4PgbwD1SowjlioFc+31/QT6PTbFLDBX0ISvfwJduwq+B8GxVtjCT3Y
eEbtgbqs0JnynLh+DBsh0Poust+3Zz7N7L+RL8Pigkn7ERTqFOXPKvRhV6IXKfTyzYXa5j/7ec51
xVLJ99EIg30ZtEWwyXIywS8G9Pv326PPt/Y0+kT4ZenZ1+y3+aQtLKQALb5RnoJbleWF85Kkentn
yxZy9+3B5nsbpRuKbyi9TN0/x5xzUZ0xQYYgSZw3vasn5wPTC1cAGHt3S0NN/zADzLsXhrzqq3El
OVP9wuDwOlwcs40FSbsrQuFVR8y/oUqsMnWwDJQDcicmLKuy4ABMstPOhdoTqxPPj94G5IzxUQQ6
PVDhBvjU9DJxRiy3VBVzyz52453PR3q0DN/mgTVwZkPL1u2/kPu3ONNPpiDrwkCg8ZeqBP07GuHa
97Tpe/vt9ge93rLohMNohVvLlwXFeLl6yJLjGubm9bFBI+nfCbT4KMgPjkndD2ull/YDZpXx+fag
fy6Eyx1L2gRuYYKB8dDOz2rWBG45unlxRCNUlOtM+HhWNk4U0GpsHOsuRHFzg6hTFuyyQVjOvYua
06GUijD28FTacqXZzVDuSWf7A57SaX/QB6XuX2//TvPqYIEodnkHiW5hL1mzWzuyQMYkldTf8IMt
4RdQxan3BnaKC2/u9RFiHI/PSg5OEXSen2t1gagm/f23tpLxsMPB+pcF9AzP3BaT8oXn4bNJ8dZO
8wGnSSv/csWhHeIyhtTQm5IraD0kQR7eOahMDIfbH++zSf13nNmt1LhanOJzrb+RC1TYbHoAEvBg
loM/eZ2DKPv74WCEqGiATTfvvE2H2IFT9u5ovEWFnvOol9GDZUXpTxWP56Wq7fUnpCQPm3G6d6ch
Zy9sFOe1E0Y6mYafdN87pcTbpKXeevrbKdFvcB3q4iiPO0zscqWqStVFTDf5GPQV1llaU49EZXTd
Jucb/eP2YFePCFVKHi2wHRpbjUD0cjAbGWjNRbfoaBRJg/9jlnsfJH7weNzGHB6Bi0VHK4rLf7G4
N7uFA3B1C02DgxWivUr/15h3fYENGGNCPeJI1oTSjqfLzNjkSB5hyByk/r4uk/xO8+1xoYj42aSR
RqQgDirOBR93OenIxYtXOiI+hrXwKR6iq7DFpz44jugDHotkSuu7RrUxf7Eq+68fM6AMlFHA4png
SYDeXo7uoA2DeFOVHrOYMq7RJfka7yvlhymr8q4J5VJN7upETuMRfLFpQfla8y4kIE8/zMAXHiEk
uMp9iL1oueuxfABGk+SDt/BwXp0StMomDJbDhoCPOi/Q6rZwdCJ7lLNEUGdUTjLzlzeWS1z7K04G
bfkJdjflLbD+aJddfkacrVAErrLh6EaUR/5B8dJwNmOFMewmFm3zxU6ppB30xvb8rUFLjRprZ1dV
tc8tb7hPncjCOMru5HhAZL62N7VVDu4WpTrZhWS9gxjvK7tKxdF1sXgpVFVoqAgoDZ5J7Yg2mdAV
snq8jcno672epBElmjK30VsU8Y8wksESx+dqIfFFmbguxNwTXGL+ZQWRnFP7YXMcbcUBl9E73zT0
mvaV3YiFfPh6KPYJ5VQ446p1jX7A3C/oLMKfI3yU+hiGiadjXS1fUcSxmt3tK+g60vpD61InkA4w
L9earSTA2wggvi6OzYjq8t7vZXpArNjDW8yPavEv9k2YkIJ0Ga19aDTlG9D/kbr52FPs0HyZFeB3
xzHMN6p0lJdBzSoMlirZAx9oAxOxHjMYf8YB5mBraTf6vxbR2oE8cSh3Sj1JXcVKKKvnClZjtoBs
ubpqJpKoR8hKlkKYPI9cOeIiwYG9OWqObNu1BsUYFljZfO11UbwPOr7fJlqSexTftYXb9SponlYP
LVBOIhVyOteXB0TzsirwETE6liG1vLWGpHK1QqANJx8RqZXcZyEmTQuDXl3p02mkrQmDiANK6+Fy
0KYiqHRKvT5qldb0e3w/c9ApGM8bG8K17imHkr3DyuyvnxLGpWxB/Z9owCNXuBxXCAvvK0O0Rx1B
b0znEbW7RwX2zoWo872l/IKYoK0v5dxXx8TUGJI7dULiEsHNdm4bIuRfW75yzBtqmnhqgeVYea2S
Zju/c9Jye/ukXJWM6KY6Nl0VNAthi8DGvZwlqCPwbfkQngZA6w9RRZNcC7v4kUrfl0gUe9uMtGcc
3uUThTrr0DDlp0p0cmGRrzJ/8NVMmJ8xyWBOva7L34FdSMZ2T+KTDOS4NdNIx6InlFiA+4h04TQ7
hvJxKKvSX+Ff21OwByICu8CW3sInudpv/BL0HsCpUYHAI3b2lNdRV9Iu6OOTwXudQL/z030XjeFe
K0fxzWsHY0v4vnQ9XvX6SAu5riY3j6n0wT8uP4BEjK6Neic9JSg5P1coV8arUs2MO9EVqPr5iqlE
aPW1Vbkya8wHhFs6X1wAVOG6KatqyxrS9l3YHVcH3pzUBSjIoE9FMW/+PsS+p3VqUJanEpPwGqN5
FycCaTTOSkrTlauwapwa5cjUCTZlPojq0GOwkGyxKFWObl/FvypTcX9mSk0f2ghJxNd6GjZ72aXd
QvXvT4J5kQryf0/vGLsI4DjLf/kBKzzI5ViFwxvYzyrHrIZYDVRPBJaNnq3sVm0UcK1LP9VAHnXu
5KnuWem/Zqtk31gbOTwMgPzPONDof9s3BSzA+ZrwWlxlPIKzxQWqDjCw8Xqk+h2ccJCKedUlLiyT
+Wl2h2IKGo63l+565RhxamKCnMfRZw5LyU0Pk3ml6d/SyM88/OtD/xHDHvxIM0ziQHr1Bl4U/8uY
kBemmJDy9+zuapI201un798i8tNXx3YHeARl964NyNJw6M1/b4939RLyVR0oGoBuqIRCN7tc8QmY
UrOO/Zs5WveBzGWxjux0OOmlo1QUzVDKYwfLr5Wwy799hBkaoDyxKBvNBrN/OTSKL5ELPnJ4o5wu
D42rWBscnq2fRanKXdJY5p3aBu4py836dHvS04U83+YkGgD1QQYAqZu9wXam+a4rGVnLxuTF7MpK
0IfXtI0S6MbfxmxIUlOtAtxEbjPl+ZezDMrKwyN2GN+SRpPftN6tH3xHqZsNLt/mUu3ikx3LYNAW
bLAuU3JxORgBeZsg2za8Aa6hqlq7UmhgYZumXEm1Cb+IpPKW2MGfjglPcuLxOSCxZzuoq1vErtqa
CQbWz164+B67tCaVXZEIU8cxE93aze31u35e2Kwgr116B1A05wp8roBw4rnj8MaticGuAc3XE4O+
Fk3mnHza84fKiq2ftwf9ZNNcDDp7XbXIxnc0Fnxbot+3Ui+ec5kY53QYPm4PdPVBJ373hDCciLXT
Hy8X0aqwZUACuT9aWG+KlRd2ODz7CVKRu6go025t+1QqD7cH/aNg998zQUdk4u1P4HJuPW6Dy1HJ
ckctdZzyFPfAdrDtpAIINDcleojKGFvMihLpHWpB+qEKNans3LHS1Ltch5K7D0JDVvej9u7YpXiH
8e18NdG+39HrHh8rJN4qXL5TB61V9HedEEJ2bw/qfqgMFARHxaL2RaSIRm0DgiB8C0y/P9R+gBWi
HWIRvgrKOAjX9HSMrwbqLd0B1Ks4t1EKIZZHp/sWe6Hh/+rCPhh/4MtT/irQzH3s9dbw1iCRQrmv
St1NFj7aVeQ3tZEggNMyI5xHgXIWV5tl6/hDZZcnYSlJugvRLcZaux56f6+R7WarsrSUZhMbY/vR
13Z2VlKrc3DAtvT6IBCv/FvMKNm9qqK/T+/FRORr/oPUsgyl4/r1ScuBceC2WwDN9nOMb/xsHJNN
JkW3cBivoq5pTPoc8N8ojhHrzPZrgIdU1RVFe+pyDUXRCDkn2IytmeJmjH63uXW0pP3lxSWy5RXm
3l8C6Kv9bixbEyy8NhZijfUJJsILT+n8wE6/i87TpHfEVU+f4nJH92VX24bflSenbrMvwdj4B9Jr
rLR50Ia/jRUYjJrgH2U3Aj1U2i8HE3TXwOMq8oT5gPHh+4370wyMLthIJA4RiHaQyV7YffNbkCHx
LkbhElQjcnJzI0Rp1PQSnKo5QRcf18LLqzMpr7qTUDp/Ci6n4iG126Jb6KtN9/nFRUE3nuoD7wsh
IgdgFodlMrLsojWVoxF7mdzrte08G40rv2tOjPhLxqXPdZU7xQPyG8XSov6xorscno1NL5y0ElnH
K9EP4Ud0oofWOarppF9s9W7afx/jAINBS9hOfZIGsBg36yy2XOGfiCQV6zBgbqyudbNOfmRIc3r7
Dh8Wdz+gmfrmDjF6DYkuNbkdzRZYdz10Zr6hw6oj79oL8ImjbFxxMLE+VjpyB092/R6OBs7lW1DY
DR7EidY1m76kvbJzGtU7uUOkxvvRzwVFqUCLt4rZhsk+KdgJk69Z1Wy7AIvGPSrKSv2l70Ove9Zo
wfwmjXPL3108DObbQKeqfLHkYDJuK9AXxq2bUqj4Yvt0E37dfgTmLw92mlNrgyRlKhLQh7rcxJHa
OJU7Bt4R7Rycvx1TCY6AxLKHUo9Ke0t3CMH420NebWKYKTAR2U6krdR9Z0FgpY8FdpJVcerzqLJX
NQpsz/WQp802C2x8njXf6NVXLcCQbPc/jMxZpfdFqxa8w+VkEaUeNcVv8xOvXsdJKdWVWuvNs5Nr
KgWRgRp/irnqwnz/xJb/3b/Ig2GjYNFcoj0+NS0uh3VA5hgur9+pJyC0d0Jq1juYe8e7r2jHODsS
68loHTPzXR8r6gO9OaVYN54pw3vUeO0IL3N8sFYq6ks/MqUt/ja4Avg+4T844WTT06+9/IE4lKsA
uQrl1CS2MPGB1MsfNAJEsfUHEwVDa/DfqsFzl7jK8+v6z7gUUgnpsK/hDbscNxQt9bo+D86K5Zcn
kHTGJhOt+xK1YbG9vfRXlZL/H4s2Io8WafncomToNLesNEU5ib6UD7Wsyx+IXmRbJdIRLtEqPE0z
dDesNR56aoxCoWbf1ZYjl/T45nfp9Dt0+uIoqGGwcVUfS8xBceA5+CfsYF3jMAIm/JZKmNgFAGqx
MmVgRus8aEb9MYt4Kpc24xSfXGxGmH18AAALFGkwxJ5+33/os/2IB2MLcfDccBGu+2xKS6xw3DVx
8mwPJuLmWYM5l11b/5IM53sEjrqFY3j9CaafMCn0stmA1s1+QmNU8My8LDmbiVVu8BrsnrLUVZqV
MHiqk1bxu5VuJ3Jjekj0L+yDaU/N5+/AhYAcT8+C5/ty/lGG/V4NTvlcBakKo6ZTH4u08Xdhn4qv
4Nm9uxi27q7n3ly3Vh1tG63CYRpxjDW7Kl/f/jnXJ4DPQNpPDE62CFHj8tck2CW7NXr+5wBB5AdF
K5y9CbJ2F/qZON0e6rOvzt4neYJexB04u+nx2EwiX4vScz/i54BTSPZdOmaHILRI9nA+x+9UdqF4
1WmylKPOb3yK31SDUYRUjanJeFXhqDq8O3ovObujne4y4cVvathMMviZdT9Kr3r3Fc1b2GXTfGYL
TZsNkTqHjjR8qlnQ0vdZ2ijSSs8O+FGym0JEWACMQ438sElDvNWnBKOt0wjahyfTo2b22pIo/yfr
OxUCUCqEljEx+S7XV9GMKRoosnMdat5zmlXJszPgWFmPyhJw8JOPPLU4cOCa3nRjjiTJdLwcokrL
zyJpy31jqH6wThpfQZkwgVhkhyORm9sjinV7X332nXlN0WRDDovmymxfJfTASGyt7Fz4fvtP5vce
CDRkLeAflHehW+kPJYWs7yBOtC9pCbjm9vCfTdum+E9rVUUjbV7N4usHSlXb6RnYXdY/9DB6SF/5
V3djTx1hE5LWbioaV/bCTfrZvGE8EJRCnuEymT1eSYujV2OE+VkLLePR1IRnbx3RlfuisuWXCfjx
HcXnAiRYCJ9W1fLj7Ynbn+xv0p0/OBKH4G36+/9c5GSZMZTrLD9j56qo667I+2CD7fZvH9vUFNbm
UP0PtxU5x9RMhi9oXXWUu3iqniO3cvb04CPIS6XEqDodv1agPYft7el9cnIYi3LIdElzX822lfQ6
p0exvTgrvShOI8GHWPleXYA5C4q722NdJfWTWg1XMNcEBREy2lkAFMLlDZ3IiN9LRcfzqOhEHO+j
rg63tYVT1KqI0u4rOuHKU98StewJ5q17R7h2vGZnxulCvnUdrEy/BwQwrTuVPsIc+KRj79qKOoze
Bz8wMkR0utbfR5zCcuWZcHPBqsmo33pJGfE29TVWHwLIe4OuvuItKdxebXSdXsYUNEEx+9Pbudxo
gxr5bqsbATFrXP8cssJ5BPLo+/sm7od+D/WYFmYuSmGtG1uP47scefOF3fDpb6AyDcyV0AGU5eVv
MAZoTFhzR+9CWuOmI5Y9KNg7/kiS9kenjs4pMjLMynM/HNdBlYR/e8nwCVBnYyEmSXkYo5fDF13Z
FVYaB++5GjhbrvsqXtHTFZu2rr3vWqNUjzoNgoWb9arMAhKNvtYUrEBxgqU7e8IK4OejjIVyDkSI
bRi0MXWNfnuyT7H/OGVm72xzt0LBPlTrR1MU8aEeEpDjgdo9d2zMhbr2Z4sAjmRqG/CLrtA6PcmR
ABsXvBt9q7WrMDe0TT8Uo7ozctj/RjY4j4GfiEMxuMWG+2hJC/AqhOF7TH2SqWWFBM6826lZuI/E
9hi+J3YUHPM68c6Kl5uPqWOmJ1sBVLeJoir92Y/g129fEVe3LUNDTKDUNUEm+XaXO2DUB3gaFjtA
62VxqHNTshIVha0KWXWrLd397fGunjUw5LxqHH+4AFPKcDmeMUZaq9lK9E4018GoSWvSQl1FdcVS
NyNKDV/DgN1we9BPJol1BeqHU6aK+sd0J//nSUlcUKd9p8fvXuPYzypmehtRafbboEr4JMqSlNFn
c/yjBk/QAmzamf7+P8MNZCm2pET5HiuB+2ioyrjWqYDgCha23toO1GyH9Zm3cLlePSx8WTCD0yme
MEvzWrtSdpBWezd5zzE73sHOBe7bjOpeQ8tjqUT42QzBQhD0ujQv6FBfztBsJFdqVirn1oH/1FM4
f0OB31q3Y+wcZGslJNjYFNxexU9OCZVPF5r5BCW8KpeNoa0Y6O4oZ6VR0HoPvDh5N9BO2QR4d2+o
ZBrtOs8L/cGJbWfhnv7kJSXOReDORreWQvlcMiEvO1WPLds/BwV4upUO60KsauRSw3UpNf8fm3QD
AIqVZiuP2Lhel2B8KQn3A93WOu32t7/F1WJP1Up2NAHxnzRrtgAhMelQ1kZ4tjGHvbMHlJVWkQSG
sklrQBALIeHV+ZlGY1+R7Ez7eu6E4utVX6MSE56bIIl+j46PPopTtV22Hhr7A7udesk+c2nE2cMk
0JxPJPYuZ1eJvK3fZuq+8pP7Js+bahWWg/d2+3t+Nt6ku6UDNXEna9LLDa1mcRkIaYbnqCp/BEoz
7NraSY6oiagMh9Xd3w839Rkt1D5oNczFtGlQQy1Ngvis1jJ6NYWX3WdOIHYKhiouNHvpxne3R7ze
MKSq6CXwwE2Nnrl1CH6dHSXBMj7bEPpXlddq+ipGwGaFiYK6tHpX18MktYQ+AZpasJh54S+/pgvG
V6P+G5/dmLtOiZXav0fZrC43vUDufeM6vnGnhTjF7G7P8noZGZigl+h6uiquAO+DnljStqJz2NeA
4YbSS5WNYkaJtm1jR546TRvLhS97dS1NkwWCB8mOAwKM4XKyKjCS0cUt91zXdXHyowY2rzV43pOj
9O7RH9Phl28IjDTNNERU6/aEryNqKm50j9Hwh7QCeHxaiv+8NZDAYXgn2EEQ3Pj/ZMJNXrIsNIK9
kvnWB76IeHdR6te/Gk4ospUcZL/Vc1kt/I5PtheZmgXyn5cdHOLs/PiARrNGOvGZJtnYbkVsJcFW
TbqBhqHiLGSIV/HaNGfi1SmChNcwxyEIHlPplUpy5j3AoMDLe/lh8CWSlT3o1do0It1EsKEu/8nz
wKdnkZTJ+fZ3/2SjkZcTsQPOQ6JiXv/ACnR0k5H6FjLOjf5SjmW4TwL6VOuh7YKdOqap9rdR6lRb
5Q0CDsDB4k+XK63RYekVw0rOY9UIuYHmTjHddsviDcHE4uAK6f0MBsQx97Dx4UpH0g8XQFWfzZoH
H3wLU0d+ZPbqpH3iIXqupOfKJ2+F3uykX4pcLY61l+AcaCddsbv9nacE9aLYxaTB6yKDCRaR+3L2
DiRYTSRA6NNzZsax3MZ5qw+HCsWw/2E9sR2hRUByiqDWbBzAJVYh3T47C1M2R+yAUZPFwfMR+nFy
GHVjWHhRp8WazYtOM0nQRJhB8WF2aWAO3ULlc7MzxqF5v7JqN7ubwPNr1Gucp85slHe28RLu7PNR
J0Ls/3F2JrtxI027viICnIcta5Rl2ZIHsewN4f7a5jzPvPrzpP7FcbGIItRAQ2h4k5XJzMjIiHeA
94EykjhYfwWLTtZ6e4QZ+togLFi4jR43n5LEx600rY14R24ef6bTu9Weun3vAWTkqPLClbkU6LVe
j1spoxEgAJm9QhIYg1+Jr+NE1gcq1o6DpAVfyZZrfS+TuXT/yJ0+oHWZ1Hm985W+e2jGCvF1CZHL
rXffStDSySZ5ifL44o25+FlmoSpB5rAcigbZ/lCOquXShbL7R9S46nF3fyuvjPZG3hQatkj6LkNG
oYMs6Up2bhEijf0SpJVluV01WMm/hq/q0ca1tDYc9Q0KefBGWfXFDqMFWRdyDYDRbFt8cSWNZ+TO
l43mj4Td34/7c1s5pkCXOKPApqB4L5tQQ5MYo9H1BbVSM3OAZiiJ/qBEo2ZsnJvVWaH9QsECCgi5
0/VOwmu3iIl+xetUJuUPxZEsN9IaUAmF0m/cMiv3OnB6pKwgm2DjLi9CAr6YHQIHdf5q2nPXY7ZR
9Y8zEubndE6pT3CEvg1qji7trHUb3iMrcZa7VHggGW/MGrEKf53TXM0wH9Km/FWuMlN2dbPmACS+
dWrmIPraYQaysTdXAgMB3YE9QIYPbFb8oL8GHCfAuFpKUdKCwP7FCcx03/DSPAdzmjyFflkFB/p/
QGfvb5u1ecLMJxZRwiAULooPSlu10aRVJVFwqnYIVkSHUkuKvTY1aIdI89ar6WY8vieaTlxc2M1C
516MhzN8Q1kpVV51WvGPhVo0gIl0kA5uOspYDaHIsdWfvdmwDEl0IVcQhDtwcNcrK+l2ZAdw2F+D
OYiPYTo1n5OwzWhejA3g9fvreZsN0oClCQYKFQg/JqmLjZNqbQGsXlFfY2Vqvlp5NTzbiFNZxywD
8rUbktKozr2ixEclhZGrmJX1ADrjvVwJMjMyNE4p+C3RsVnEHo02b8b1p732vE7PzqyPniFhmUZo
zR/sxjjJkx3XW5MXZ//qThWjko4ZtJ/hvy11FHOcUWlB6erraHepF4d9fBrtxnrupgYx02Acq3+g
cI3uKLezl5d1vB+hxz7Zsm9A9anM1kXXZPx9/5PcbjnuPpI1+kei5rWEIBQJPBG5M7RXKU+jf/om
Sv29GQ2OeiChC7JzjVFut78/5u2eY0zaGMgeguYjO73ecwjgK0gSmdorRpjWrxj9z0/VkIx7nLm2
rP9uAj9rTtWStjtIT+Bbiw2n9vEsblD9tUcCqd21QZCn+3qQtgz4bgIU4wj7WUIiGRog5OspBXYn
4w0RGK9ympYfgVHoP4M+r90mUJp/DSNMUrfTtK0rYO3jmUJ4hk42NnzLa82UprFI+EWvbScnGEoa
KEiRV9c9otWNdRk7B3/o9387GvjQ8IDMI76+SNHqtqJVE9SoR0Wl/lEKLL06pcNY76qiR6Hn/mC3
X4+uEBMjTSA4ETeuV7VoQSdkKB+8wo9TJbTswPkd2rqRzf/dH+jmLuVlCBhGSD2jacZVcz0QsH0A
SrNhvEaaHPigzkTNAecl+UtILDvmdqia+0GDVTNatpUe7o9+u3kYnbgodOO445aaalRGyzzsTOO1
jJTx1Ehleq6HqjoXOQp6QQNAyHXMqTreH/V281yNunTlTJMqSlNVYlR56r+Gs5M/FJ2uw4NRjT9x
Nc2n++OtrTF7lGoAkFlizmKN61aJB8UsTBqLc3pIbTU8UC6N3MoMmidlQLMq9tHZbpxoi1+5NlPm
SgEE9yTByb3+unGPgNnYzeZrIBvpwUp1OcK4GbfYQ+F0zZdwCoYt7Nn6kJwQIScL5mZxrfYjMmKY
fJuvVZroZ9R1/QPyo9AegHCa4JETs/rn/vKubSIaqQCkyeLBtC/OijQBCU3QeXltS9P2+npUsyO4
hE7dxYHaGgclKwoAFw22iFu8q/WhGZaXk4LS4mJ9R2ZUGZNuvMJ+CJGm8+vnMMHB7VDXSvMghXzz
AE6Efb4/YxFqru5TYUQnig0GRXcOrvgGfyWFyTTZedyGmddXgXw25NEcgRUWv23ahq2bppnBk3Ww
9qaCMH3mmO/dz2+sDwo9hF/sZZc4hK5vZXMcpdLrokB1J71pPSVSugP/hoxfn2nflXrSHq2sDjdG
vllvRqZHRcWMXFFAMK4nrhWjAc13qLw4wFhBazBYroa+OGlDFD3ocxl8iDBK27i0V1ZbiGmK2hkX
KsjV60GrsrQhOTa1FyLW5tVFUH00/BjXx57Gt5NGysHUwvJQj1P1RR9a6Xj/Y9+mjiAERAeUai0I
OsCk1+OXeWA4eaLVnjl3aue2luT8NkFBz59lDUG2k0WyhIioaUgNqUuU52dJaRPzIZn89/qgAsIA
gE+li66DptwU48sx0fkASePBUGs6N5g1V5+n6FesDMbGDXj7qclRsXMR7V8hcbSY9ZwWQ9U2fuOp
aWvsMdwp3MR06n0USvVD25WfyH3Kp/tL/RaJrw8W7d43WLIoA9AHuF5qXNEcWih67aVxWDq7gFQa
WXyrUw655jQfU73SZ8xRaydx5wTiNTCfRhT0wgjmqz5KcNUTE13DHaEWEs8spWi127FkPWuhIflI
uvfDh7xtahmgVGcobolZZ7KT9Xiy3B79/XZng9iydmGRzF/Tpo5f7s/wJjrzARHioVUHi48m4WKC
AFGBv1pB6+kpTrlO143HcaRrNs91c5Dt8v1VcDGg4EcIpgjlf/GZ/wpVALScGrfA1kNWVPfKhjYr
V4B0DCxZ+kBltK12fVfFByVGbn4X2hr2UKkcfLk/7ZXNxIzBTIm2B4+vxQ3c941fjHLZeYDDws/8
0h9InAenHkr8Qe5q9ey36hY67ubWF4LTwFeI0gidQ827nvkYxCTLo955aeX40a4goIOWMWrN7SZZ
/zBYmX3S1MQPXEpPl/vzfaOdLDYyRR9eXPyHrcYyxUHqtaGa2qcedfjw+5DI2dke687aVXlAVbOs
mulYBGOauG0WDh9Hxal/hq0S/pHqsu8fukbpYCvie/MvKrvj59j302NnFMXZVHDZ1srnsDjKkuqc
Y9iUp6gDYO/en8Jt1KVshXQf6E0R6JckI7ym+zpLo9Qzkin+0UK9+9imZYhiKCLXB9yX0r3S0UKB
iR261aypD/fHXzkp8I3oHlGYAL5vigz9r43rtH5TBHKReaWthc/VIIefQkmpHjK1dVyo1tZGZekt
F1t8MiB6vMupDJowq8SC/DVglyYop9hK7gEXqD82qpWciz7v3cjEftaVar347DhB+K1SLTwP/H6S
pV2OaMZLAln4U6pazddprsfOHdC82JezVb3Sk5j3MB6cfWqY7R4EqPRCdzjp3KJJu2Q3opBwrjU1
+4r8frqzptlE7EzjlouySv+YJMgZb3zWtwiznCaNTlYUlB3yj4ujOEoONgqlmnmO1RSmq/uTNexL
sy5ytzWa4SeoMOfB6RKkWulIasGhbhEKehjNKNeOUxziNJL1ZfRPM5fSBUlZvT5CB9QNdyypfAhI
EMYliP5pHwAmVaDl1NB8KlVEGDcqc28ylcuZAGqmmsK7V7nRn6qctquLdEhIfqIaFww11hCfRUZp
p1I7Pk+WU0x7oaH4iaZNHLodXZmHTAv8b4FRTC/NoA+/NJk24d70cTPdx9lsHlVZSndVmP25v5tX
AiBhgNcrr0pu72V1tofpANikLj0zVaTLVGT9JxAwKKv4JKuh3yTn0vCz/5C5iMUheaHyTBKz2NKj
mtDUxaTLo0SRPoyVJp17LeoexXPoo6zl82sCvhgerWx8GIM020VTEf9498xFyEcihBgC52ix39ox
kxHw6WoPUcrOBWFAq3uw0x9U/MdPGvY4e8Ql/HeyzgVYlVqfhWQHxnS8rK/PsqKnPAMr5Bh7RLsP
w+SPfONieghD9Xs4dfODge6Cm2d4dN+f7W3UYkDiPQJXALOhql4P7BSGDAO8GDwWd3hoGy148EdZ
Ooyl/Csr7WYjSN7eceTE4n2JmB0TXQZpNYibNsQxxnOQHD5bZoy99WSP+8IKtX2gpfFLg/n5y+B0
9sZEb2E/Av7N4ABtMI9C4Op6pnJMxBqjdvJKLOA/dHOW7S1Jd3ZxlSrfZV9OjiUG1lwXqLYj8mNP
+yYc1PMovVsJhjsWfB48JtGpoqy3yKnCca6yYmhHzx8n9XcLuu5saHXsNVVlbMxaFRvnOubAAeYZ
QKUcxAgIr+tZJ30kmSlMPc/pR6fYadE8E8x7+tu7ZLbs0E3LlFiIv0iEr5FRzv90FJXhIkD9aR7C
wgm/1zCVsl3nx9VnraRGuY+QmJA+JNmQ/TQMuuPoniu5jv3r1AZoofnG9/t7VJy45RwoGlIL4ZCI
3PB6DrY9VTrv8tFjTaHITqUi0fEENXWi+F//vD+YCDHXg0G9IkZDe4IGB6r4ejAj6BG61jrFyyCM
71RN6vdKawUTrmYyiuh1qJzyCiRCm6hzsIOJMj7f/wG3JxIYM+WXt9lq6nJ3pMKbGNCQ6g2BMLdV
zeJjlk2yO5Sy+SfCwevdqS7j2fCNqP6uNDNVv67mkHKFJ7W2fzCtBIVzBj3QV3aOUlAGezsERfsf
Jkm+SXuB7IVizPUqw58HDaa3qldyE55QE08fsi5rPxlzWx5yPu3GObjdQlA/KACAUqV5zZV2PR4Q
aCmdyQ68YEqTSzM3LZ5jQae8TGPPq+r+5Na2EJU7AVKFjwxI9Xow0i+0+pNG86y8VsJz2TktBoS8
a2qXGOyXh6LtBzfQh7g6gBi3nrNIsrZoPTcX+JuMNG9aYEw0WJdwC5oqJYVKzfRqtULQSgcce5qQ
AtkZQSFPLkL2vIiNzRfxTYBnWPjPkGx4wsBqErv7r6Q0kwx7MIxK9/LZ71xT6bEIiODB7+NYMjyL
evuj1eC9aEOtP99f9puDg+gBlFkYexoPAB4D10NzoiUJGS/DA+QX/4S/HH9wJt960Us1PwwRjLL/
MJ6gpNKhEpVL9Xo8exrtSbwdPT3Wc0KoNZaxC7kg+mT3RXiqUczYmOHtNwVwIPD98HQt9LgWqQkV
vFLxOasehujDdyGW/1kDgn2UlLrap2Hef6+z3NzKW1dG5UkFKI5WKy+NpXpzks1DipKA5E2R9d0J
A39XKEq3z3wTpbiq1X5ncttsOTHdHFhCMG0TWtGA+XmZih/11z4CEZXCTFclz0777FfZmtxJWlV+
73vL+n7/O95uWTEU6FtyPhAPS0UGO5H1GnslyfPNSH4sh7A8aWOoX2oNEuCg6xQc2n52yRf9LezQ
ypalxCGsgUWhENTq9SyLvuyUMQqDi0a7c/qSqbH0q3OkrPqtDnOu7uE8+/Xp/nRXxgRvDBACjDke
dcvMfqpiGgpqHV70uCz+2PnUfRhHq3qZlEnGXA2j8ffGejCqdKaICvTe6CIvPqU+Othylmp4wSwj
C1HBpb4wlu0PmuY53hT44t2f4MrWoWNMBwMwFuC2ZZ8+bWstmwPN8aYSUzwSF16VO6mDyIsbAnFn
I9qvDQfV401XnYL+Uo+rN6HjT5rlew3CKQejoqDkyqovn9V6SKuNtVwZjPYlzwSB1YcfvdgwZWKW
pHMRHjBGl6FVGvbSV2wwx3GHXMG/99dxZaNA8RKSFsh+C2jV9eakmdhhB5SGl1QtknaHt0XUf2ji
3FL39ZzHCRyPBE7NfxgUvAy5MX3vG+557OQptFhL8mpGz19ahAI7N0Kfpd6lKSre+MFDL9rIDlYi
HGeQ7UKFAXjV8hOWTtSEmZOFF2Q82nCH1Y2UH7EtlU5zPFblE1XIpwQ+wkYF5/Zjwu0gLRG7VdA0
F0mJktURD64suti1CtIYoJCxK+qRC0WZ3r9xGIsQg4YCDwK+6vXHVAslgXFURRe0vNUHI2+1Iw4e
3RNQsmJjj97uGzEUAAKZwQSp+nqousURVivr6BLj7P7Mdp1+NMJjVVGb5kmdGPT+llldxr/GW8QX
eRCqjrIdXsp4GCq3sPoJQUPVjKWzHefmRnS53SvMzsTEARiZkMtYZBm1pBCgNWZXOr0+7ZCppw6G
y0qOfpJdfJpre3rM6Vx/e/ckeTeLdyuMYGjqi++HQ0QIVMaMLlHcR2cl7ZwL2gzFQQ6lTYvPlQXl
mcybAK1KagLGMsiYrWoOoRpdOqb13SkxUEp9C2JnXKRbvoCrY7Eh0UMSLcolerZiP2T1MIeXKdP0
jzDJpKe0RZprmJqtN8faUNhFWyTEXET0iK73pQNcjIKaFF7mcMw4bghdotTTDU2wI4Ba4bsjmShE
w34WigIAFhbhE9etskMiIr7UtI2ezaH4PkB7EvVw5Vs0dN2X+xtEbICrdyumdn8PJ2b/V8I0mUVo
BEEcXvJhxkaO7nd2zNRhcH7ajVl9doIScHczlIbtJvygw/3RV8781eiLMy9F0God/KguZh/1vFzV
3vW58p8lPNrA/upbFutr4721hzgSQlJg8cTKfd8e9G6OLw7Sfo+JE0tfA9vqoRtPxq96zIx386ZY
XkrsQGNpoLOFFhMsWrXIuUGiSz85/ld5VPOnwgzKXYs51sNs9t0GPn/tcwIAwUn4rStjLM67o3da
1bcGWRplSM1tuqiXn7oprIZDjrPZfHa6SrYwBRznGAk6YwtPtLbAdBUEegnYHwYg19upl6wWQWjC
nF3qA4ZvJXnGZFVeBkfgX1ZDOt/fQGuH0xSGCchhiL7bYn3TVIq0sPGjS1rW/Zd0EL1OTY/iBzOY
ETX9D4NBEOObUvsEN349udF2+mS05fBSSH7Tfa7bvnpQi3IqP42p9m6/enIKWvHAjqk7CNTSYmoA
gBHhguJ4ydBJ9Hc0ejO8DcfIcNGLnlt3DKr0p41J4E4NB/yNrWzASV1Vko8jdb2H+1Nfub4MdjLQ
blC6BKXF1PM8T/s+LTk4SmEan7XAGRs8J33nOPjsbBeYfhidKQKVW3C4W+oA6wD1UOMFAIHzhiDv
t1mkpV2bXOIcm8p95bfTd930UVNsElQBdeI+fxVU6t0GSUkvH6q82I+t4XyagG0/wXkrNhI/MdtF
0IQxIPDnIjkC8XS9EbQys4S3V3zJMyObdviQojyNhXdwur/qK6cJVQCoGjqvRB61i0wP1ZPBQcEo
vah6OfKUlEFVznOTBq49ZfPvrmqsl/sjil++mBnNm/9DvoBMWBa81ITrHTBldkmDzH+cJjMaUWSY
0d721fnfqHKkL42vNFjZ29YGe3llsqC4iJY8bGnX3bwbzDBPxpkWtdbnl6qRW/TkzaiC2yvlL1No
bsbmla9I00iQpUW5hW7V9VfsZdzeu95hdeOsGw5F5bB5KzxS2424cdtDEIpQQjKerAho5/K93sWa
UafVnF3qyFePWJyaWDPP6m8eMsGHVs+jMyI/7Q6ioG7sRG9ll6BIcYwVafp+//vegHyEJBmVIJ6B
QpAV4YvrSQ/KKHdyPClwxMmNObe+cupNK6JEbBuukYb0gHscshFzS8bgnKSz/g3d+a3H/XKfiZ+B
6gRizYBDYKUu0o6sLQNJaXLF82spOWmdHP1A2zw8oMXYuKNvIVc0dYX9Pzl3ALy9fw3Ir3gNqwh9
IjOtXq9BafaTOjq96mUyQpau2pW2smOt/aNT9HW/03BBPcuQ6P2HKo2Lr21HF9uNMi229/d/yk2f
hXUAaoXuJYwgbq8lpW/UJ7lL4kT2iiggI9GzJONNXhWZgHjlVcC5kzrzMZBMNftWa6ikf+g0ZVJe
iqSRYIMM81xgLiPhq9MGde3vpDjq/kGd0aSomJraOOywBPaHnTLOGu4kmRlWe7qyOc+P+1NZHl8x
E55t4jXMZufGul7UvpjUocLU0StiYzrV9QzspFUiO/0w6LFdoU/VRvbWjby8lt4G5WzA2UbSnI95
PWjk910Qxpniceqc8Isx1eN46LmeM9A9TgE2Mo7ocrkVuo9benPL1IOxTT4d3Ui6HOzixRYusHeh
tKGqHrodSnC2B2n8U1HSylAOyaLD/dVdO7e8HnH9BgRPvWH5uEJzd6CwMmhe3MzFcyjr2V72yy6n
h18N/G940FnnL0o/6SEQwWF+TNXafGe7WUyZdgiPLl4mEMnF5/jrsQCLY6woLmle4k+z80FWUFWH
M/cI+bNWDqPhNMjpa1bxsXKsLReulf3Fh+a1x3qjS7WsRIBfwu1iHnWvy2LlyWjGuN6BcJa+TU5k
ajvfMsuNw7k6Ig8+YOO8+m4K9XmqViSsmg6qwKgdEJ8xxjFN6OuXYZrjHxTvK+d8/zOvhEXa6iaz
5FlEIWRxiOpEolEX+brXD0MwnZqgxCuvtVtFd31Nkz62s5Mq+37U/Us6zFu97rXRsfywFRCR1LWX
yCAzrKtCp7fsOdnQh0c7Rc/7QRmtHphP0fu/zQoTzH1Yt1aBvcuIDsP92YuX9N/Jh9heZNZgtYmI
wkv1entpfhFnjRoqXtel6fjNqrX0WVcLfaeXbRoc/bGLfkrIH3efMEkbvjYOVkzH+z9hJaAwsmAp
cDdRLBVL9NcOT0O7KHFk5Gqo6xYTwEr/bDWV9UkefSU8TLVEJ0wr8UfemPrquFSFAILRugXJcT1u
h1LkhH2x5uEg7X+xAe+4QW+A6FF7P9oH7Vj9Coa6qd8ftAWwgquQyg2wpUUMQ3+9p4Sha940lbGU
u3rXJWdFkUCwSDTu1edElfx2I5atnSsBZYeBB8r3plUuZ/he1wgqejNqmS9qnOYHIPPNSYmY8KA2
WzSMtW0tINWYp5Jx3FwScYN7e92xtrUvW9+7NnfCT7laq62bYPbc09M0huGhgxi2G6q+2IiZa7MF
dyWLp5wAaC6ONN9cksu+1b1YS8CcOunU93szH8b+YKkSToyTHyn/JVgKULMo2oqq1SLDseqmQwQy
1zyJHlzt9so0Yq3dRF28a5VG/2wX8SahXeyV5ellq/B8wDYBFaLFY0V2QIKKrqenwsCrd/UAEPao
NGOd7pRgapuNk7q6ruC1eR/T7SNiXZ+YamgtdTRq3auMYP6qplLHmZXin80QNN0htYxwq9awFp54
hlNy57nAXlqEp8BH2UMxG9PLFcN/VMuuyPbFWDxVdX2Ryjg9KUqf2NSrZ9XNfL/cmPBKiMBDEUdc
YiOlqyW2mO40iHyrMD3M60fzJPW+GWA3oA9ejR5ZfTalWk72ehZN79VUIS5bgoWswOwBA7FkQ5j4
+ypmapneIBXaYZYw2sqywnTOjpqZf/gdpvTOt+D/jUhTBRYEL98lL9/IbHYP+lyejfYZLkdKWCO9
ac7nUfary9y+l+/xNh75I8JfioKeyOJVFJdNXOiZbHmFic55nymw+qSRcmfoGDNKR6PeHGmu/Iec
meI1ZRU0w0WbfLGjFJvaf1vallcNmhwdKkNLelepnD9SHHSqW5qDtrGJVvYweEEBnUGf2ARQd31q
Jm2W2UWR5XXSEHTdLh3j8J+yi7NwL/dIqqJ3NzXSydHnAmmC2lJ5dOQIdN+/ZVdCBXEPege1JCqV
y5L6aI+QfiLd9NpJ1fqz3LTIbmQktp/ajF7pxmgrkQKGJgAw0A9owC01esNhSowiTSxvTuPnuR1M
FzevsHaN2P/SdZOy5eG6NjuM2oRqK0CemxpKreIKmOaV5dlE3Ni1lLp9zNDKinZ60G51sdaiAoEe
sVTkUjmi4sf8lbBQH5y6gFK31yTS/D3MEFJ3gb1F/SmI5/EMPrQ5lIE/bBW2l8UTcWJQYRCINxrm
tOqvx9XUMe1M3Te8IKl135WoFOlubvfjf/h4wADQB+DZITTOr8eBm+kMeqYbXpJmgf7g4z8xYeoU
OP6LFKXxwxSX7cYZuSnXvM3NRDeeZiRvDm0xplnqKLxJtuH1QeUPe2MKspb3a2JZBzOU7HKHMmRk
7rUqTT84WTz9SJxMUd2+DtvqY5lIzrSRQ6xkMOTjPDI5ttQrlolxkCBQqbWB4aEJoXzNlLp/lPxc
7s5l6czWoZPnOMNiIIWhYKtZvIUGXdvQqCDTcYahwHtoEaaaSFKSpi50T9E6gTCeutRyDT8vDbSd
0E/ZSErXhgNnK3CngJX4u/jkGNxwLDvNSwtbb8+aVo3VCTM5y3nSs0pVz/eD0driCuVNCNDc6sSk
6+HiojKsVOsMD0neIHf7Yjz39Sz/k6On/t1wOvlz5Uvxi1U585/7I68FJqAtkKSgtiOAsUhhWrvI
M1+qLU/qYmpvM6YxnLj4J5DqCPBQ1ryT6oZwH7VqdhFlfMol1uKRERRVDmsgZGE1P/mWB3GfPCoT
Gla7uQsafF6spiMfnyk1v3eijMwGIlxQPea6u17iqtAmvnZqeJmDHXGcmDFKtwFwuy/qwKPyDPCm
MDdSiNtdxMOdW4b4RFntRoHCKrvJLHNQEc0cDaciqiITo2DbOFlq3EobE7yNhoA20Q3UmR13zRI1
WWWB0TRJbnqpWtZHQ6Xvxl+lV/f3F3JtUtRXuLlxQ2KkxUnUxkzQ+1LTy0KyxD0yblH8vXZQRyo7
rIo3TsZK0YnzLkpnRHpa+sv8xB7stusNcGZmgWHjI+IauFr5RWE4uxE7u6NRSIr6walSo3iwLWqR
bjxl7asft513f+K3R4VnMYB0nCUQqAHJsNhBaoN3VxBEl9yQk89B00bxISkhXO/trit2WNIhMHh/
yNu4IF7i4nMi+Qk6dHFaogmkGF6rwUX1DeXbFBqtvyPBML/VLeRMKorxMxl48ZUqoPb+z0zg49qj
56NCPFicF61qzDTVTckbQQA+6hJCyFliSV9bIAqn+7NcW1jKLrSmiQmQfsUq/JU/pEmTzvmYBJdC
GWp3KIbg2Yn9ad/N6VeK5Ma3+8PdpiuqKbqI3GGU8ORl6Z1Hhpz1UyJ5aR7CrJ6VbpwOGR88Ouho
loyBW0/AYwJr3IoH4nNdP0/RiiLdJO9kM6MBcD3RpguwJzH98NL55WQeE0T6rFOLRfd/WFCeSBRK
Cbe3vgi9VnKjhEZ0UWConzDLHd1ZgXOQ2jM1jsiQqM/eX9O1T0iGRL+GFhOPiEUqVpPzOfGoRZcW
9s1wjOhZ5idnqo3wDATXqh94q1Uv98dc+46CcASSCY0ZytLXq5klvpL7+hRe1FazPg6zPO4yyZd3
RtE6L2Zn1IdGz7b0AFainykwbygpCRLQ8kRKM9hsFff1C5Zz1ojzWVE8qMijvzRgZTYi+upYvBjo
2wkhnWWDKsY0TKLQAfo0HapnOZHLnT9kjbMvOhwMN/bM2t7kTHBHsj1Bny6+YG4pQWo5YXRJ1Db7
JStJEZxw76i2DC3WJoWKA5gaGq2geBdRtAlhX2tJ5ng4MvbHpCgsf6e1baA9GNPcbIl0ro3Gy0Sm
XcCjGkGD6z2CbGM3Ba1ie445Gl+HOar+5OVkzDslJ/PYCJlrSwhSGIEgZobvl3o9WKnOiOOgf+29
Cc5OCbzeY+qj2Hy4v/HXbgXR8BEQELbHMjkV1Ac76VLfoyhvZGcnsKInoqr9NCujTYctsvMebEZa
R7/wEpTrjeHFF1pGMbRHBERZuD0tj4AsM8t+riQvwTcicyWt6Q+lWhWPRdNDsByd6qi3cnSCkp00
hyxv8u/357928KnI0EEGn0ZcFh/9r/tCCcKk9GMCeNiV/pMPJ+Qp0YP4Y27MKbaXJk2LOtM2DuNa
IkLdTfQloHGhwiR+1V+j6rkCRdrn61JJrJOnoqh9t4Fxq53ShuonDn1+Fthu3M+q+kg7J/vkG+gr
XHJ5bn7fX4C3cLr8BFQdBcCRBykJ7fVvCahW9aVT+F6WpkShmuU+Q/4s/V2fKu0HuXeCU6AkLVzo
yThJoBSz3ahNChrWFPkxDq2SfWXkW/D1G5yMuG5kMDpA9EAn4Vdz/bvoEqVqNA+mV1hRLn+VRgBf
dJDqrj8YaWD9MLsuTndyh5k8BeEmHCG3w+x340SbvmlqlKc7nNatLYW/lQMDh4q8iC4D52bJi42s
wvE1I/C9Qi7jysU/uHN2k55QEAdIDD2jssb4h4wmU/tBreokfbj/vVZuRyxg8YWGlCukMBeBYZyn
xG7Qx7hMY4ODfeR0exMjnZ0ek8UiaDxtAZZWjihFd+oimF5TB19C/qxGaWWVOqXXgezJ/tHzsr+o
xeCfq6mSnad4auPsC5QGw3xWYnVwdtUcbAX6lVNKbKBaIhCkQujwei/kdLd6f54lL4pnP9xXuSOT
slbgK/8dElB5O94qle9S2ajLw/31Xh0acAUsEZSS0LC8HrpvmqHpG3gNk1Y0wznVaBDjuq7N9YsZ
RePvYdZjkoW41rfah2tRgtD8/4cWd8RfUYK7IVb7llw2Hvv+YHdBvCuR9juifSI5Z8tIrD8VvIVP
jZ7XJzlvw/gwm/V7tWvEOYQWBJrjrX6xLDemfgb+OdEkT50EL7icdO2lKZU4wEw2TU73V3vtdDEO
j1z0fIW47vWUDTwzqjoYwksPIVL+Iqu5KrmobEz+vteT4BHNJDv5DT12OOVl3qgbw68dLlIxOiLY
h4DSWyQU1myUaVFXwcWv2/jolFn8ec7zioJYXn+NAW6ZG9e8mM8i+ArkJWsrADPwTK7nO1cwnwr0
ly4oW/rnQXP8PVKh6OOYebO7v7TrQ4FOEpLFeNgtAodkpJg3zUaAzfmQvNaqSNxVZzRdpe2tLUbX
2mCQAWkE8KoENrv4jtMccLHHpe8NsorJsJlo4XQcpCaYD5aBwuLx/tzWvhvkOKGiS2WE6/x6GZtE
rYMCQWYvyIFq7AE9qeOukOYxdntH6n9SxER+5T+MKbJpoJMk8UsAh9q0Y1CIp59RZbw0LTXZJ0he
PU8h2nCBPxUbe3MlDiOeCNtRIMyhpi2WVEckXpbgeHhWk4U7hp4/wHcsHrq5PDdT73zDAd064tmN
drBdwOd9/1ZF6BmE2Zv9IdyL6zXGU13xbasJLq0yxeemm9rHLswUqvOVvwVpWwkDFNAQmBXZNuKY
i2OBConV4ncpcecUdf7JCiTrX1NtA/3FR9gXBUDbydJDblVWv6+a8t24emIekkeU5yHSUjZf6jP4
AQZ1MPr5tqUynNLa0tB3CWkhlWPbfVCY8VaHe+XAiNnCuhJmo6Rj16sbqJmupJEPeNOItZ+pPczP
czjrv3JCz7/3N+7qUPSzCXB4NFFKvB7KtIIOG+Y6vnRogvk7cnBYO3RyhtId5bTaqFuufUqKpGSW
XB+g+MX9+tclpqtjPLY1hIx07rT6S1EamfxsxmY5fK/nyHJ2s9P32f98RWlOtRE4+sbLfiU0UCAm
VRLxgc27GL9sfN8PUju+lIE+BW5I//OPPmX6N0trjP6YmWO41QZdXWD6eiCOgNRBzVhMWUR7Bf+r
i56b0wiPjoI8N3efzp/9eFQ2lBrWRgPzR8dMIHzYQdej+e1Ya8g2Jv+PtPPajRsJ2/QVEWAOp+wk
WZZt2WOL9glhT2AupmK8+n3o3f1XTRFNWAsMZgDPYKqLlb7wBjDGIzjBw1hHs/MRm+pC/5UMg7lT
RtwejnYrzFkI2GuL5FD3whK1vDQwZJHNT1M9N+FDUnrWP66M/9RacDmHXDf/M9jyY15snrwrqnhQ
nTQoTVDU/sANKI6yLee72injvdB+a2p06Em7VWp6vFvXo1lpgsO4AhFRVFkoP49pnrq0EqCxPSFe
Fe4pv2+dDJpyKl1rUIDcd9fDFbIulamZkgBQXl/4VkXorgtbK5GSiuz0Eg2uVxq+XvTtP2reDvIN
JwMXA4sZL56ga6XACp2SMqocdCDaxvnZOpNzQXA1O5VKazyRcil7t/rm96U3RK2LKhsKBdcTlqbd
JdS7smDQGnU+eplS2L4ex/1wKNTa2QPTbg6HfwylbkD4cHiuh+uruJcVrevAjo0BMkWjzdmhVZ3i
IN2h2WlpLmd6FchhFkBSRo+Pa9VeZatTKFsh8zQPvG5w6wd1SmbjYRjaZCeK27jO2KKILS7oK8C6
q0nRkor6BjPRICxGHHq1xLTS0U+GZjpbtTLP70okFLPT7Rdjc1C6FVRj0dGgvH79JQcjRv1soax0
YygoS4xm7PlKNw7tUZaZYZ+1uRF7pJSN5ePKJijm6l6Sz9Wg0SIGr9dqFihWE5cYaCDziENZXYdV
crRigWbS7VlunEfa/w44Ehy/UateXduajNp0SvosmItSfDZnuhmHMZnt7mDVXEOPnpLZ2iUOB87I
KOdpD9exOT4WaMR26G6BGr3+yvNoozwTVnlAZaGoz1YlpxOaoYXxmGO9Vx/iUUcEzI+qUHUPjVL0
7rfbH2Dri+vYyi+JHqu9ltzxgEjKBOPIoI5q632iCfGVwD0MsdWSP28PtXVcwCEvdVvSBOp/13NV
TMmF1M0iEGGkjcdiQlvo1DqEILfH2ZwSuAf6Sr+FpFcJXdnYpB/SEUEUu9avrmtc3247cSxTAbvs
DWNRYAc9QoWGFtv1nIpc2lBdvSLojTxiBGcM4EpiiUKLYw/CtjkvhDJpO9EWfqVegRvB0HXCzIM6
szLtPsuG9oLVpW5ftCbe8y9e3r313cY7jNgcITH9pvXGnLUYEk9VBFmf2uDy0Mdw1Sj/mA3CBFU1
jv82qKPev+FrLl6Ti4Ylku6rC7VxsrnschuOUdbiGyrz7p/JanqUAaWCsebtwbYuOHI4+t3c4bz/
q5e/GM0x11R2PuDd3Lk0cGUmPwGXIg7qrEcQakGn7ImMb62hsRDMSaoAkq4BkB4tQ8SfYFG5uNok
PrpkmL6ALHioIsfaicI3x+LRXfzNweyuaVIUamw9nMMi8MAGi4MNYPZUWgNWdpoR/ykrmaiNDjtI
I6aG96u72i8u/daqigYRFK1id++T3Oh/6HHe1Ae3VrvPQ92ppz9fv5cjLtN/EScmppO4dm6LwAD8
jBdpX+NamcaoS6IuEbvvSBf39E62tgx4DMCcSAIz0dX+TGvZt0Muy8BW4+jQxt74IVSwmwJwI+z7
SUvFlzfMkYSC+AL2KKjO6zkCp5krzSvKIHbi4gLOEnZ7WSH0P5nFe56MPZDL5pZ5Md7qOhusqMjN
SJRB50QiPAxz02RLfCp+5lrl7vC8t94DqqtUpvBfXToi15ObWhYuApMVOGrRFMfGHvXq0JZu/Ybw
iXebKjL+NQuL/Xqcauy8LqKoEDQAK4Gpxp8aIwnflTSI3svJ25Hk2JoVKEagk7/lsda50iyhpmii
LwMDU2z9lEsR/6wRqNoLlbb2Itk8gQvHjbmtZjVYCpgvI2VWrpUV5x63Sr8UizzgCCOzOtpOu5eZ
7Q25WjDUkFH44soKUqeJnoqyDr+kc9vdaf34WdSN8Yb7i5Dkd3QNX8xY5UrElx4i7qZARQJ1l6OT
OsbZDoum/mI1erZHY9xct4XeSr0fOMC6rxwros6ieGDrh5bzKVW6pPGzurJ2nritgG+BHwKppaf8
qk0OZSIL28kSQQeCI3yA/aV2l7yyQQcS4b+XFvLbhyaMS/VRzNVeE3JrBV+OvrqlVaddwhWX0Gg2
1KcI89YWUyWtxN3X8Ub16EEc2omQtr7r8kEBBaCP94r6Lho7x5dWE/jMFOlw0RVtqM+iV503jUOG
BDYPkPRaqq2WBeVmgvig0IRS/e1BSKk+eZRJ9nBym99wgVkCXaMUvNb0IsRboLMdB69OCuUSF807
cyzPeS6cD3FZhuIN79yiTssTALnWXV9fTTWHCpFnGZhj2Nd+PoTlcYoQ2Gtq2dmH2ELo//arsxX7
0XkjxgS/BUBm+QIvXtZGigGWblYF2Nu7J2UcprtcAdiZtSK+zE5TPntVqOwMunkwXgy6CsdEbWQo
rStlgL5f884t5xbFbt34D6VW40IC3j4B8UcYWee5fcN0kRZEkBZ+FZIf19MtI7uK4rwtg5BW4oh6
eOj61eBmfkpgcVS5xrsDkit7z9LmwaDbTZ6C7P8rL+MqGyp6mhEXjktJ/4JKm+Oe5tbcs43fXM0X
46xW05tVMvfUJmgZ6pNd98nfkHs0159M2qenpM3rxyyS8g8FvpZ4EI0NIP0w9V+LqCTm1FXqvOQP
c6GMl3TshHqujbEy3icq7Oqda3UrcEGvmjo6byL36ioYJGtouxGricC0oPvhUJZ12aPaWZWNGg99
vT2l7K3FozUNlxfAmgom4HrPSBOlfy+WInDzhoIWwGACwrrx7D0/pK3bhseIz0mVwnp1+m0NMYcx
JelzsjL5JUs9mu9Km5N4rtyqRfHdMrq72+dhc0ia7vAp0cZF7+F6brM+GerkySIo26qIP3pWZRT/
9aUm23eR7F1sVq3EaHYe+y1ICl3K335/1ENIyq5HTVE6dtQE9bu0mSPrZzvHenkmmiq0fzWzL+cj
QmO5ful6tt3HfMg1Jz3ASjGsnG7UEHe+U45Oc2nqNk7ewyfpvt7+Kls7bBFvWTpx5KfrIlwr7Qit
kpAdVsHVE5M39/6U5tM95IE/9XFfDs9v6SGwuPSi1tCHYlR6t5umnOR76CnO5oZwn1y3Ct+bYE+x
AXRnh2L/G+5BujY0NjlCVGlWK0DOLUViKHnQleXUHNU4roYvujTT0Fepkx+8LP3hunNh7yQ5W2cJ
PygU18iMYamv9lssKdnW6NEEPQxX7xvQMakkB00dm3FnpK2d7XJmlzYfKN018EuMjVTSaiqC1u3K
8Kgn4fSfluTqg8xC8cNqtelye9NsTQ08JPsGDhXA1tXUnByyuZwSjpJSyPEplnOTX3CDFntelVu7
c+kELVRDSt9rUWlebGvOBOm3zHIDoVGtSbo7V5269tzG07C3VTY/JORnLgjicsiG14e1qHo4/nZe
BkKO4yUBz/XgzjbotUQmjnNI43EM3/IpIXwsnWgKaGspqSYDeKTqigi01OXew+SIXoXZ5eW/t5ds
c2pAvZYwktqQsbrZUX8aRS5JuW1FJjRnuhjKZNKYyXDQ5Rjbx1TAatk5ekvmtK62UfhGG4OyJSDB
1T4pMqPMpsEgSHYA3VlqKnAtsef26MzulB16GmYoYoXhXZFm1Sdqg9Wv27PeChLQkDYxq4KHh9/R
9YICReZNoZ4fqEmG5lgoVa06Z6mMftRpBRxHRUgvPUK6tL/dHnjrcy/Am0WFCmLjGn2TTimPMyWH
wC0V9USKoJu+3UsPalprtV8x9x7nndBkc65oHcNXQuAVUbvruapVZfSOVIpACmdIz5knHe+dolRd
81NJ57g5oA4BLNsvsH15S2gNfx+yAlgn+jmrO7bOK2vQSrKU2ejq75GVFs6DB7IA9Iibi++jG7eG
3xsgrXZ6VVsXhEcKBgNxIcKsq52qPbX2pLTU+VEK7U9lnLXjg2tz8X32Zqxi9grjGwREOhoYXZAg
cdFyaq+/ctVCxXGzlGp/M2jfrDG+NwedWr/ajdH72GmyH03ax+9S1Wm+6ZmI3gNLLr5o3WQ93d5h
r5f7t16p+r/78hCPrn8I/t2lMwMqCxC8q8+5oTgPrkQHxa+bNGx8LDFMRAbRgvt0e9zXO5txf1fu
eG7MV9raWElYSY/NRGA4fXXRczNMTxxcSx5yPKCWpa6ynSh446MvY5LJIIMBxGwtneg4UqpW5yRB
uLSqVEWb/sUhaU7eFTUA0lM42qO8KIMdkwwohXuI8Zqhr6aI7OiBrtmBDWz/HPinSEYspWFjtQcS
6gECcbkkcFLCVl1pSvm3gKboV1lrn5wkyR8xK87hFzvqFCT2wB8i2pYeSU0wCd+5ZDd/DjcsmAkO
wIKFud4J6kxcBTM9pfohMzzknDm/0ykbD18nt5eNT00+NWy/JxZFY6J0quwgRKbUHxTbTTpEY3qr
2nu4X0cI8GyI2sABUhh8pRgH5l82CB+jzDq6dk1SVmnFmS5augc22hzIhqcJ1pGQZM1Xb/TGtuq0
joPa8Oq7hCpGenJKK6kut7f9zjhroYVyUkE0AbEP6liROWysLBnOuZMjoXF7oK3ztVAjkaIDPMol
c72abqOqcCHHJGgzlNt9am6qejFnxRnOtW3l4kOWq7vaOq+rFGxlolQONgkStoDXg9aaSwgSoYUa
lUMZP8ypMf7ytDz6MJZizC8YDsWU6Ie5v4iptrO37GBmDHcItBjP5moH64nVaUaNlLXsO2zuDezo
+hhS9XmMwGD4eRsb5oeoRM3rlFI3Nn1t7Ad8ytzQ1f4VlSr/VFubIhF4fZ6ypQfKX6tFkKaK3Z2H
pmY6WOJbrs4NPRjYHSe74HDfXvCtnQUEn2oC5S4OzerbxwCQW21Os0AOMhwfZwsl2ns6FKO3VxHa
Hgl1XZDvIC7WuSj3dpghv86sItOejtjNF/K/XCrVXn/n9asM02GJW5HQt8j1VlNKc5SCHCUDjqPn
6DPF5Xell39P8+TsXX5bUzKoIRDXchBesU/yUKET2FlZwM8YctTzF01Chw7FnxO0mRJSIPRa8OnA
C+b6hKhGr+pAGdJAyla9693cnS4FYexRDo35zsot/QHEQ7dn5vU6gr4eVr8etrCBbAuH2yCJY2f6
7JVDnvxsdAvxisqJq+RD5sZ96OuDWneXXpHRR0Q0QnvnTtqKNZCYgZ4JxAGVjmUVXlROU9rJVlfF
aYC2F29qFCH3IFAJ+wtkVNP6c2eFCmZu7bxnfLu1kUhWaL9yBsml1y9tN8SlVetpkIDsfgD+SEyj
O+hxHawRzP359kncHG1ppy3FkCV2v56mF0+2lQ5jGvTwh071NHpfvKSaKCaOyZfbQ22tK+0DzEmY
FO/kal1xdaxNq0JKfLTjEAS0jn2GrxMgpzB9Iks/tI4BbLbKsjzxIQo5B1WLTffz7V+xNWH8ICjD
I11EXLv6vI3WdXNvijhwQysCHzAmWvVUFsng+EZfwh69PdzW04Y9CXIhqMOToqy+rw7FV2Kggaw/
Jad/e0v9NnSow6eJtL8Cg053htuc3YvhVrs2qs1JwxMOnqhtZM1prIHoPlXzDNCDhDfZe8W2Dgmt
SeJ/mtoLn+p69xStdPVGK2Hkd2aZvy90FU9FynfYO14wFVZ+OGE9WCe8i+09/anNmRL9wXsjKVHN
1TryDE4jjB7w7JY9fO7xKoLNpVT50RWq+4b4H5QnZE4awVTAV4sopwEAa8NYca0NBzfSrAeYH6pf
DGl8jJ3R+eN2OiCPhT29oB9RF1hdvGhMTcLOlCiYTVOMx7hAYOaooIqxE9VvfcNFOBx8NSEEm/R6
+ZxBUhdH7SNoZZ18TJumWAoxSoaIt9T1Tt+Z1tZZ4Dpd2ICIW3ELXA/nFX0RdjU5xEgnbPLH2bR+
KhMaXq47pN/m0di9xDcnCOcCugNPsrOuRxoZlQNs/xZl7Kg/533sVQclK+V/lGlCebx91DcHg922
9Pd4MNdlrSqMo9IBlB/EutEUJ3tSy8nXEyWXfjmKPRXnrY8Jnw9U51LnpZp9/TEbVM66MjFRf7fK
4SgWroxjR9nJXtSTZxLwf2/Pbm+81c2iQV6Z0o7sxkG35aM1y/+sJsyeRI1WtYY+587H3B5uoWpS
t1v0Cq+n142aMisGNhdx5tj/AJB7tCZbSw6isydMGaz+DRcnOcAC/KOMhF7C9Xi1jfOQRsMh6G2h
TYcKkYu/2kyG3oW429hJ7rdSDzYkPDmQcdSuVmunl147DNQUglyr1ZNOVe6uAqb+YMeqp/iu0Zb3
yL95/lzrys8/X0ao2gssn7sTSZHreZaDl6sYXGfBJI3vuTKqqW9jo/lgaqP+KCM1f7493tYLQTUS
qQt6LQSRq7A4y4rWEsoIvcGx63/5WVIcizJDY9MujTuiPGT7wkafT7eH3TqLZBca6FSMR8GUXE+z
dQqa4U4HwLIb9ftxoFR0aGwl+SjSSil29urmYEsTgksbYPz6GkV/NmkjNc4BzPVtAIeVA2k5fXdq
HBOn+TfMDN/VRdeSNulaEj9XEyFT/EqDLIJq0EqveHKVnJZOa8Vved49khoyGtDxlDmvv2IxRsXc
N1oWjEpXz3eOm80/7SoWn5JKt3w5Zc7s632k71FnNzcNpOXF0Q5W41pgbHYT/Bddm1wKQj+MPOEd
PKWOnmjno3e7aEP4djHtqS5uXTlslv8ZdRXMoDzrpKRdJKVp3Xw3S9f9wAabL3Ni4KBbkMU6O7t0
c55IevA2QbTk0bj+vlqRN7Et1TwQCKC7CLN4zT8ilsn3fs48f4q14SwG5Df821to4/qh0UMdD8eZ
xeh92c8vUpteCGqXdZIFdj1+RvKrOvZuViMM0/dacYKsHD9nWml1uALk+Z6c2nLyrvsjS5eJQHhx
KEOqZckSXgw+6dOQpKLN8GOr4/uaLEC+KxUn32t9b3zbpQkCCZgOECrdq4vObkhAGIZJKnZxwlMz
PA3glmp/GHr5bfBAMojMGr7f/rQbVwGIBcSElvuOdV3dO243CjgWMJ4I68bSj3MZTo9KskgNmKWs
4j+vozAcUJtFL8kA4nP9Mccys/AlrNiyDaR9T0ut5xjs1B6zauNkYDkFR5ZiK/HDWkOg1+Z27Is6
D8JypMSrlWnjnOU4+U6K6I4f1bEe7lxzm8u3dDkWliOGDKttokSKYTUJ9JFkQD7yMxge9KAURppO
0YAi4g+3jtQe6UxMknai4q2hQVlzJhdK8itPCrfPZhfx5zwwnKg+jLKOvoDPr09dNWd3RZxoRwRx
kl+3N87WsXg56Gq7Ap4FMN9DIEUOyl04OnFVH7Mk6u/eMI4JUHdhqLwOG4H+zsNkGIBQPPx7P2ZZ
rfdPdpy2O2/i5nwWghPYIWKNtfyH6zUOHFw3Bys4GepxaNU5+lwCA/V2NsrmQLBTgZsg6wH7ZnUE
4tyWdSeKIMGD85IJa4xOyCQ6e6qTm7tiKYWhIQSpeQ1LynMrxFooFgHSw9HXAktx7bTUsXJfS1tH
f8dT3WoYT1M93bmut07fosP0f0de/v2LG5M7rO9VXt0AVIf6UXMgNvvQHzXVn0Th/mplOh9ub5Kt
ufI+GFSEAD/D1LoeUVHR6eCOhk/RIb4Yqkn8KLEje1LjKToVeZkc7U5Bp/H2qFt3JzUvZI+p1VJP
WK1kUptzNbRCBGGWepGfgTn7ZcmoIuNw079vj7X1TV+Otbo4vWgAgIFRUlCA+mIsxU7Eyerd6ovW
6ub3Wgy4uv7/Dbls5BfLmI11SRiVsIESQ37zFFlXfluXFiLSkfPUF239+Q0DElRgzEmoaK0LiTGc
Db3C8SSggGpess6y5KObYn2Ms49rFcfZSe09uvjmzqEzBW2aVg5GRteTtERaA+ogOlXm+KcylNMB
9iF0VDez3L9EVg7JfZiEzl6Vf3Pr/M+w5jpblGpTxL3T5kFPyVY7WG4Rej6+NWUG4W80kzfcOcB3
/88s+cf1LEMvz4BYkF1UydzWYLyxtDwRLCs7K7g1LZ6/39gGaAhrbadYpv00J2COKhAj50xO1j2R
YfSuH4rkr9ubZWvhFtdxaiV0pF4JzPEcVlEWq0UAamP8O4vN9p0wdHjNuRtdbLe+63Hy2Zne1iEE
RQ5tZHGQoZtx/RntAuswK+ahBS6TOQer8Kp7AVj7YejySJwlRISdLH9Dk2eJkpB+hZSuIxSzSken
zC4lGu48S9Ddfzr5eGn6/l7pS+cwtXpxiKYKGXvPm0bpN2gry7M1iG4Px7u5rkBqF48L1NjWAPfZ
k41VGIgaKBHNP1818+4hAsDiHkAGVnuIpM2lpaaxyJvrPFzLr3lx8Vip4ujRRCcjtA15PxddZfmj
Peuf7WJWD1Veu89Iw5k7N+zWuwxOjmcPBhnTXF13ZgZLe0Jji0g4Vg+dnPr22CZaPB5vb9ytb0kg
QwRM+YZGzWp2OaZDdWRA+zUVHUmTERei85jNteZ7RR3uQFu3BwOP8btBCkrv+lP25dCJ2JvSwJaI
eyB9q7xTAZ1/BVjcnW7Pa+twQHolTyORwBNu9f2kMdmCChirRmieIrPB38a4nj61QwZQz7P6emfF
tvYJERse0qS1i//K9eTqolQLR8TQxGVjZH5cjsMvoEZYrXZIAsijQn+2uch51vaC0q3PynFAwY9U
BhTA6lS6bVjzAlNnSICpycOUVNpppiA2HFkCZycC/q2JuM5A6Z2SrkNIWlBU1/PkRQzFlMk8sBIc
bCrTjP+idizPpVMbFyUVypFLoDMPVBqHL1jQ2P0hiW33U1ujDODN/K8P7gRj0ccEav4GqMS+v730
W+gWjWiPhjzUUh7v1fsytW6ZdyG/cJrd4f0Q2s5doTTzv1naJP9pmZZ9VACLP/WoqlZ+3GmyO1Tk
ffo59oad37J1jEmf/zfRm3R99bHkMKhaaQK0ycu2wNstVqPkUA5qG++8qZt74MVAqz2QpPrYZlVJ
Kluo7Y8ZU6PqqIO80u67skUa7fYnXv5v6z1AA30BxfPkgem93gNqa+USGziqELAoysOst4oCuwCc
yKEbUYFaKnqP9ZgmH1T0NA63B9842kTXYF8XNdfFseB6cDEq6lDmufuMvZXiJ/o0DefeSLXZ7/Rm
+O4Utr5X29qYLy1epFiAJ+DY4q7iMrpIndfg7fGsgGCLjtGQW7j+hmY8wY+JjByJ0D7Vvg2tNlhw
SNow/3p7zssAqw++WHmhAIg1HQWS5Zu8eIS8qoyTxkbrNcM08Ds2T5af2sLFMaFtxueyXkxTU8MR
viriuT7LdLTyPf7a1m8gx16oEHC+YFNf/4YGMJlQ1Nl5jkyMyE9wZ6L3wnHpZKRJKT+iCzsmf8/N
qGWHpaekfbTbmT+5/SE2blmWHncVmELoGa1BVZgExVGG09SzJim4HJOQwnF5aKuk/pHAvKvOlYd6
+2lMrWSPF7l18yEdR9yzYBroc6zeFKOhZNUkevjsjbpdXqjDpdlBtfrpkzB5pHtlKjJf61nBgyvH
ubvHeUuzLjPG2M1iv2Iol6jmUYp808ucC4+Ie9Fy9Q1NbKJrkPYLAsJCtnK1Thni2C0GNc9RYefv
MmRcS9+kaf9fh+7UDph2azkYAXrcctMioXo9VpYrSqQWRfhs9CzB0TJniyNRD9qD0ouoTv26HWLz
gM6fl+wMvbUdgYgvCwEVBQHk66HnSBkXIJb37NR9bh87GWJOmaNd7JtCzZuPbWOV/+UEGT+AS+Wf
x1zR0rvbm3HrWiBGM5FpWVR8142oXC1BtNSh9xz1GZ4mQpnOUi1j5WuY6Tms9Di/hKJvfk7hkO3R
Z7duQcIa6pegSanUrm5BPRJdk+sa0sVDihINykK1OKQg/YpzNGfJpaAQLt4yX5NLl0sfqba1lcps
ZknbY5WMY+TYJO+qHifDNCt1JGBJ6U44ILHR5SwAcRtz3H+//bU3njjIQLimUOOAKbjeawhXCi3W
enhRhaJPR9tLcsT+dLc20rvelM0eyXsr22EoWlKLxS67e/lBLy7d0ExnORmD96xEs/fJQODI9K1W
1I9Ro8ryiItBIU+eFRndIRr1uTlGitKpx77jFbncnvtvoMvqAQDUQIZJc3y5+FYPwNCzm2tFCSlQ
t1rrq7Xr3MeV57RBnevyXV+X05dUTvNBTEl9V7ujnt65ikAhoaitkGUSpXpS3FDdKaFvBVvEWagi
qWSGcJZWN4DpCKn0FQKpqNcl36Jm7h8z1gmDukS302Pf9sWHckbw5miIvDWPM2p5n/K4z41Lki9L
d/tDbRyLJezD4IznkiLUKgoPaRPZw1RhSRDSqCAVtVLz3zlPZl9QC4PL5Zh0NG+PuRHkLcPxGgEA
fS1lloxmk3VT6Dz3xTz1B1sJneEUVbzE/u2Btia3HD2VziW9mXXGD7pWrw2nWhTfsbPxxaSp791O
DbMLamrz1yKuVePL7SE3Dh19bm9RouYypRu8OgOhpMQfxgQeSjUDogHGcMZysdHv4yyfsj8/4iD3
fpej0dfD9OR6NMXOk6poXEazM/e/yGjm4VPk6Q3GuKCM31BHwGyYONaAk0bqu9q6VBaQlDdm7zlW
9fxHLTJsXqqq/lWFUbLTFNlcOXJDFo/S7OsWEEzuqU1E+JzHKRSbRI++TwYRKwFVox0nMfbm+c8X
jsY96gpEra9dpsamFBRxuLxyJxue9R6nIF9NiuYuJ3zbq+4vX2p9O8GRZX/85out0btzFI1G1HE7
FZmFq0KmiSi7dFUqzUuT9eanxDRreazs0DpoKWotj3paqXsz3rqveRAXBAHdQ7CnK9CLPWpdUlL8
fpZ9jaCW1hTIuDc6DNjT2MypjcsVCnx+0VDDu8vQr3kOzaiPTwMgwz3r2a1zQ08F3SgQUqCnV9EJ
vgHDuGy6Z9irTewXdtv/lVVdIY7CxPp2JyXaHA3hNoCvKl3pNYRCkaS7gzW4zxSrlINqTpN7zIcu
9VUvgbP/5zsL7Rg6e1RWeZFXUwtrdkIbRh6mCfjnCogzYKeK2vg8O5On7Qy2dXBeDmZc3wg9liu2
FKH77IruV1w5k+WHyVRf6Gou4qn7Gjkbn5LuDwX4hRMHXnGJ+V48+oVwpiahwvMMAUU9VuEUfkun
8WuJqe1ONWxrv9LjpvJGl4F2/rpjkyVFGqVjQ1bZ6PqlkI36iFdYhBub0oiLwBz5lFteXvn4viYR
2uOZetDjtPr79npuxPCLQzVcWbyJKJWtZoz4im4j9+A9UwIN9QM+CLF3yLg4w6MboYrwNMVJXX8d
YYl1x9tDb6wuQxOkI2aI/MM6r5ZtKLosHqmgInh8MlJb+zoMMj5YA6YPWiWGp9vjbSwuJwQhXgC3
0EbWkPwyrtArCT3luYhS8pTZjZ6yMNae6kL39o7JRlRAaL7kRtzCLO/qmHhZjR6tbobPyixs6Yde
ONVnNVnKx7cntfERwTAAP10Iz/DDVgPpiSOtIUWu2XTbdjzoWpd1flNYSntnUatrv6JrOus72dey
KVY3Pl0HMLbkIDiHrJEajleEUSNnnKYG2xBfYhG5J00fe+feGtrZOGpTr8ePVRwl+V0x1vm/t+e8
FXZys9JqAQJDlXddt5612m7qMUQ6vnG0/qyzkTx/aPrIO7hZ6D1pVqTfU0UCs60KvM0zTDy/j0OT
95fYA0j759cUFQ0ADxQmAHu9gssAldGFA+Q4USbjadJG50SHGdlsOxvdQ2rN2l+3P8Dv5GO9AFR7
F577ggheS9PEkVPB0HVYAFepnfsMRG1Q8F/Xd9OgxVSCRhtNlU+OGxnhsdMnXQbWMCjdzzDt3PJ9
k5SW4yvlUGiYnAxdeXa7vlB95GhBhnVDpIRQY9sJesqACKh8Lro5eZax1PLHoe6Vr0pbZR+yeKJO
DHO0hMrqpKFsft2e5tY2o5mNoSM3JFi61ZMeZVQvBxMp9NKuQieDVV9748dCm8RfYy+cp0Jzivsx
t533PcZtp9uDb90WC213AXsuEKHV21Pje7GYceFA4WnttzBBB0t3hGj9DJjPzlgbERR4LqiYzuIX
YK/tlfCiHvXamsJn0Rikz7oahc0h7PWu8qNieHSQZy1JqVytxV59UAe/I/hLd3bx1oQpcNEU+C0c
tTY+jJxCRXhEhs+hVpUnu3WjyOdmHE4qwuFvyGghesI9JV6j/7Tuq4l0srS410nn4ZS+70bT/KRX
nn1xJ63AcVsRX9BtA0+n2unHuLCMb3Zu1ee2UWb8BSSxc4IDgbdzl268hdDcgGwCGFm8IlbpTofi
BhY7bvhc6YXrnm2jFepdmQ2J6vfIOmq+6ijlYaJBuvPpNwfmGqeiSR6prSUA5WibpYpt2HOv9PN5
rlHbt7HaOUa6kn/S4yk+tUJL/rm9wbdOF/qzdEmId2BLLPvhRaxDNxef7Khn0/WedcxqodIPqb3m
fQE+9OgqqVt+mkMi5aMOzaG+uz361rvlLgxknmNM39fJXqO39DdT6T3PYV8qPp7vg+1XFpCO3B7i
4RBDCNzzs9k6ZgStnGk6urxay296MWPcbODIVl347JSNVfndbMgDj7etPrSDpT15tkx+WHZstWeh
2E7sl3o3fbk97a1DRgXHwP4K5sErr4PS0Jaave09J5aY73qCBHkqOuefLo378nh7rM1nEpQqZeAF
xMlreT3fpBIatkTcnzUs+/flZMXPQ5VFd0SYrvNsCQTvHhvwo4tRozi2TulcPDX7bOijU+wcra3y
OU/j//stqzjFqAsRymW3Zdmc3xuhqX2dETB5b9i99iDKok58N7W6Oz1u6/44FSm+xOyB8Cc0wY7O
S6UdixE0zIxr9MeO924PW7u1IcG1/5ZSpRqwPvz4oeb62MXhM9KZ2V9qWFqtb9cDUXeh5fTTHFEq
3Q6pZ+MILgxmF2WrxYzCXr0xppyL3tGTKMDau5hP5uQWi2HMwAUjpzCYDPcc4QMuzw3RnbpzAjcu
HVsFP0LJZZFcWcsAlGz5IsMz6dlBEKg9DJFmfFBhSR/VCBnXQ20sdVZq2yLZee02vjQDA28ky1JB
p66uWTtyKFEX+WJ01BnQUk3vzE4owQTUlvTnARRtcPsk7I24uuraNB+pAhZRgCRiJc5aRFSOsJNp
ayfNgBruV5r0vt4ec5nFKkSjlAU3DMVaPvD6Tm80p5V6yOdFG19+NWotdC6zOjX5G74m8msGoq1o
XqCOvzrkRiecEsm+gI/tvQMf1/zqakSBT7OhCP3ozl74BiAQZnnUGij5kEutawC9KHL8Eck5vDAN
jxD8m/lOVYV1qmLdPiSK1/zQjaj9IrzUOxO6oLrsmHGxRw9dVu3VF37xM1YzV2gV5pnGz8AZAypO
M41Ewq4FMTbX0+T+9nJubSFaaguzGIwFqdb1Z+56dexcXM+CvnbTpwX96U9hkT/2oloeyHIPwrLx
Vi3yZzSeeaegcS1Xx4u3ClW7dIp6JA46IzPag0RxVjkPjWzy93Y0zR0kmcn+pRYzZHJtjuOH/8XZ
efVIjbR7/BNZcg63dofJwMBCDzcWsO8622W7yunTn585R+elPa1pzUpIewHa6ipXeMI/TLpKr2Xo
l1aYZu2qMwA+mDjt/Ef4JAJFn4N+crUV1UKo3nwZwXSf7F63ru2qSwfmz8E2M5aDYwGZRVMitcvg
VwYdQD+imKqO3eyIisROxYDmdXt0HvBsNG6ln88FmU7e5TkGskVNOwhJqB++1ixmZNhqvtYDv7gc
VN9/S4f46MGfL4dV2FatpfzCWben5a5AXts+VpbMqoiu1FWhlotbDmqLTryCusRWqwifcwdQbcBw
aCuah9KEVn+YKq9VUQnGLn3AVORKxvVblnl7pswA/SvSSjDuW7ZunKZJAgCMm9IMADWGWee4z6KY
ZzMsZTY2N4M+aMEtetH9Q10Fbh7KwCuIlRTGUbd6rpYl0toCHKAGt+JvX9mjcaWafukrAHVC3Wf1
gkQR9vwr4HylKvotOexGV+VRAY0iaqpY3Gidmu0rccvFwVZoFXnoCgLcDJakllf1cN9Ohk/48gHF
AikPSzlU8ri0af3P25fMpSMAoGaVmwXmwEVzPrV2cGYvnZL8VLV1iiJRT+T+XPnzYh/fHuiCw6hF
WMicqFhwgW8rOBBCnMmsKnQwWs3LKPiZxo/aHe0AZMdaVgVsKFF6A69+xJ99uo2tXOyBkjfR6Djt
TZNaw+HKT1qz+e3WQ8xlVSSiBgtD73zyvd0nllu72cm2c2O4nfNZVQeFcHEX6W5635I2xx9Hq0gi
15WGd0MeHGRYk7VNunv7p1w6eH/+kk2sWkqhsM3R85P/Pc+64Q4SZvtkxGkWg7Ox+2uMvUt7zAUQ
TfMLkCn17vOJr28J+UqZn8y6audQj9N8t9SD9Tc29f9CLYiV/e3RQbhA+nU+FtFzsGBeBam7dnI9
7In0cdZUIGpDnb6JjY37oF/ZbOvv337YlWJFBYccF/7H+ZiTIRHaRSXitLqb149BPBXyCH5seHIC
cpJD1o7JTMOomq0IClh9lRJ56ViteDU85mDNAek//wEWDCynhXt5Mh1p71vT1/zbgAp7f/P2vrn4
IXE482krIl+4VQHScHyIdU7wyWq04eso5uehLgPeIsj7p7eHutQ+gJ1A+Axt1iUI2nxIXXpEPajt
nsxeJS/+ZJd+JLryYLl9vcPEZmp3fWrYdxOdza9CzeKWfxMEVz7tGgBsPy3lMXpBhLor1vZ8ZWk+
08EE5X5afF9Z0B/TnEkbk9FHpnKryAX36Ua+bWrj/u0FuLSp/hx5802dII1Vn3fJCZSja0bFVBc0
90AAmB/jMtGO2lLNd4Wl4jTS8Ua+Rlu+dEWgIIAHzQpJIZc/n7gBepX6q0xBaBvyEHiTelzQWv40
yHiQtKbG1rwy4UtL7dPbRNyZNusrZl1LZItkIEXmRi7WZxyx/c99ubR3cZxNwyHxKyvbJ6rUrvGY
L+40ShXQMrk2OL/rrv8jEg006syCwOdb4NW6/CDnCtAaZqNIcZpFcDuYdZruuNaT9Jigc/crGbJx
OqTFPFxzNLq46KvIFk4gq07LukR//JJZjCmFUpslmO2xiarKtcE+SewyvMFQO3pN18xVLi46Hc21
WgO92V6j9D9GpPAIeUwvUe4rkuZ5Wvw48jMx/WNWNLbDhWrOTkfOL3p7b1+cp43GB71jKhlbpMdE
SVTmMk1P+ZItJ/pISv84Bq21PMegzrqd3RvdNQewS3cX3SqEaGhZQW/czNSe7c5KnAFJtSLoX7q8
R4XPX3yW1qp8dSWqurisq+0PvG8agM7mQzZmVWcdPFF4zGlvhpXwlk/Ej2YSNZPFJQZqYSlCuhTm
NbejSzUxklYieEj5ID+2lEfhJE08dA2PLX2NKawtoxj3s76o/VB2yj46hvBh5Y5IY901IPwiQxrN
E9geR+zs2NY+vf9Tr/hw6pH8LNqw5xuM2Asm6RJwj7Rx/mkoUv8BjYXAOUg4jT8LtTRXHo5L35mG
K4/Gip6mQ3k+YKyVZtzkFsUXR/hmNBtZKm/oDWsVlG4y9ysIsQvXNM8uMkdUKCz3lYRc61uCBJkD
ZKVt798pAFpx2HvJ7HN8l35+Uqow+xuvjDMjzLRiviZ1dOn6IinE1Xq1I2WNNxs7GOu8MRub6KPV
4l1heYMWzTmIdRkXwT/BiGm4tRjuvWMnc7RguNCEQO2GKzv+wrLzSCNhTj0IAPP2SHt2okmLeus3
ePWZv/fM2U52KLyb7QHvE+9fACdW9f+VqkUeR63m/CvbqdlW+lyC0kjG5sGFp3EYciHvITOaO2lo
85XpXahWoMNAP5jm0aopuhlPQaGslRj8b2ka6E/9qAwvnAc5VsfCGEId4uRHXc2GFdHWGOIPxiLN
a/nD5Z+wVkp4IFaU5PmULeWgAFmApwAiuRpt+aU4tqWdJzemJ0f1BVhrrIXFEASfUg0S4DFvs6a7
efdxBqCKYiJhJoXNrdeYNwxO5i3gcpty6m46UB130kpRwIthc5qDuVzJVC5cpGsQuFpxQUCkd3U+
6a4yUqvqGa/nSv/Zd2OBNpTj6c20KzXhFCG+itV4Py3mkl25uS4E1Qhs8b0pba4h1uYOj2dSc92o
wFpaeMWGmeWX/S4bIVy+vaSXTg7p8KpCuYIptiFmbHlN5aUgvXtuin1pdXU4UA5xQlCvdP3fPxit
U0ouJN9rmHG+nk1qLIh3aIDIeiEjbHSqe4C5/QGmYfbXvxmKMgs61LA6tsLQHqqsXd0y1OwUydHX
ijFy+kb7S7nW8P6KyW+QwBpKgGncRnBw01D7HRI6uzEsrcxW/q4Tg/4w53F+eP+s1nYeJSQ+GKDR
8wU06aES/Cr/G5ZDzzglasXOow+VktUm4vvbY13a/Lxk4GFJPugorGHUH8FZ3Qd24g+59s1Qfiyi
YbCFFWpmGuuRRvHgdml9c7qjxkVj8+2RL901YNDJl3Q6qGz085H9uC51kYANcIJsRPh2EB9KT/+J
JcX817LIz7U0syYs4/5ZpoF8f3SI5R6Ya6pfTH17t2sxPFs6aeRcRt/d5ksAsLl20a6mKpjLz1Xe
5Oa/GJJK9Ir4Q/nmFZ9Sl4OeDmmRnqS5iL8r1cJ8mWkshP6o9Gd8AJwrYcOFT8sbSYizomlW+bnz
BRbONCoHTvVJjHb3EPdD86G2rGrX2Jp9EyMOT3PWsm/f/qqvbzTYm5RgVjA7w26hcG3p+F0z6ID/
/Dp/jg0bx9R6mqwfbw/zam64ivDpUPpfcWGgPc7nZuV6VWtOKk6925Wfg9rwZThMnkCHdrbkvd5Y
fhb2lXMNpntt3M2amhARJyPBQAviuIa3ged88sexOVZaPe5zL9NVOM7xlTV9lcqsk6U4gKoP9Uya
q+eTLad5CFLbEqch9tqdLDVnh9Z+uqt7OX8IhGree9UxHinTKpcG0Zhyz/l4BuRKmLKJOLmQ4weo
EMLSQyldoX3IwPBc86K9tKa8gKsVLUV61H7PhysyUhRvLNqTQ9F0V+Cbt8PGtL4pOqc7NsJ2Ixtb
hU/v3UCc/5WOyCXLPtriJpHuFJXtTM3JR9YXJ7DgvoizPg3dkVoeksMa9p9XTb5fPcOoJQJao4GP
ljHJw6behNtal1am15yMYNS9XUrZ45n7Rp93rZybz2/P8NVJXAeDbsmnpLIFueJ8WYfM70ZzrsWp
nF1n2ssiscsQMF3x7vL++UBb0HghnBnxkFKcWqKrrxj+iE+eoPu+SE2frjwar48Ck1o7/URrUPP0
zaS4OXOK7iOSLEL4n8ZC1YdscYso9hLzLp98dQVh/Hpv+nwwj+o+PDnyn83enExn6ID/4YUDl/uW
WDy/hSM60+wuc+fea3rtU5vJ/dtf7lW+t4pq/jHoZpugy1hTqMCOs+qaBVtRMBORR4Gq2PtzV39V
bZn8TAMw40PlxFcu1ktblBSaGBGaFInkZsIWQnATQhA4yVl1D06s9IfdNGieu6NxN317e6KXtii9
bzonvyU4XsmY+CW+JjkeuBiQtp+KSZu9XdvUdbJ7e5yLC7r2n1DpBZ295b2ZmuVpmIvilDLTfAmq
QIZJsPyn0+OfGHroc6QaByKyLuryytW97sez2u76Kf87sr95p9plMJNYdfiOsl+/itWWwV0q/QCl
QtyUagi+LJaYRFj7dRmvwGPty9tTv3Rg2L1oKlB7BG28foI/4jtbjYEQmYXj4+jcm6awn8zO7/dm
qSoeTLN+bzhJam7RISZNJ8YBJXY+nAi4tLlnkFBqbBkKfarglPsU2rioii+e3vkPYx5f0xC/MEna
fWQAjP2bsXs+aoFMSh0ovz4BfffuM72Jj/Dn6js4lmYKcNldrhkuXjgmfFbqyMyR13J7D2F9TY8F
j+bTrLp4iHRLdcdBDaYXFpLqwNvfcP1Gm03052C/qzN/fMNWjF0vqwD7GyGL/QR1rL3pZF/KK+/+
hc1Kxk3hko9Bj2drVaAqmCLU0rA0s0RrRANex7eG6vpfKzgZp/hcq4awB0djhl3R9f5zjnzrtW7I
xW+JNRehB0IWiG+ef8tOtUZGQZNvWccgKGmkHxMZ+zcEJChhSjDoby/uxS9JdAWVizFRwTwfTxka
BOvBqk+iMNu9Jrnlwp6G082yBHX93hxgPR6w4sCoAjJisc8HM51Wxk6cNFxEmYrmtFme6Rjqtx1t
pqdiLpMrx/Hi5EiwVrTNKju0Xox/7BzDS6ZiXJhcUwzdw6RsrQ8F+v419ltTYB3eXsp1qbb7FBI3
vWfK0VB+N7Nzhel1ZZ81JBx4n+Y5roJL7OmfDF+pjzzqyz62eu+ftwe9NEXkBOn1o91BULBu6j+m
mLh6XbjpzEmE3vEYCNjr1pg732uvuiZFcmlrcq0BNaRfqL9qTRqNlbdg+zH7knk9PVRWnml3DQoF
8yMx8hR/15Vma9cg5RdXFZbTil75Ddc4n6DTdGNQw4Q55ULXv4CTwcNW6lPx06AJ+6WNi0do8nDW
3l7WC08maEYEO1aWLINvltWT9lJ1Vl+dENTP/gryuQ2lMoW/88fMKKO4pnkYprNvNjepVhXplTjv
4qQRO0GZAMUoLoLzSdO/aGJDQw2sLJsyxIMCH0K8zfxQk52xV+mCc285WOJKynxpM8EiY6GpXNG/
WXfAH5sJ11SZihSlQ3ZwdatkWu5npSd/JfhR/4sZrjSFlV76G7FwPhSkNKtOBWZ18HPKF60w2l2n
jcXHhULBrUOxYIoKvNffC5blAmL7rloTSH+BrTwf1df02AKCh/yYGWdRPKM1RASUfDP0fjpQL9D2
yrLlLxxriivpyKUvSgQNRt4ECwdD43zkesG8m4ZreWoH6T0CxZdRkmOGEwoh5p0J03QXOOKa3tqF
J42LZe0uM+oqP3M+ajfoyIVkCfMlzruBZTo+jzip7OrZKodd1gt3DIta8aKlQew8Y8vl/Xz7IF14
vImi8WygzEXqvi29LsVg6HHLL6jNxc/vsgEbXOiB/rtluVdlXJOXm1CajG9b7THz1O5aD/miNvH8
LlLlrNRtt3RFs89gMhc3b0/rwklhOEDXdGIwHHM3cSXlF3NyHTc/0R1jJzWNTM0HN7bjBcpWUyIS
+P4L6WzAzZdc4FCRKiPJrbhkd33gaVOotKD/Jjryv27om5t6yuqfRTsuH9+e64V7nyMDQIMuHLyH
LcsUk3KzKDy0mqxE+lhKKuUXh3ox1dc2GIO/i7xyrmyaC4eFEdEkpPoCFmaL9kF6fJJ2bxf4wnfp
B91KPXuP92D5I6Mo8U+tDfhzNe6QXlnjS6flz2E3l74a2lozsN84BUn3oxGNd1/bsqAB0gztDxF3
9wBUPjiyV3e1njXt/t8sM/Q//pCwbKsjfT2bsSn5wgsKUSdAVfdtlcw/JGTsoy298Uq0e3EHU3f6
zfxcpW3PrwZkwAstH4sS6xhJ16eZiU4S44StHzbQb8/swmMKlgkKO7AxVCC2+aehVFwHqz4/3gd3
cSuqO6uDwh72WqKO2NxKDELT2L8TyfuBnuu18N+htwlo0Pp45vUoZxtYZOKM0wbePtBs5xu+yNOV
Fb20a2kTo3QBKmHNjs5XFKAtIjCFnZ+aSg19lC+mHO7Mthz6Q6d5iBpoZhvTcjKc5V/cRqvJ9Wog
RxNjizCtVRJQFgXOylma7ycHhpsP4vmXrXr1/hBhLTzTf/6NI9oWSGKUxpWRavkJQGN367dLfzsg
FPGpRKH8+e1tc2mHUqGkfED1DnrJ5jhqkI0K7FRRJXSr/Ogv0HumQtlPmcdD8m+GWq1HILjS59p8
Om9h4xI4cOEs7TCEQzHbBze11XBIS6+Zrtwzl84D6iT/P9omzMK3YUJSErlFE9/SPlQCpNKjEY92
lJX4DrTeVMUhOsjeUaAWdCUEeg1m4EjQXKNtwFVDorKZKy0XTU8GRsfDzjBD7NVouvbmaiiLfhyc
Xj2ezAcqcM7nKutdPcIgvb8rC628ZqR36QOjvkV86yCPDEnu/MCYLe38vM2rUzX2KPDhNHPP+97t
Xae4CkG7OJZD4RlgAaivLVjZLaTwWgNH9q5N8jCrVG5EIutBi7ayvSYweOEDg72GBUqllqxzW9hz
QT4XUvnZya97P3KLLnjEXbN8KJ18X6jB/hsxQPurRJ/5Gqbwwh1EJkjX1EP4fbVcOl9Sx2zIzUSf
n8bMbZ/w6OiKXawnCJf8QtAP2DG60NdypUtj8kbTRPUB/b+S9ZNehkiy1NNT3Kv5MXfsdDoKqG5+
NOGBpj1mQWy2UT2m3nilMnQhMqG1h44eePc1/Fu/wx/5yoL2DsQ6DK1iUfg3OlbtWoj6w3STy048
5cCuruGsL424pqJrEkyKv1WFLStTqF5PihNUS2+f5HbwoUe5GQY8UqRlXU+3776Y+Ip8TdLuVat4
80qjl5yjDIlS8QTAJwz0SewEUKNiP8O2t64s54UzAoyfviX1aODzWyCZjyzK5K3bFqruqN8WCjmI
u7qoffFt7nNrfm+UxwGhBwV+z6Ue9EqrKcuARZgGTIV6DMig8eZz06hJLFFGpV8kiHiYc9lFTlB7
f7+9qq927LpheMRIyHBCQYbifN8k46wjVhyoU2LQCI88I0fwAp8S9LayzJ2syKgXeZgHIMhvD/xq
hRl4LQ+B4QLPRqx5PnBe+37WTNWIpL7sHptmuEsUSsbh3FTje2tfqwH9qulLNwO9km1hb8rmLu6D
1DsVdj8jvmBPz1kCkjkYZu9KfPd6VgxF75cLB3Qau/R8Vm03OtNg5N5J0eMc942G4Aa2qM50X9V2
cWWTvjqB67Q4CMTIAGygfp8PJnKwKUtuly++n6Z7jCuXf+zRnb+lvd78xT67Gr2+3ixMzqR6Rm0Y
HZYtU3ERVtl3sqhfxtSp9nbXo8a0VEF1XwZi+T5a43SLjGfwL6ZJ1g4SDRABSDDzfJpxLN16Crrq
BTa9u6trXdNDgOlliMJBdcMNL41/NSKetSsUZt085yMKTmJO17t8qcQyhhNUxcfKU8ljOuf1QTT+
tcv71SPJEETJEPghw1E23eya2XLFqE1+9TJBeaDOlGl7HNenvwLTUYcuTfCTrIopJ00I4mtEbZu5
/FGqRX+eyjovFdVo+mGgHM/nWtV5avpM7LMwunCpl0hesz/agoQJaFC4pQnEqwg/Co2E8yGQ4tCU
21vGD2Nq50PTCflCTe+7OS86PEsrfRFTrx0Kv4DY6xj9Q676T0vlyi9v3zi/DWT/nCr3DLpqawNl
xTTSfz//HXUjgYToS/vdMUtXE6GlldNwn1ipQq1dBQ0wjmZx7WyPmIY+H4IiT6w+9OI+Hz8spb3Y
NwlyL+qXlAB3dpUM/K9e7HY/vQIAV7GiTiYE/LMGxALrHAxP3ehitKo5zjelSb0PDbsaniwUva8p
+f4GvJ5PDXcyIDBwgtarbqtbJF05iiw2su/T6E/5E5AG+T2fMwcnrSAGGD57erIv0Jl2bjKrta19
6056ae3rrC6X+1kXhvHRy7S0DBdikxQVvRz8rlllizjii1nET8ZiG80tIluVc2tN6NPcisqsjE9F
wV967mA5V1SRNrcbrzxfiAMP04lnnxjy/Gstfa/HntfOP9DNap6BwmUqDAzMGaQZJAe3vma7SBmH
/+PZIq7EhLU5um5YtunmGIpsrLUSstF3B+lE56j1M2lXCIq6de8MbTTtBw/ki/HYEQ3sAiSB5r0T
N0YdrlWZ6tDlif9dT1PN2MUBkgthUM+DH7UZXKlDrqVd/Vz1hV7gXr8kHxwFZeHB8aXlgagBV31M
/daov/V2HCf3XSzspf2wTFK08lFWc3W0Ldooz0seQBstGlU5dKlzTVRhZ3fTcKTh0t3peV31YVdO
RvZxMZLxsXY70w89FEd+un2aQe20u+WLXSN9teu1gdNYemV7yOd5Gm5kpRXxsckHs4+mMmkeUAZv
8/ygRDCpu8lfOiptozXH7lODR/OvgvLXEHrQ8ts9gsx19mO2Z8To+6L08qhEvzAJJ6PU7PzglmOc
fYa+UL4EM0t2X9ML96LWqcr8UbQCbRCKAjbd91A6raPdW23sffcIjNK91Qblh7ZblIQjHufu0UFx
LNn3wVzat5OfGWInzb6a9xgEjmLvs6VlKMspeEYk1RShPqKjeISTU8Th7MC1jaakt7pdIaxZHqCi
qOy206jHQM1etOeeZyy+aaBOVyGEkSn9ErSj8Pe14ab+rlcAWB9qXRdlHcaoiA/7xCh0TA89e/Lu
B7sxvCgxEWOLWjgIsFrmyf+KQEfs3nuzGbRfSJNs9eQ0Tm3T5l+KO1NBhP4sUk7rQ1d305PudEqF
pZNmAYqzS5fctoM5BTx9XevsbasxqqOmAi9/1AuzcJ8EDs5lZCPLv9wAh8+DUPopAtLVUsMwRtj9
PlP03KJBz8f6e4KQmIomHvifvtt7c9S6jfjIxbmuWm4n095uEMm5tyDHl09eMy5/J4tM1W0sG08U
YY7qCux1vDtjzwwF9CQ/4rVy52OCwU31tIy6ZpShVXCtip1WwYF+tAlJ4i/Y8Rjqtm2TwHi09U6r
b+Oq6aYmslRbV1+SqtKSwzS0U/rDGFysXXvdKxEH7mUZmyhLknAI1BEzPf8aa6lKzXA0kFkxowqc
tPNZB13o3lcNKKpbr20SIKOD7g0RR0/JL7qvmXVyMBfLEkk0ZqjPhyOUp/huHN0Jp5MuA+8OG3Yo
/RzNg9bPgm9dbBbpznTnmAo6DkknMaeJ/leKaPHzQv8vCbsBIOBtxqVsHLALMP8T4zeGhSlU5x3s
2nnYm0OnW1/INefxh2EJC8TJoKv8r1EMzpOtweR4cBSvUgjSCYkQ30/07q6Nx2CKEseU3W4IEH8P
R7Op9Oe8rfL/KGr+zpOux/lppoLnhpOWV0vU5DkC6QhHG6Heee5Pd6mtby18foPtnRrdzp2X3Ili
YY0l/tRe34dN6ePBZLbJgrq41zeYySNWeSjtSkxgipbMiHrUEX75RjpXUV9o1ccebKIfpm7jTzc1
TZU5HPoknoDJIztz1+It1R/0VKa3i1Vaxq6TctbCYJazRDhOy5W+J5wi2U/G0f8wIILbhr2N0S10
IKdJj5adm3axx4pHcw/dorfF7QDBpQdugAGk84KyQvUrHmzOdanKHqpcFwz2B2hkUt2VnRnbD6J3
86E65Ppiu3dZF6ffnDKf+125WNBjnc60EdBoE+cLPNp8RId39gY/RCZxaJKw9Rc2pIkS94fELmJ5
KoPYLyPaQWaOu6C+zq4Rg7ajfW+KA+8/hrFCcUV9agZzuNHH2iRd62LcuVHYqRbEkMpYfVj6FMZ3
CcPz1OG28Q8Pm003sZ7nA/TOWv8lsUw2wawvoLnQ5S/7oyOW+qMeFIETNW6XO3trspU4zDxdQyTc
1p4OGv3LLPQKXDTDucDk56akGwIeNLa9bzUwjvl+lP5Q7vzSsRVtzGDGw7QBTT0uUtYPXQGsay/c
bHJva2NkPxtVY7ohMOmme7azOhNH4EqDu4/1Gth5LzzNeBgGCtzGDpWnxPg5V6rEmkJrF3TynCkv
zYdkLZjS8E9Yz4A3Q0UxeYz4pvJRNNkR9Spb83alSJfqSlL5u3Z1/oSjf0nDhDZfgIPyq85Bl/gO
zYP8R5JK7TmHsCIfOfBNszOssvJ3TkKV7Vg7gxN8qCoIn/tWl+2w75KFl7Sw8vK76wxxexu3g/hi
g9IcqMHJYPgnHlO/sXfwc1X2ddRSXT/A9ar02yzo+r/b2nVLNrtfNfcL4LPhhge6tq5gEF+HRPQo
KMvSQIRzR+p3HhIN+eT2CJk4PxYEBrr1CjaSj4WZdvejNnRZSBmx6fZvR82bjJYwzMOHC20tSF/e
ykw+H7NTtT+bUAp/rFeNCgsaXdmd0sh0wyZI1DWlzzUXOPuAmFGsQGOD6iSFw22VB4RDrIIZc98c
64nhpklk+aVtjUR9iK2YW9onEDBC4gV3OjRSWiKsauW/U6mFRjHdTBfLRMDyqIVsXUYtOaDRnrrG
j9gqM9Y1aE9IGiGPMrrX1DdffVOGoqhNr4KNC4Rsk39BMMnTRArzB+9afepnmdx7+JN8lwL986Mw
vOKavc0m22Ry9GpRUkIyaq3BbIH5BdpoBUlJ+jMo7dQJEQMbn4yhMh6kBrE7EThNeI3AWWOShrhy
QF/tpmDVIqfQRISN98kWilw7Iz28Tst/SimmNipmN3updJy43Kksr+R7v6Ehf+4lzhnUMYDr6Ayx
ebcN92Rc6mpJM/3HlOOidhDCqNXHSevH5d4hhRn3Tmcs+gPCHaWzq83S/w4KYzAjmjBeGc1YWU9l
mFdYXH9OW4ss/VjPhGNPpqiVcVPOiRs8Ly0hehbmGhFfHQrLSsV/slnEDuH5AAFhChtUDLK/BC9Z
so+Lpa+eAr+sqsgEnVjsTWUaL0hCjkbo2m0LPFLQLSO9EXl/11Tpkn6xO+F0H5PabFQNSXpSzQ58
tZ5EGnJjmh911hjnt5UNbjRsstjELBntYW3vmYWTD5FEEs47IJ67LNh22b1H6ZutVvb5vhqcYWp2
qpEoNd/HuRj6Z3vhCUOKKqnqn17aOf07q1bsdBou7Dr+C5gIzcrzCwXR3jwbu3F+ERoWntlS43aU
ZhhcL9ZP7CG1K/2s7YWCkqxNaryCGKH5v4IvyS6djDGV+ovWkCsc3LlIDrNWmB/10imTo+4vw870
SysPi9Rqk7B3m8Lev32Hbs84vwEJPA44zZ21rba5Q8dE15IyqM2XxE2sCO/y4ks9NmloNrpNyLFq
xb494KuSy+8R1zeC4upac9mUXAphKKfNe/MFqqwZZRLOeZl22WFs4hgJbHc5IhFnRHUmv2qZlt8b
yk4ivy2Nw9s/5MLMWXneD9QOKDFtNWcrJ614K0rrJZZZdqv3FdnF0M2fwFbp90qq8ebt8X4jMM7O
PBZ0VHe43lb0KorR57urmz2FeLtrv8x50P/tydJ9Csh73HsYM54eZir3g52UqCYesQ7TSHE7rdsr
c8CRIR6BoCFWCaX27V+1qZvSH+FHwbWEqkClllfl/EdhZcJDCf/kBbhPGpmIxez9plV6uAz1+L1q
psU7LJ0V69/eHnfb4Pw9MJ1KGDXcudz2m23QFzMQNq7klzT1469gSbpq19m9uGlTaQX7tEnnZVfE
efpSBE33jS5pvg9ErBvvDFzWBYDaxy0MyB9k0qaWYwdZkzvj5LyofvA/5p3pRXGQupIgEHeB0PCb
Qh3fnvuFNcdHiJo/It5YXG3XvBeari0I3r6ILPsnH+3mXrebpYgqaFU7CnXyK/5G5vvwQet6o2sB
c9jGB3Kd6PmHHgxKEnqlXFzFRv3G1lOTas+yTM+Utu3Qh5p6jQZz4XoDnbguKpoAjL8ewD/6fgEx
djmI2nmpu37p9vXcLfe4tnhLiIp1/AQOSxaRlTvDGMHEaSK9s+YrbfRtPLFOGu0JSteouxItbSat
rFbqZc+kdbQZjxKQxx0RXhNNJFk7vSiMsMqsejdPzjUPpd/ruTntwKKA1CHaTVyxLZwriwIb1of+
SzbFxfiY1+yI57S0HVAfhWPiVVFPRfcEpduKZlf51n4ggx+jHFnvpwbNrvS2ykftZnBjtfyDcb2p
slCn35Ad+t4zpl+TPUqsH2qZGs8LDAo/MtIl+aSP43LNEu31VQnThyYVusW0VZ3tVdl2jdK8pmQZ
BU844q0yD1OEiEBFBEXxZIAcuhKMvd47jOhRDadovKLZNqfSTezYkFSnX4YRXtFia/I0aRLfrbSq
7tBvNW56S5+PgqftWPKQXrkUtrEgmFO6ngj+EKRxXn6/YX9sXdwMpU1u7L4EQ6qOpt/IXZIGExqt
03LlGbrwHjIYRxLpUAhVEO3Pj0lKNXWOJ+G+uGNXZqFC/OdWBoaC+Nq6ttwNviqpYinjETP6OriR
HLe9SUcLeF0mmuTdlxM/h2cKnQE0p1B4OP85BXaHQzkb7ks7m8On1I3bfSrm8uClyGIvkEePXmm/
U2+Ry+F/F5wTijA6kOrzQSdI8RllEveFENE7uo0+/sw9D/BHD0XnfS3X/xsLvQxK96u90ubhoURs
9V1euC9GY+ZfR9Tnwtqc89u+aeor3/b19bPOC7WM9cUn7d/gAtoA+JXGl38p3QGTKl7gcEjMLpqL
5jZzEi1KFpTvTCfJruzfywOjnQiaGOqatbl6U4uakD047os24tMzZUN9g5UDVlJ1MIVwcffD2P2I
kQW+ct/+Ppfntx4sVQblQSemhIdw/iGdQWUgS9ryuz05nvgCjjgwQstPDJq+Si/DxqHPc5gra7QP
bWW33o69VRg7LAvH6t5ODcmGHwVV5B6vz72FOYp15Wq5cODoJhLhw3EB8Ewz5fw3osPTFE01Wd9T
Ib/HcVkcnCFPI6sszV2R/A9p57UbN5a26ysiwBxOyYqSbFm2Jcs+ISRZYk6LmVf/P1RjAyqWUIT3
oAeNBqbbq7jiF96AsSGYS93T66l0q2BIvXoInH1M6W5zOQw4v2R0esEzqBNNA/6+2PRNJNdtGHb2
bzSmwiul6QbMczvpaewNaa36dB5yQCBGdZAiDYQB2vKn3wyQvMxMMrDfCR2Ia1/RxNEPjRhwvSw9
TEqTIBAo1k71vNinm4E+EZiGGSZrIHq4+MB4Cqx0Mrvoj1A1mhe033+3uDvUJFV6uylFO/y9PKOf
DYgGzuxqMBctlqY+VLj6MNDl+E9XG+MvgLr11hGqvIe4MOLXLD9fHu4dhLf4QG4skGo8MzP0YHG+
oddaZWtZwZ8qskvzR5ElKJRRjanl6zSUI1cqKY2iw/S3HkL/WmiYNbqj1Sj7kph325l1AmKyj9oU
/3Rc7B9L2KwrU/LJwqNhDGqPPi9Q92UENDrDqEV+bf/2hV5uCoPAKx6alFpK0r/oWWu7Iox5YC7P
zCdbG681KGRzIWVmdZ1uN6lOqwlrbkbVpuiYFYl6MzmD8ShLcR2vJJTndx17612WkGgTfMtyLOB6
aahN8R/ZimKvqotun4k6dXPC92szlNvvo9KWXpBAHvnXr4TGAGEC5hEOQDBkTr+ybEIfAaQw/TNN
haW54JNyr6/zUHaTTF+TKv1kszEaADoYZIjIcJxPR5Py2GrHvk7+YMQpq17eVEPplTpKot+kGHtG
FHMyFKqbQZd9Tyq6NniDjT3clvRgfddQfflNboVtXY9lV43bMMUr/WfS1OzTf5wWcikw1NZs5AKH
R168AZEDeLfxm/A5Gnl0vAID0w1R8uhvUdZdQ06crf4cqSAuTwpLBsuhP52VKckErkhOiCSLn9x0
ZpLu7SyjQ870uPhNaPfCjG60uhMrT+zZXTOXiSggEJ8qs/HbfPA+hIhhPlApo2f/FPM+PFGim667
rhzuyrQanqCArDmHfD4e8C3icKpTSxUhymAaRtiJ+uTXWX5QU9ytuiFPtzm6apUbICu7Up36bEAy
GAdrnHeCx+L2tvy0jyJ/0J+AYNhPUzeY3/KU7piMweFG6/CRuLxtzusj0L9xOQI59J61LYPASZFD
0Rqq9GJnojU3RV81ZDxqSAvcd6L8WhNh2j2nymgZ0jGEZlx8B/ncIMKjjVWwi7Spq8QhU4axXllr
4nFW8+Smn2m+yK/yiFrKeVwDmDQWzZB1L6ACQsncqE4dEknVMEktrx9y2/BvbGo3+0Cy0+lWF/QS
aAvWJHdSbITO1zJQs40u7NzaDIqR9V+bEgynm1u6XB9EbvX5cZCCkM4JnG35igxZMQ5THenRQeD/
2e16ucukx8ZvAT5SqNTSrQ3170UjVghdYmei875Tovx7kqJjHXqQPPMx3pqlJqrKzekc39O/lcZH
J2ys35pBYvxF0SP9N7F5nL5Meod/YuygNOsBWEifwwbIsFvi/P1LKp2w3jtBhUx43w1j+K1SBaWK
ptT4Tz1DJhnBRI4uaH8sAtOIvltx3H73G/gjByn3sx86SKYRVDMIps0YW7QBpWQor3GrUn9OTt0o
f8ZscoRbJEkW33Z0k65NpAMjd6KjmM5GGWZ2X+uDLCNuW4Nyc6fakvpNbWrxjQOr1b5CIUprXSuQ
BD4rqUhSV41KpznSdAur1zqjcuTVlSKo509q8T2GcqzTpI+S9AYrIg2H1cbx7w2rrfNdrRQjNpJm
oqMQ1IfSJiqgAOzxXpBu/CwbHC/qcZb5aVZjKPfbVq/KJN9ie2lZITZCQWjvBqDrj5MUy/pLEnZx
v4syqrw7p5K0Nz3ypyKDsGQ7FMzNHjBUv/IAn12LczlrRnrTUKFJ9F59+3A7KU6ACWgpjy9cEc0+
xCRyF+lNsJuzalfQpNxIFUbectQnKynA2cgWZDDgs/RRKbnwDJzei4WJykA2gp43ezkTO7WFP7QB
O6fc0aos7gXoHPTzqX4Wzr7B5J3GweV75Kx0QOABxRpFKRxY4a0u7q0xGyIjy/LgrRkHM7jT7MZ+
lHplIhDLxC208ji+nipfbOOwze55ncaVi+ws5AJ9Su2ARhYITfOsrE/nVslJXJJnwntlH+H0EmzK
fMw1F4mSr1I+lTbNdKdcg0suL2yqiVQyCbgJud8vqtOZT+2qGUqBmOiIPvWumsbqWKp2uU/1fPju
GBUS/pdneo44Pl6KNEHpCkJSoW8HW2PZMWvTAJlca3CegxItRDBEXepKMwFhxTBiGU1SBKJRhn0k
8gcE90uBAFnCk5hX1nmmUhS5+oDHqlEE2SugG+Mf9TRReCJaneNJoheVf55/y4eDg1qnP0Zq7z/L
RTEd4npqruqowpATvW+vQk925aCe1cHfBwSWRNWDw6JriyAytaM0jZzCoeVphHdW53S3vg3ZuJP7
5jji0xa4fknNIBOlftSq8kltSulweSHPUuL3HwH7mDiKnUtgc/rVolNK2qKp85xVrSo2vjmh80iE
dx823XjVj7a+Dc04eemHwH9Vw6m/TY1czlwjk9ccdZf3x38/hdyNUhgyssu6aZq38jA1nfNcOnZr
Hp2uy4XbtXh4uk6PUM1GU6qJ9mMR3yntGNxdnonzLc3yQ6r/f6MvLg+0tnSjRdbzuerzaGPW9hh4
Woha3Mqyn59VxgGmzg051yCWou6jpg6909RMeKomP3RHKDtzaow9T2N/bUbOtNLm+Ww8sCvwnFUT
MO6Zw0hnm6PjjPbz0BvaTzUb7I0zjr2HxYf+p6lEtPJ9nx1ZaBtExhxaEBPzPH84Rt2M4R2ywHlO
A2F8UwcR/M5DezhOepyu6ZZ/9m100ik1zPwiiJ2nYyWCiFDgE/yM3bw17IvWTK8LLbInV0olB4fd
1NDu/3mbEIIrZDfz/Q656XRIXcl7bPMK/1nylTbwarpXwU5OeMpXrthPTgMDzYtGpxLO8WKgEsHF
US8n/7mWy8Irct8BYFNKWxN/24MqxhTHdF/8jGNR7y9/4icrqMqKDU0fu6nZOPD0E9WmnyK9Es6z
ovWhg6HVFGO7o+vTVh6A361EDcs3k1OP7CQJPIRHRL2W3UAzUhspxa3rOUX3sZ4LsmPq1qoZvvil
lBJFNJkbaI7/ePkjP9k6XPIOp33WEjojAw8Yg1FhNpheXwQIShTdgVRxOEoDPAcjaf+RmDa/LjT6
Z0oMKZx25sSGjq5IFXmUnmd8xJUEH2fTFfCntpIdxTc6s7DWbv9sGWepq1nQZ65QLQ4ibafY8VEp
eQ6qKQw2sGcpDqhmnHt5GPsru/WT25OxyJQ4+nNfdfGMpEYf1mXY+c+5XrYqjWQdcJIyTPLK7fLZ
biHuIN+ne49RweJUOJ2otGSy/GcrC1B/Vftxm6RJdEXf2r+xKmwHxTj5h8t75bNBZ7Nwnmhod0iT
nB6IofALJ8GC40UiU/D0VPRbbJfNQxgq1aEtW/1LqUbxyik8HxRJNIqZlPCJZ9k8p4P2fidHvmwG
L20UQoPNjKqjQwQdbWcPQXWTq8LByxNo6ebyx56vJOPOERB1rXcC0Om4VKzFEIQWZyJpNOFWLAQh
CSWjt8vjnG9PLlBkmIDAOOwcY7E9sXUys7pow5eht5wbbcxGN+4t87uuSs7234cC3DPTbckNYDSe
flIWREmMc1rEUH12M0pq/BPHRbDNSFb887UCnmcuRmG9ROd36VodVHVY27LOVzla/iWTauk4jApH
oQtv7LAudpe/7JNNggYHLE3uUO6ypSSa7pdW1kYwd2q5NjaRNTSPjqSlx8yJI+CX6MbUWdGtnMFl
msUk0kFBD3xuXdBQmV+uDy+8YTgi1/MiepHpOO81FX9ATcdcKBoT7SsV5gaG4aA+APIYtk4imytX
zWcbh9BiLoW989IXq+lH1WhhXBm9UJ3rjjyTsadbefrdmrp/NATk0uZ/VLKRQOcsANxbfGlhd8Zk
VtlLPaRatZWzqEi+2U0uqfdUqJq7oESXc01b6vxlogtKx5Cak0rSs2wdZmWSAGEvihelF0DBsEC+
oy6k3YxDHh4Q0xhWbrdPxqNOQOI8u5KRuS8+MnfMSQB/Kl40YRkuQNgI+dC+bjb92OtvMWXilRf/
fAHnV5CGFDJ63DRLQV2AQXEetEP6Io/qtLOLwLrvIs3waqWb/tHyhOWDXkdQQTcCjCdB9+kKEkYU
YY8h7ovk0yn4OSaC9N93/Ew6FtAFfl4+jmdfNudxxISzgBWP4PLLEJIMyl6LmpdZzulPg8aRqxCg
8vhKWvf/MRaZmUUaMV9t7/bxH04h6LHSlKeofdHkwgAlgHzVljcRgkctRWstiLN7hiSc2uycG/Fl
Z2iaToetXPnq8OIMdX2j+RHesWVv3A5dfOyceBupeXK8PJdn7xAAKXDl4NPAR87qVKcrV5SzAnsQ
qy9yIhO+NBZuRFuVWuHd5XHO12ym89kKxTLEM8gkTsdxkq7uyNPUl4YeBbxa1QyuwmF2eEplZy0K
nP+wk7oJ6wUJG/gByQol70WYpNQGnJfWSf+mBra4aZgb99T7Y28aUgsAaJR7ENmcbZCo+d/Ln3lW
baBBRnQ9C1kjMSufwfS1wdSyVnTijZKp+RQhaHZNZjV+r2LYRqkI+r8l+oA/Y10ZrnDnsx/UbOxX
5vq9+/fx+7m3LQ1J67mQDqNsaYMX5dLgF5PRvOJ1i1DeZMa+wPS+DSrqYmOLjEkko3HkaJN+L+lZ
CChu1JRD1hsioWacqU9NApHimMpKIa+8pWcIhhngTxyOFi19trm3c7oTtAgZziY11FdEibTvne5r
TxJIq0cq3iLzUgU620D1aFuZqnFdxXlneY4hKTOnsZiDCb17EFMy/ALD3w7bleWbw73TmUMbiGcX
+gg7lcf+9Mcpwk6bTpnUV1k0zpeIztOjYkhp5aq1rd32cAR712kqx3J7yvWZS3cCy65OlP2h0UPI
s6FehcbKei6fjnnGSISJBMhqQFbM//+HO8jqiBO7xFRepzEdXo1KKd6MlKqqzqp9R5TMXJuF+S06
nQVUGahRz/EiMK0l13+AWJThD2a9xoWQZwunvDG8wMoatwrr4Laoy1y+scJRdvU0xgKj4Kn+7ud6
h5WAkv3NR9qWu1BtsnhzeX3OZ4LS75yskwDRrF0WRO20QFGiVfy/SWs8SYnp0+7Pu/7Gt/LykMXi
9fJwy/uYSi++ArDy2WozjHaxVX2nrWHVqMFrwCPgTnJCQ0SqpGtR1s2x1/LuSu/tcGX2l5fX+6BY
PFHhB7dLZnK62tDlQjhmDFpMQFbxvNH3tLwcCIGF8q1F2nQ/GLVyrAMYvZc/95PZ5Y5GuoJCN5Sf
ZdGln8LKMFopeEWPqP9dNnaxCeNIu9bbIdnge3+4PNzZ7CJIhqwotzSvHW3exYcSKclRFMfxKwen
zlwNAa2XQWvHGnGOrHepayHCa+jdWp45r9rJ7mbcWSl2ZiJwTy7VqRWMaVqMIZJXkXJ0YG8Vm8AR
voE3Ku/ev+5YBqO1KQNOYznpvJ6uZikstbPzNnkFWhGNbgWnVQJIQPUD/L20RbJDrFmqfPJ91PHJ
v+BXoHS+DI8gScY0yrvs1QiC/CB8276GDewfpwgI6+Ul/HwoALg8NMjXLAFIE6TuMpHL7DVM1Wib
OYq0G0JVzaElUiBYyUjOtidAEAO50jnDhDuybLlRhYwVSRL5K+jF0IuSQTu0NKP249hJ37JiWiu2
fDreu80YUvichvnjP1y7cgOqKVai4jWKjQAtiLKomqOsDsZ1IPJCQrJU11agk2dnf/5ETsN83dBi
WzIYkpCevJRY2asZx8OdH1flFoM90xVtAuBGrtXmptKNBJ/Xsl8Lmj5ZS/YKskfsHQKIZdAw4nUV
B1A9X8N2KKAzYQp1qKs+juh0Z+a3yxvnk7llMLAW3OPE8meGQ7kWZalWF69TnmjbAvvtLQ/fsO9Q
X/R6WJwrd82n45FM03rRUdJbcmIyVW3DMhuK11bE5oGCRLKZJpF94+HKDzXP/Eo74Hwy0VUCtTYD
1+ZW6bzQH/ZOhbd40GdK8jpZvfy9Clo8ZOVy/Kboerm9PJXnISfCX4joIf8xC56BlzodSynBdxIs
pa+BXZX47ExqiuaCbf5yajW+w/IazlgsVyCnOu3WhL66q7upWmkhnk8wP4KwntcDBRKi4NMfQVVy
lOOx4HBaU7w3kiJGbiLX/lpDmRxqp/hXtA4jUZcEa0zRAEassxgP/eKubKQpf61H/aluq+YQaDxc
5WRtIlKl3eU5Pl9Oog06sZQlSaRpg5x+HRShNtF8qX3FuN7/GskTkjWxEx11rXv995FAEhJ20NyH
ybcogkbOqIyNJLpXv1fLm0l1wm3fBdEOc26xvzzUosAErAvZU9CxQBgUwNNLbaVxqpHqkDL1LcgL
HbZprW5rxe7xWJYQeAlq85hhRbsJ+yi+l21Qf5eHX8KR/ht/Bpdx42k0QOZJ/3BGeiCbqNQ1yhvU
B13fNnalPjR60+7zoDc29VjKN3Lg/5Z91T6A4AaEY07TTrfq6VZusrXrb3H1zr+Gagk9ILJ94pJl
h5bWLZBppVHfVKmzNsgaQMEwc1/7nviava99HeGDrPYVN05EtxIkzJv1Q0Ty39hI+NGlnq+LJazW
HHCTUYNcewsHGk5BW0wPamxJKwWhZVr43zDzBxKPwERcsi+zhiJmnivaWwPm54g4i+bi/IZojCpE
uJNHQ3XzGENvBGGmL3EtfdUQGj1GVnNMi778AX5arHmyLBvj/CbOFIeLm3K29NQWZTF7aAdHynTt
zVSLp7rI/EMIwn3HG/m7tWJbuAq6/tMGr8voezVG0ESiFiAWJtkrELTFEf/vh/BCwI+gEknJ83Q3
llWO+qCa6m/AHKNt7cTmMQpRPpU6Xdqu7Py5/nC63mR0tG7pxfHXWZbZ9k40a7qFgStpNioaVAuv
u74J/qC8Ux+neoo2GBj6mwy1+80g+RS0Qf08X/4Vi/B7/mC03EjENR3IyJlslBLYRW+A2AlcPa6d
q9Z27krRI+pTKW31IxY6LOM6a9cowJ/sQqTOmGGCDMINJAZOJ3r040JKdIRD3EGLviIq4adfWqgw
SJFI41udDvYWU7XgacCFCD4DMkRHY5B6r0V/tfKiTi6v+ppm20p0+cl1xO+Z1RBRQuOiXyL4ncQI
TScVyLuSrMhfgqENj6iX2W6bWIMX5v5wNSBwgnxIau46dcDkxar163HK1a1Gu/rh8vKc70cbICrx
GOcVZdglTahRnc5s5CIO3MTQAco4un/LokA314s1NsvZ/UN0C1qCzga1YvLc5d7Pi16SaqsL6A2h
9QK6HMWhrsyCcuWiO9tzDISmHnsOXj7YucXaW301jKKThwB13WxKtg5eAOombZAau8u5nU0X9B92
0a2KWsjK9ffJ2LNXM10ceqeEgMuxbbXS0kFTAtfkzjvmtZ990fQq88KwzP+QmA2PtW2LNaT++w12
cth5U+Z6IN0cpC4BDZ7ud78yw76cNPa7D8Nr3E0UWtXrMC2Db1GmodKW2lYjA58Hj7kZpUp2rhSc
6B8hak2FV8WBmbtVXoyNqyZ9RqI8KIRzsYsMSaR/KzJE5zyETRrdBUxsFttZRiN6MuK2kO5MUYb5
lRFLnYwWQQQgUzPlkdRBGdCTKl0fwnI0eLoW2M+IOeWPYRYiVWlOltDarT8JWys21KknKFUCOYzH
y3v87M0l0oFJMoMgmBpnaTTcGYji6HWmBm4I3ak+9lUxCg91Ks25MSphR0d4Xf01unNltq1o2Kw9
+vPcn6wNdB0wjPbcRYRHu5ReNqGkQUXq8cBsQMeNLiDdhpo7vAPZK5y8fTb1wFi5/c8+mjEhw6P4
QZQHcGcRS4JqR/SnQ/vJ1Y3ib4Gz3G2OZjpN5t65UocB43SYCDtzmMyVE/DJ15IhYGJN+wrqyLKj
SCqXGE6C4qM7iuhgNUGVHAJVnYLvTaTV+k1BxJ6t5AVnp45+PvqPs0wpPUwIMqe7Xwn0Nm4pasag
hXXdbdBLbDxFGErmZn1QelIpOV8EYBt/5ap5x/WdrC3ZF3jNmYUI6gV68unICDsVTqZp0GEauWvy
q4HUtxZe2WpK+qtBlwA0tN4qzcHGDDFqPMsGanQzmFHefrHynlBgR/aPHodAnfK2bScpdBWhApnP
pKwtN7bT6PuQwBrOYVnjek9CgDidC+04sP6GSWq2G51QXj5aGok1wlD0F/1rp+FYqa6UW0qETZhU
T1s9y+Toq5lQENqkRi3KDY7TYHgvH7blgwJ0CyAAu46/AVhe4oYTYn2ZHE391TvtxlDvnTR0s/HH
5UGWy70cZDHpSds36DKH6i/tB9IekjuMbnTrrOyp5T5eDrLIkZrQRA1MCtRfpJmupniBdCWio72m
UrzyLUvymWlBHy+l928JDtZ3+cd4XPuSZQq2+JIlNrUIDKNUU9YEUYTwRmlcadyYL8HP5l79fnlh
lrfOciT19DRU0N0tWTCScptcoRhmbI0v4RUWMZeHWZuzRTivwkso4Aiqv/wv+SbeyD/6o7JSOlob
Yg5mPqSNUa83vuRH6i8uak/f+G64lXaXv+JdH/7j3bGcrfksfRwDWyStrPiM6qn6Wu13EQwJt73v
4BT8jSQ3enSOwUY6ImtnrFVvl7oGpIEn53QZL2SRVCVNz/fFwV7oh9r3xuybXDeukIwrRXXRrvlq
2NtAOyqa5EpGBXjoKMnXU73jN2969EXMnwjJ1ZChL0/Lyg2yNOWTIRrE6cAeCq3nrL+r89+tWLk/
Pj0QPBfUygl+Ke+cTrwaEvmhF8L+Sdyf2ZXyx/kTbIJdcbj8JZ/uoQ/DLE5DMcaREyYMU7wlh+Jl
fJSO4/5/G2JxEiSzbLSM1uqvdhts5206uv8aTb/vlA9fsTgJjQb1fUrnIa7Km+BKPVbHZO0kzBN+
dhI+jLE4CSLUS0vojKHc5o7b3YAfwwROPJfCbTUv+Ss//2/TtogX6sCRpSZj9xdv07X0oF3l+7XF
X3ag/zthH75p3h0fTreVKGEpIX39y/9T3qj74o/5refdvurErnkI7/XJbR7DFcOYtR23eBibpBhE
GDHmOHrSL7PaSKXn/DTv/7fZW7yMeRmkqFEye/12OPy36bTj5SE+fXyp3BMvU57kmJ5OHq4/E4DC
RP1liatC+mHrP4x+crX+9/82zGJvy0Xgp/HEMGW4dYx9nFyVpRfpK4f0rPxEwg81irQQfimVnyWy
r7HgyItUnn47tR3mrhIN7Z0PFLOD0g6JflfkBRp8qHZFB2mo03yToEr4FiVCJ+zAsOHp374a8Ai9
AhAks0YfAg+L3T/2g9Dixld+20mKJZ085LeCCJlwrdJc8sFhJZKaZ/Hj6Z7BKpgKgRUB30RZewGU
QRWOn5M44Z/AyBzd9eMoxWTat9bCwuXLQfSPShA0V7C976IQp5umHXzEw3XV/93Vql2Fnl0asXxl
UQTwFY/GWv2PLmKAf8AYEeOC6ifHRCnjdMAUaG0UiLT8o1WZ4XHuctmzJRy2LGPCkThuyjWtzOUB
p6bAkzVXshHo0Jwl0LahqgVOTIuealWKrqcwiW5NfBa/IL5s307FVNykkAtWipZn6zcXMhRYCxRP
UZ5a9uwyLZUHCZFotCpVEDOk/3vsC1Tv8q48Wz20+2dUAKBzKnZ0tE4nUyptZOEzJX8SUuWUHnLh
xQ9ndnjeA4fJVl6c80+CtUMVCiQCe4/M/HQwu6R6aKMu/1SaeXsjsJK8yytjbeLm9T/Z+EzWDHlT
ED+CfrEkQUk+skp6Ypr3UVh0u1IyjS+dFSmHOMgeqIGaBwlzjdKVJKXzprbrVzLxZc8OEAvgLJu8
FNgDNZAlq96Q06SSwsC+r0KeBWi5gy2erEEG5J4XYYsKry2iCFz4BOP4J0Ksueq4ZhAk0muS8q+t
TPryUqfTPKeEpg00iy7XEjBXpQ7GBX2i34+dKX2F8Yp4cEcX9pewM6XbIXZTAHa6vKvODgyDzUZU
bF9aQNSAThdasPihbWb2fam0sUfB0HeRvLCu0JLXjj544C96YVUrr9f7iThdePSm0AOF+jYL6S4R
RLz7Pmr5eoDtFILU6LMktZXvjbbpgrsMPRXrWjS5rmxA7YvaC1CndlxZ55j9EEhglK94J7ej7+Fo
rKOVqg04gGNIlNZmfZWptVFuyOubLvPGgHLaYdTrWF/zTTvfu7xWFM/BhSM7QjHzdOLUAdmzBG7U
fal2k7kVsV6nuHvWmnHInUCzd1qmK+k+yjo535kI4QV7lM/tNYD4MqME8EEFa67isnuQsVq8Hd2c
hunQwe8RGcqn773UOJqLR7mpHUMQctVmEtTztoWMxva2qErDv7u8gc6upVkBhYo1IEbUOnjETudB
jkvdiGS1eJiSMeppH8TDsDMqfwzdvDWDtYvpbDjeSbCBMH9BKykITZ4OZwfCwhPESh7SKU2p+dQ5
bH0phgLvJlP7j7IbQLch39AgAljN2wwg8XS0PqHXZoStdI8d1niXtlrrlamW78sk6F17orY0pvGw
oWBnr5zL87vpvUDoUDHjL0CHixyMKpWBlk0qHrRQSF9F5jg3ehc7X4uxNTw+Wr/Wkky9U3w9/Kor
4ZuqNNlKXHZ2N/CizdzGmdw4O4As8jPHyBJdCiqicR4bSt1l2m39dhZq7Xsjv9Kr4HeEyNr28oZa
7mj02JSZIwPhENUygKCnc46QepV0dj88mIVl3/gplcDnulSd1Iu0WFBBB/yT7Ue96ffFiIbuysSf
Dw8cxp71+6H3z7Jip8MXeZOpwm4NFMaT5FtNG/iuz3q9u0NmfXrrVasxN4CO6+arrYb9mpbU2bJT
/4YNAYgDygAtySUhwu8Cap9mND70ZEeKF8aqjeuZ3SZXWodXjlsAtP+a12r5I65q8yrvxuhZK/zB
WLmil2/R/DvgEcAEmWGXFOVPp0EylN4Z20p+qOrGH12ihFLse7VJBap9QQAMqs3KFbjO+ZjoqQG4
Yti547a8Stohw5ICX4EHBx+XTaN3zu1UOeikJNIGSNKa0PlyewNiwxgJERayDhmFvMVGS4xmUuu6
FA/xhLpJ2DX9F5RIpp3kOIHqVqVK7A/Y4O/l7b2MrDQoE+CI0YJln4EyWFzYQWJo+BFWxoPW4nU9
a3LGvwx91NYe9s/God6OxOFMz+Akny5g1vZ2JBAp4qLspOhq8qXU8tjaQl85MMsbmQ8CPsplDIyF
i3LJS66xc0FTrlUegmSo3UTxi22PYL0byn7yr1fDPBRhPewFkIdn6BCnheeJF5TygLB/caNNwrpu
e92nN8sWhToRb5qwmJ7TDj2my6t2vjWhB852eaB1OA7Lq1CpHQuBVVV+wOPN2uWpsOSrirDJdivi
159ai9vTP4+ITgG9YLYo3LplAbJPcjmpOzl4sMKk3vmm1ewcJXe2NlosrgX78990kAAegXSc+yQz
I0Dl8jvdL0GO8M6Yt9NDXKjp3qnrGnpwVx2CTDa3ZdE+Xv68s+0Jthm8AwkTTzml1sVwstNN4CLy
6SFPwujr0GnalgrXmtjSp6MQVdNTBP7HxXL6UX6Adn+LqeGDowzNZqxSHWukcM0XE7oof87HeJa+
6Yz9A9NIKIg/3uJQG10+tUh6RPe+JCSEB8UolRtTK6rkeTCrqJbdMIHFYbgA5iqHiDWOwvxxEp2R
zcr1IL3/gsiox4PZpzZ2ME0a4rob57jieCngMOeZNog1Jq6DaIT/qDmx31WeFJq9cFyA4a0Uu9lg
mpOnTb2f3dZa0UJ7zoe6Mfd0n1uKXDFMGcXrRxEa2LBiNDsOCARbZXYdlD5WGS7tcaq++7pmf4Re
3EyaSaXdxtroiAMNnAMXDnlqAxERWUdTXEv1sjMOLabEmImMhVopphuC5E4sqpLgh9yuh0xy48Q4
6XyFa6KJfoPw0VAlW6Oq7eQa/bSweIxitSh+oGMXRvERCzod1nZvyj7uT2M+jEHoloqK3ZAbIrlT
Sa6qlikmOopWdK4ZSo1JL7A3qupIVUOJf02xKkDOhn5J1upOfRmaLckDtYpDJhvjdNvUSDbtyejs
5A24mYPFgh6gSHnrG2NLyVOgm7oTGHhFL3C/8nwb4WpDUorDosWfBDi+u+p5PPwdibcZvxVDk8i7
CvWh3jOqqTMfNESeKlczEjXbDVExyd/sQA+bGzVIjQi3Ha1sk8BNtRA5O/xRFOReLD1p06+N4qdA
X4YWr+kDVG9LOgSB1nTfdRAxGRrLXPVbZ3BS41si8JL5LcsUWQZPiTPkQjzYVToNVWfIi+CoqFLx
irp3OSvsqkO09VOtB9MV4ESzd5xckjejWg/1D5wP63w/EuaG+5Ka/HgMTUK9TTlofrzp8jCoN5Yt
BbrX+33aX7eBJvQ9djJO74lKwx5K97tSXGGGado/Eltq7cfRHx0xeXEH1GU7SGkReJFoQ2OPyEwW
wqIw7W5HCAa3wrBrdfDSyRadO/JnR5tOAZuSeE6ELwdCOMCxrdFVzd5OBJsdq68twhsV9oF4MTbj
NymUpOmKblTQ3PZdq0a/O7XWjX3vA+m4nzoEA6+rIB16N0uRw3oKYlwAtzh+tFlONFnPFnMU3mr5
J7QhYN6WqYWmvdWtEr1QVFR1bWeag5V9ARCqzwRcs0Ngxg1qo5ZzuDcjtHbXbpG7crXUr8VPfoLd
Hwey7vQQV50jb1tdG7LvBVDZ8rUi800wAkKC5dtoK5UhexHqXcDp1B4pMpXthzlQNelj4ZWJZYy5
J6eKqNHTL4s827B0WoRj3YRFyNdSD61mRCHZ7/w/FT8JAyEJCzjf2KS1jlhIXwGZetK7YfChEGkB
4tJZzkXwJU78LDhCQ41s0yvKJm4GrxtzZ3qVJUspFDfKg3gy3LSpKxMDO4wze3yHAN3/zYFMRM0h
UWNmYqNW5EF/YXPY0TaHI+U8X34pzp5eREH+Mx8lB6NGugjT+IwYE7pU+qmkdW67mgxO0UuFGL6Y
acRVI+dl9I9vIVB4CjBwFmc9EgKNReIDyAZ0jpCy38qYQKyy1aZqd5ocWNOjOgat/7UyYvGveY8+
h4SQRYi3wWiAWz99q/IYAwdHJOJ3HPaO47V+KcJX6BW5fZ2IjjtHTWKry1n4qfk/ys5rq3Ik69av
0qPu1Ufe/OPvvtjaBpOQJCSkudEAkpKXQlLIPv35AujTiajBPtUXRSdsCCnMimXmmrM7JKYzGT8+
num1Jwe0GjZyKB/geiX28Fe3Ja0HQmB4im8CeblvQWIlv9CG776YdoPs4N8e65mBSPUeAj5eY36s
DsHFWXrZtx522ZNawAS/JSctB/C9jd8ccd+UN/H7/cybkeAiyUfDI0nUNaukac8aCnN9/s0Ya1Td
ALwF1yjoyqsxLcsDwonmDzzc3NwKr6i/ffym76obDE4SAaeBoBKY6VrKKLUdkjI4iN/gvY++Cjcj
dbGnfTGxQf5qEHXvi7jIgxCVT/Oxbud4og2LPoneC83Fnowvgxdp05Gc9TOu++2UKHJopoNGHrXd
VseqK1M6OeNWv4Mbb7DSQwLTFfz2lY9ncoXNmqZiL2fSC/shynrSK9WAfspdXHkleLhuKLoa2nId
hZ4waCo/PgHrVLnxFqk4bIwlxqNMne+2J8laROyhEFMstAhJvz0ggVbPsRVV5vcJ4kL3UHpNbp6M
IsATwkNKjgUb70JxpSCB54hDTDKWFMjKRU0bdmI6O/r3Mlts65LUuzltI9/qxD6dmhLs1BhjJA6m
qcnM2HgYovgqFs5o7VvHQyXz4330bg8DEcZZ1okFuEh5pLevPzW6GUvbS793XeTtjCKfgMvRD+Bk
Rrc1l2TYR4vThJOWV0fqU2sLTGysyCcIDMiE8f9XObfFa7RU+GXyHcYf/E2ZwcJzUGmxCIVCzfox
0Gxe/s1cAGPiS/MfVptmqDV7eSnHbinxf797i5ef0jmfnrpdoF2nicxO3d4srj6eXTV7b44D8T+t
Hlh+bBFpj9XsVprRyqiYuu+GrCN0mdyhvJNpGbVb2dRmu+kWhxZBq4zsI0WI97uaOAgcOrlMJpfz
+HZZR+q4yt5P3x1A1dlZkwVadZGk1ZJtvQpu8SPz+he7mnfkdoG2kU5/AJBvx6uokJXjMLbfNUWQ
9zWlw4BGi8avkGeZYzs7I0MAB2CNVki5BQYsp20CpWUa+nWaH0tSvN9ZGGOVPiABQxp5XX0o89JP
8mFMvit86nZ23Oi0sy5bzwpjclonHy/x+5kmxKBnkdQxsEuqPm/ffIpM6Mi7Ofjuw+9wW4vRuMqE
Cym4DlXn9cdjvcMusZJUWdE+YyQmch2+R24lA7dvte+lrGKCK8h8vS4N4coNKIXWoijnLzUOfvkJ
/i1dQ6oWpoQ70VDP+yQsLY4lRRGlyEE5GEZkYy+IRfRP+SyS4qwErwbTOypmzm0y+ePNxw//bqLI
POIJQD1FApzStFq135AZMkby1qt04xsVKC85Yz80P3yiwQQShdzVtn93NLg2IEaFS5sCBvmHt6NZ
ZatD5Fu632wtd76huAuWzNWcXYPs5ZHNr/b2m0OuaD0gXqN5XVF6rpOrMyRzaOa6jgKeGioMi7dp
s3QnJTzu2yXu7E1GQfSU+zbbxYtdH3Er388riTjFFE9WGfCvu7KjvQNUKE8b/1tEIJKeLH1Q5dz9
iL2cx7EeaEecnneHC74ZxeMMbbdKcq6htz3krNQ9dYimnV6G9rBYYdbH8RlT0IHjrrIj4Jr1eOwa
UM0UqKm8UyhcCyHlKZrbwaibD4PpXvn+EJ+1udt/HevyG6HQMbHwd6PRwkDKhXZnGqnwVVeTKbpR
5vQmTo/A9im4L62OUK9XB+nB9EQqdjP0yceygOt0EuAJV7nnqmdGxQiruKAYZDv2+aI/BkFUXdFb
UZ33mdccORB/8WakqujIxVDRiuWtLDR6sGll+7X+qPXRcOcMzrRDa6HY1jOskhtTa57+3gEku6+D
zibpDkMZ5Dqr5FWPoPkkRJQ/orKub5ogKXbDMJebIWuWv+lJMBQqMTT+q+uHotZqAslAMbdtIR+r
yW0PuljGA9HIhcBzvIDyafibQcYz5B0Qj2puoIy3LqjjvWbN7C4zdKCjkv7w5T624yJ0a/eYENb6
bFN5Zb2ZSZXVx+ivtuOUKSCDB2lQ5/U1QvLlcppCH/EpQcf57uP1erc/WCj0EeBe4+JkylauCjS5
7mwtTv84y6D47kMk48deKhCmlMlJG7tHrrK1Z8Q252ImrQlMgstzXWF2dKrsLf0pj7EnvO8ghhyS
Z5M+orzde1O1gwgEnCtFliD+m/aSIFynsu3yu/iA5trvtEehz4tflY9BzS23wXOLNgvhbzgNyFYf
2SvvZxV7AksEPi47E2nft9dQ6zYDuqjOjD1xg5O4zoc/PdoNvvlF5Nz2cX3Mfr1DGNPzQpFR0V8A
QwE/sBqQ3FZS0GKkPcDA408PLri25VTzshQwll+0UUWT2zLnwtwt6HyMp2JKUcKomrROTufIgTJx
M6RsRoSOfFlu5ZBmlUS1bKwyeY6LDkjZ0FNd65FDsqLS2PQwHXlhkcHDrCGN2vYUTeDJEcfIutYz
SY8u1QTVv0vd2se0v51JvTPKcnZhJp8jY76uSV2eFMHc7GCbyn84xjweWbn10aNtCPuPE03tEM6G
dZJf74UWmU1r/YRtKQsBtEwbDW6iQ07F61jUvL4BFKMUV7cClymLsu5PrlPOgE0M/AAX5eA+CT3I
4D2LSQppxbZHCKjex0tD/tjMHG7DcEhBPk6btFGNpmEglZZFSLNYZmXbDiCXjWCM3fYbzC+CCkcm
5l3mwUXykj4TInzV4PtOS4WbMxmKSBSPvR3I8clsUMLdVvOQjwiJk8TVdlbS6fnTEGuWRGwY6vwv
sS4bMo45bmt8qLjuy2N+ycqgkIWhKqmwM0A94Y1b8xo5ka1FkTDkda1p09a0hmA/F7I4he+iD3O4
nEhuJcdoMddxz8uoal/iCVF1XYv7lXGbRW7hyGtYy6q9n43JSVEFzVltkvVonXE4x4EY9jZWO6Rt
0fqMTusxNPrqZKhnAGWF4wleEAf0uYz0m2Pd+0tbR3bQXIsxF1kICZvhh2U/+wev7fxLSXv9scbH
v5hs0nmKpoGGT4AVqySGJuDF6HqjuR5nhGPa1qr2mb94N5qj5XvRNvq2Vh2PH99QfzkoUEhKbkD7
8AXfWgAtBRUky7G9LtEKOk0oUhx0o0kv4HyLQro7h41WZ+Pu40FXZuB5cqlFk7qElwwI6MrsNI4v
SLvI7rrOqzZ0qHqHKAsvW5pLjxLJK5fot0DieSyVpsW4qaL3uku5yLSW8obZXie15lankSYruc/s
Oa7Dpeogce7MoY12s9/0GpUos802tq+ZktY1I27+3jUJSgWzR8YCzgKyVe+AoQt9bROFkPp67DOL
Nje/OJGBTv0kmvIjIcXK/L0MpdwARlT6C2qD/7aBYfyR5qhXKNIUaXyhBcaw6+vkmJu9CtOeR0E0
HDPLza/IGN+OIo0Us9OI6nqq5+Sir7vHpdSmG6nHCRxRTruzYBpBXCxrTgAS/vx720jNJqli+Gyx
zAAUV45cpsVeNsR2eq0tQfaF+1kLg3oZziDuqw8fD/UXs8k1jMNBsQE7uObrpOY0FZpT1tfaAEFi
3E3yM+IE+f3Ho/zFbCoMCJkICFpwOlZrVpR5hJaRJq5zg+Y8BNvaMIsid2sFibcbers5GWbboara
dUWYeMOxTtu10bNUbRUvVaVTCfLXwAIwZGWBxKu8Lo0lutIjQWFat1K92CIPIH5GltCPBKJrEgE2
EAeTUINoQrHTmKs1BMMh8qQx+2tkVbXzZIyneDcuWvcLkE8VbwuqpZdVJPtHOP/GU0RUtMc+SMpH
A6rBh4LXeNUK+z+P0//AAHf1Yhq6f/8v/36sBX27cSJX//z3RfrY1l39p/xf9Wv/72Nvf+nfn8VT
dSPbpyd5cS/Wn3zzi/z91/G39/L+zT92FYS885f+qZ2vn7q+kM+D8KTqk/+/P/zH0/Nf+TqLp3/9
8YiyvVR/LU7r6o/XH53++tcfxI2/bUf1919/eHlf8nu38Kc9/frHjbyXT92733u67+S//tBc9594
BESFUGHgM+LK/fGP8Un9CKTnP0HbcGkq2mzQFVxfVd3K5F9/eMY/OZ+qY52qvvIx4c9W3zf8f0Lo
jdejGg8gFafD9j9v/2ad/rtu/6j68qpOK9n9648Vb4Aa8blmA6YD4D3dIKv7szCytjLG3HnyDTZM
sDOFDVN/qIshXe4cpxf5va21TrevmhkSpK00J4eCvFZH+kNcgWjRwtoEu3EWJKALtjnZ3eZkDMqi
uyicUmizQp074sHJZTbVW+aqyMh+ep5tPHnYv/66SCavuOfGE9GjVVqNexm7MI9Zm5LtyqPYwmnL
z4mhy7HaAjBoc7GBU6QsPxneTFZxF5elMZ+bpVVlf2odYnF/z8cgPlOFJORxoDBi+chiv7XXnlGm
feImPmxJdYVRlqVd2CcF7CKth7hXLMEFL6ko0j8LUB1mtP9tR72u2e9rtDrujI+AMZ6dAity3nmY
t+MvIFs6OnrSX5mRW3kaypoaRrIBxqI1CslBmUZu20SCwaA4Tg2+uhpta+7M0LAXd7TOpJtUHbX+
urFa45I29oafffyQb62gAkaDDgIcRC6OJNk7p3dK8CuT1tJ+uaAIdHMbL17sNfvCt6Wlb6pWuu7P
3NEjefrxuG9dsedxARqS1cE7gMBm7WyLfq6B51j+r3hmz7mbQRdF9z2xI7OKN3AR9OnnKkIETW6S
pAaWeiQEeXv5qOHJdxpgpwOYXCGMVtPym8MQO0Oq6VNi/dK8AiLz0Bl117nnIGnytAZ2WVymGmCD
Cytv5v4m73R9ITRJ0oJJ+Xgi3j+JUvxBHBTwoGq1WmW5Ei8hTTHr7S/bHTly+9lwFwNNXDJ6nb1L
/ch2f7bQjJrgcxDIc3/W+jy0wW5Ia12MR1blra/KtJCZgneCNA7uI4mN1Y4FsgRNW15Fj1GwVORT
AOaX0bzTorIL5sPstxNb5OP3XzH+qDGpfiviCXya5/B1tRTBQkgKW9tDkrYEdScTsmQcCOj4oOoP
+zGzFztMy242xWaiA4mJANif9DclJes5VBWy6iYok7Ktto1Tt+Z1OaRV9/DxYyp7+l/P2ob6icsb
JmwFJyVydVe2pAe00+rNMj1MrWzZBDp4H9ZHn0bLgcigtQbtRph5ow6NHGv1JRWoY3z8FO8mixQQ
7MMWbGTEL6pN5e1kQYIGrrVz6wdUdTRseIb1WsbNMOtyds6tyMHugw1v8/syQ/26CFtRtkgZIpej
DTkEvVhbZflnRKR4wqUYzlG1FPUxV/kZxvt2vpgkJK08Wgd12uxW99NkjZUIqsVC2sV0tXKXyU4U
/VWzyFQAo2vmhofTvHLgZ/XclPW89fNl1m5GUr6nXdAWWRyWy6LP55DbVRLQIC0vkQx7R9eKa7cM
4qUMSYlPmERTy2ajOtOXoOCvkvAf0Vw8MvOqiv/7C4F8R4yT+hNNABDErqlK2JlVM1SD+Ok5qGg7
oaCiw1aMoj4I2tBYPMXZEs0v1rPobX7WP5sTYVCbTzYT3Bdus+9H6/gZstdWHM5jnBFFC0/Axdld
bYt8ylFYTGrxE2xO2jY7q8t9+8I0Ems+t2hJYjrgSCuWuxIOuRkYZEL3TRJi8Ef3GrasSDtpSztb
7lqt79xLP3WVgwCZdlkEB9iU1fLUnRWwhebBc4ZrgYT7crcUSEPmcA4U6tJKmX0WqK6ChG9aeKPL
nV9OE2tnOdnMl27RY+lvhdNZ3d71erV2+RSnOBiokTN8oCQy6WCpp4w/UeM88OSpBp9qEUpB38f9
1LlVI/Zo0BjDjW3ViyR5kENgXkBWZsJOFUfldBLbXK4/Kr+K7LtBHww2mefH+BkDXEm4KB/vjbXV
ZPaBPyiGPvpK6XxeXSZWNFexEQiEiI2ygzFtAtUius1YZ3VxSkw4Yig+HnFtjUAMQ8lGFyReKXf3
esSO0mQyouL+w1p6tRnH3lbmz+y8nMvbHRrH/Ul9dmETjmYvu/hCsZqxTz9+jOeU6e+HggoGJSHu
Cir3BFPravJiDX2jBW55V9JqJK2NrHtHe6qbpMEagQ+vjF0beXV6NXR+jMURCcqBu9iX5lBvkIcf
i2Ejzbg5L+DDv5mstvDnTTca7nAtfU1Pw8ZZpvqcTQTROGKeEeUEOwK1wGFPdPZhPSR4F6dRBlcO
Jx8cpPWZ0N0T88bKW2s6Sku5uq7BUtOD89wQrmp8xARvDTCk4kk1Np13O/SVjhPrtK2JEzssat9S
97Ptk8QYJ7btlAcWX2L57NnC+KC2tNVnoxndKCountds0qVsT1KBQDsmkpKvbuybAsKg9LA4c86p
i8ZS+dTGTOXmrvWMhmN0ZBFXlo2UAjJ4hCYqX03b/pohtrGqcqmzyrz1ZWJxtqSI1QNIzerV0X0+
xyRyZ54tSuAblCG2UpmUVjRcNIgp4MYbk6O+BbK8y++LIPPsk3Qs1Dw081i7l1Ez8ak0sdQrznHp
dvtc81prL0i7WV04c1/wukdebeVl8mqg3m3gbeTfSDGsqTPllBte0dfzrQVFPtMv24attRRLWj9K
3UfhYTPLulnuPLNS9yMisQYLMrllEc+7pXQNRFsDS+vHW7xUkDib0QNOXNH0tGBNqlQL2GL2WAhl
3XrM5klqihGzJvFIGDCVJDnMkBjLYCrK2GYqUPYFHR46RZ9xJOCIyvjXy/woU3gsz7KyToovAO+K
MhXMhbRwrV1dY1xsdwaW/HUoPVpm9y/uLZgT5MlDIsskro6ZhdV1pIYEjqWYjYEXAjJcXUc67ae2
KybvKxledoicpWRDcfczPzaNmbWzi0b0eLuNWyA61Z4UQ1ThsmD0mKWxnQp55bmdH2X7SNo+xgAz
NFy3Rc2nplLj4Mup4qJ6Xba4GSumcir8irPCKVLLQduPWggtSw2+BHMWDNc6wpU8iZPn3E1wjak4
9eMtBzT2raPAy6tLACMBLzjokXVkgzsIE44+zV+TZEYPZiMhBxZhNOpRdukCnGznHW3dLlzMIE+C
LNm0LVrAZzpdnJOzEXg7SAjEpWZfRGUC4qgZ6yl+1NNCPxmj3na3uVfVxS9q7guJ7Not2/txMYrx
sz2AT1+2flYFjggb/Meu39MR6Q+XbZNEU71xS700Pll6awTbqmoDI8wm2bfRpp78Zsk2STW0NCTH
Uz5wGAZadJEBnDQns7M9jZi9feMWcrbjUJ+MfuwPIO0TI8J/A+J+KqGQYjq9pRiXhbCWrShOp3yO
+k3TiQxWzMCLra1DynT5Orq1md71dhEr3SppGuFMfFrPdLHLLtjCgDrmoPELqLVMS24bSN2X8yio
dP1gjDCI7WMNSg59J/K6tG9nZ6D3/TaoQYd+neRkyQutQyHqmhvD6385reu2twsMllW9EXVtJN0X
GlaK/BClZDf2S237Zb0J8tqiwcRrF2BnD0aZ+dWvxBT1MG3ZKnPzFPRyHPUQ8o3OyE5kRLecvyUO
cAr3gJhR7l4Ghkd35mFwhdkVyVPiV5ZklifqH619sdAZwpZeAM2L5AugZ+nquwqxPuGd9tAyJsWn
ypnyJt6R6ZXj8Gl0ojhN91oNqad77ci2rU/dDGZYurgnwqkcHvZF51ovOj8dg02s2W4jt0nULtl8
OsadlqQHoMTcNmEejDYGdhBp73yvtd5VjIqjM2pROFq4LcZlL/C6gFHOlj+5nwswn3yRL9/U0rTg
Z6r/jeGWurObB3pvAnM4y6CRjM0TY9I0zwvnDNyYd5iAjZeF0mdQ96IOZSuvE1sOl8r9FM3g/0Kl
y+7En+dRjMK7yiItG4u9l4NFEqd5Pwf+8JneICcNgH4EKifhtdJJ8jsvJvm9nNt20TFT2txgsi+w
2iirnGtW1HrFJyNtUqO4yrIx86PdmGEI4l2dwt7dhpgs9UioAhS6uSN1PyshbpFnrb+tpK451Xcz
NivGK7MiCCix+00TtoTezKzp9yk3SGjQ38Mf4flxWTZNEyif3k463j4UCfrT7h60vJoxq5A5X+ou
kdpNVXrK5EMjGfvo1oyyZgPAEGu6Bxm0JZ8TL6+aSGdh+poMLI7HXdJFjFYkBkFmZaRqeQw6LEzn
m1FMap4rO8jIJWm91rIUGo25if3UNAQ0zR6mCDytcPQNJNto6UgQ8WAF7b7p72RWQfrMfGnJAjqk
X2xjuvAzTz1yykqL5YZGq5EREAMymgfw3mqDua2mVh7+W75XBCCe5XYYKJykXLF+M/IMQ9UxbPj6
PtT3rOaBhFvC95xJ1O4NvLVRYIU27bz8eeElwHJ2r7snWrqAPwknoXq5SM7Pk9Gza9rw1ccNnAUJ
PALAzskvLD1ttZvXqdZePv6fSX75HJkCM7/wTFHyAEalJcNDnroibQ9pZc28dGMuE2PFphWn+g0B
eFwHG+dloSizSLYakXffxqcVLfeRA/N0Mszu56Dsa2ZpMMHqxWRhybG1IWmOaAhg6JmV0xuXjsk3
Cy/Wm4fgZQZrwQnCrr28U2KmxGghbTTuaJzMva+ic/1laV+2hxvBGKnvaOXjN3aOV6iXn9w5YZ/G
RquGSezE5Ztz3ehecrtoqd3LM97UUtP7spGWntZp/G/TUn/FgBWC31MqKOyuTibq0V8mVFtGWsXC
ugDi6e003anyDKFPB77+Q6ySSPpupO7EmaYlWmU+upH1TQfPbB4MV1EfbTp4WtTLtwPO7udOAQH5
g+agvthD7POlqHR1HMrFUc+vWBmS8RZZ8wJG+yr2+btJAyOvdZJ3M7wZ5/TEqb0CNDiQ3uF1yoNs
aHmcKUWSdKRtaqoZPBMpBfvDQPOZq9/iuWU+fWMN5dA01GFvZ3AnS2pCJlkIcpsFCQNSNixT0p96
dayOc8/9yvfyuXczfw/LpznNZxaAt6lGzanWS+SoArsoh03UxaQNaa7u+TzsFh1fcBqd4rJsev47
lyN5O0cfEYvaNOTyi8shlxFJgZHiP7+ZAOO5g05+IgqI5kXt/ZFaPUniyWpMLIzfJkXv74qSK7ak
bw2uoO4UFZt2mX7o7pRhb+ICttr85DWdnNGpCdqjTwri3UeIRmzLOhFZwnQcYD3lzDQ1wA6WPRrz
aIHMAb5vedsgNjy6J/Ll1acg7pgiS0ywEnM9xmPn7NxFN7BysrXV9BmTULuGfJXa4i/5U7/LR2bA
6E31vjJNTb60bHA+39BSxr/SYiGvjGxMDoEKKYvZhW1ZGC2fcGdDxbCD03fsq5cky2KgaBXt+6pp
I/M0jpqFv7G8pN6AKlhkDRvHzklRRkZO6AvOJ6+rUBYkJpzzUnHEjxtpjylJ+Dj3JabScqOZO6+b
sTTZnlhPTV6fWipVYPZ+Ti4+K6qYX0flmbf8MeKeRdrZSCNdm14GFLdJUtLNylR6iAC48otNGmuO
drBZaXOyd0fhFN2W1AX9VRuPJJD7047hh2o2XIYBi79o9sJbuVWpro0SWg1mrTVbg833MpOZrMlE
U5NMLVo7F6eMvC+wiYzaTYszTVZhEU3g/sTesr80eKSZgYwGFbWNRKVh/AkvVZYKRTeVQKa+A1X/
TzeYk8Z4sKfCLS5dtxFztLfNupPan2NqZFO040azCmfTFeS/gSsUhteSm7HHXH7VY0in45CeVCuZ
rkcP36b5BQ5/aMwfXeSTmji0eT+U9A2ZS5ffLXZv2vWm53aAJkIaBuQYG9DWQW/07PIyC8xw4Jua
N2y8kcrUtH19k5e1bERGgjiEAn1Wr/VsbopiUPYvmGNlTfD+1eFNu1J9onrO3keZqb5HKVbjE3M8
qw9C1eDwCSJ3VdtIQSBxlGO8xehykbMhdhkHVZ3KAHBkffK6ZfEpsUQKFsuPXlLwypxqcdhOdOR5
G8Nsdf+qp8VwpEFSr0jY2+gfB+apanLkl2JtUenATpFaoFGHWyZPmwXCzBubnsbikrylevI8pdL4
83Ugpw240mhwYbFfIrYqzWg5ofla9PaX/MVg5S+JxgbuNnYDSnQqCdm1bmvb2xK4fA1mvXF77Yau
Z8E7y5Eq3nCWmrFy4xJ7YgyPRlQeq38+cBqEduzryOnVIRemKjNuq3FSe9KLFmDiGyfpqrLcJVnB
ady/TAh5YGX0crDl/F27M7TsPDGtgibbj8OrVUBPLgf7wA6G/Q7w7Lu0ciKpIZCvNm+SunZ5ai+O
J07DSAP4ZaPZ6gQVA4mXBAxio5794+FV4PpbvksND62RC5oWwjrGXwW20AHW2th5pKpeTGNGDpin
IA7gJH081CrRxGkCGofOmuIe579rpjOaihs/wpX8zx7R86mmwU1Etv0ZCIza3YGbqEXt04wVBs9o
s2SvxvHjZ3mbQnDogyQrBK4cdC+4b0qab5Ne0WCZpG+z+EZ1Ebg/U8dQ/njXATfeLTWu87F5fj8g
kDQSB8BPwLW/YzrMk1Y3ilKPrpup4qKIc278U3gGMHOvJ/vjF1yh8NQbkruF6A16PpMu03Uicyoy
0JOyIMh6sRhjAg0ETOiuNTvOfrI72sIzATf3l3605mxb9pWy51aLaYCkm1bKI1m5VaMOT0QoBcES
pVHAMaToVonGGaZT2sut5hqtJnWoRvw6zjgt+BF2PfWHlCVI7H7mZAYWlwOuhZaoB8mE1fRLODRE
9nuntGpH30yYljnE1Dd8nPMRGZcpMBcL3aeXepZ4MbMfT+t6GVk4wIQw5jgvjWSrxDj3biPNSRsu
ky5Xlml5doRE51T9F7QzevsIjP+vxnMU25f6H9pFqznzJrwR0H/95eu1h4Y6NGw6/UxOvWk7ZEP+
3vuR8qdtgPdT0DDVJ/32XFhjRCYafPPly7WEk6xWw8sLzkXVNerC+HjAt/aH/Cys9WxUBUqhUsy/
3w44zsuUtouTn3iV1uZO6JWlZ/10Ww7MsSP4fiiWjt4/hZQmyFy/WxkhPdvHbnzy4ooMsKljayaz
Kfny8Vu9QjH+a1gh1VK9vvQF0Y2sGpHW5UJdpy7jpUl3aBdTT7odXeQKjdADqOrrP7ulooYe1l1M
bjXYlNFCtLiRTiyN8pzbGghOHNa5IPPzybTJPehXZYS+YX0y4xs49WU0pbkxzSHqyR1uStOUhEHw
ndtVsyuLfjFlqNe625Vbv0V3svhkTUZtuVfBSz0vhxVCsz5HFWwW00UeJwMk+Tg5bmqQE8mAapwQ
aHhpCTV/JliKVwfF056VHPIXtwIP3eeycJ/N2EuokY/I/d5AnwksOyQ0VG7AOJgaDm1N90NxWZk9
H8DFcnvv0uogK8F9fPFtBMVRTrsufGNBKwB0p7Gg2NQGVbp16RfP+s1/Uh4N12YCQ8izI/PsQVFZ
oyNqu9DSjpHwmsFqToktctfcCb9myDInqhjOdKoVaRwWU9kRT5HPB6Z/a+H2BtalS5+HLU4zV9dU
MqAbWvKs80scRhN9ZzXbJO9L0q5kYDyqDJssoTM4CrW+jke93DSq89K8CqAN9cZd3CBO0Hx1Zih4
6q/UG1RFCx8Q/dXLWnYUEb6mgmxzvAWEBJxgn7SNYWRhCXyw/XMm9Oz8M8edRvOn4Uyz9C/tcoyU
ckyQ5eYuqzpNJxLGcEwyBMpFLX2HcAprux0nc2lhatLITAwhrpnh+OFsz9H4KQ862S0bytFjSjQd
+C110TTRu4OtF3J8cPUyn5NtZONwV5vSq8r2e0XmhfYGCCZVye3VFjXUw2P3k19it7N9lRSu2eNF
P/tZJL6VnzhXUl06L1ujePYGKw8VUjzqAESM2AwtIqQGliyuPR4DcV9zM+baEHzFiNf+jagCrdiX
qRM7mySOxxtnTp1sC/9hdEjtwTpJdWs5LdtpOCGTUV97rWuGU+Akl14qC52c8dB+jdjUJwib1N2G
05c8ZK0ovsd6Wm+rXodYJEpae0+wS0rJrJxzX+g/65zjWI3C/eSOqdh6dpKwurrW7jNvsndZnfaf
l6yQaIc3loQqSrcKdqxbPiaivzENW5wD+o/Py6GTO6cjBQ32JT4Z6j7YJsHof/FE0lDXF+mvtGui
bZGIeDPbVbV1IqDy/gKfzRxVVIEr4dj8aR9yEuh6vP3Inzz1icce2qnuD+Aeol9NkBeHfDLoa5iD
zNknmV7fCDrslk1BiqZDdquOb8dp8e8LrXII5fvy6+gjYaqbUj+DokJxsmqa9ckmTbdvZYfOYOZF
X0gepuCVpBX8Mij1EM8YwrgezCxJ92KutJ3RlfK6gxsTyTTf3Hbz1J9ZXQt/klOOfhh5QZT439MB
sZlTEAj9Y2fambGreyEJc1BdnjcD7WRPvnS8cqtB6nRWBsARtrYhsy+QVcFaQ63+3Omk0YSRn9T3
etaJTxOsBeeda6gdGjmqhhoP49mEO3uhe/lwSvZbO0tzC6lvH+v3yxiRL94si28gfQOu8McomvGp
oS0iNFNjue+6rDZBFAjgg8vSsXMRLCo2IKbafkvzXD6duciJo+NkiPRyNjwMMSFVCO9SYZ0Byi3E
WTs17d4UvXmOzNi0IdN754zzo47WC7yRHJ+h6+WW1KKebmCeQHXPmWtrZ3uyuhSJ3f6YxYRPplPe
Rn61z8FA5CG0zg68vL1l31OZRv7DLGCIJ1GwMfVSfpmMKv/SJbPMw1zKGHrdufneTqKEVg+pObib
WpHRa6sXVFx9cm4cvClZQpte5qvA7OiCqJYhu0dxaNlQ5CnvqhreJCEG40tAEeFUQNEY9q0endn0
St53vjt9ysj3D5QdbJpIJJLUUa81RKR9/Mn1tTrdFEYe3LcaTg1EIwJ/xcm65sod3XyPoXdd+IYW
70QadXIFTgdsx5i0t2ZdicPQT8YhE4N731rRLfLj2e3SlIt/aIQ9b7KmRPKSCTkk0uv7HW7gDMI3
cKJNazdUbPNYbvRkGE7dIBeHBj/U2MReF9wG9Ig/WJOwvmZtVD8MdCs80U8abQevNi9sgAUHnZti
20yNvMG/1DY0dw2ftLbLfy56XR0sGshAZpFOvkT40+Yum7BIepb65IOc3D2hKSgKRVdlh9zp21uw
XRbPP5j/l7nzSJIc2dbzVrgBXEKLKUToSK0nsKrKKmgH4A69en7RbeRjX5rx8c1o1qMulYEAHOf8
8mTowtqVrqU+weX6h0Dk8mCsdfDcNHI7Z6rEruVx5LIGN8WdsPXhJEd7fqCvS75I7Fi/rGricDD7
dbqz14aHB0zr3rCG8bxIbz4W82K14Da+2KduY8esxygsgT2C46bJ9JJyvD1utCC9+kAnn/3mDy+8
8LMDD5t33QxtQMPkFrs6SJ0LDLdhRUMT1LG/rcLifpdit2Va+1ABwT9kS9v1EcoQfSfnsqc0e7Qp
+nK2jehqezwjVKpAB5r2JSOaq+HMbpaEEFn/YMD5RVO32ff4lS2Qeal94yZDg3ZZKXwrAmo/Fmbd
2BuBtP0L6Y2TNyR6K6t6COugSy+zRuwHKEt9R/CSeKsH+YM/kwH0FsabaphgSjoU75agRH7pdEZx
CtrO/CI9Y5yR48/6FanP+FqY09TjfKotOwpywzvbaSv9XaA3Ijg1ud/F8LiUIkzw3bQebY0XlhvB
DGFDJspdq8H3n+kt87jWrj4P8tIHE0SPsUhjPgpMMPfWYmuPngiKLnKpQWiTPOjkU5kVU5NA+a75
uSmqtog1KRxEiGlqaHtvUmp7Wn1BeNf+NnrocdBT3NtWXLV2zqpTxU5OXRs+MaUip8GyfAUtKVVk
jUb2MtOeRpiEXrsX5HqpEc8GI+J5YBEf3pyC7Y9UDU12g+MyOGUCWdFhGlzv5JiLLsqXzVpTk1ww
0k+C8WRy2OlH34YR2Pf1KmScT8oZnwMtqwilJV4tkKEkCKyuqEsOlufCQjUTmrldP7aroW372WWr
JCetN/XLHJSLiEw8UN7VqzlOcViTA9CCbJ1KGqYiMlqr06CtiyrvaxKEgs3i8gt9aWJwmqa6qbQ6
k+iTgcw6n3xBt3Rr2jtH1fI8+NCb0WisZpPYxljnlyqHnQ0bAcwbbcPSC+JEVogfbyyrgygI1Uoy
iMJrVQCTxiV2z4OV4YGPiavNPSCxUhrHKpMddOTo3CLRZthvdzCHO80JFtI9S3rcbklyFlAcmN2b
0WnyewoYTSzZrXRstKTmJdmUm6MZMcLlWhvBzSNFm0Mvd59WzW49BrPRX4s64iQd+A2trhVL8YtD
qPfdJO9qaouy3liCpGqw+OVJZy6t41wNbXLHV8hc2kPL3rd/ZNP0tW159prl3VcWUDZAacncPM9o
O5LUTzGA8/K4VeK5EvrL2871atZ30irG3ZTLIOr6buvCW0BMFzaN0zxLUbuxlO4aEjZmc75OQ/Nr
yNJt59FQGfb4oK4wjL4eGYuayb7mZWM/BCq3nj0ERJJSYrAe7gdumBA93PxttF31SOuo8hPledlF
UTXxPPZqyJJxyab0CGqceaHWLMGxacs+NkVf76o+dZ4FiY5JQODouUod7WpWi302O0jLNlOQ14Tk
tjFx6tMPMXrjfltMk9Bcj5dwrBNZpJLOcNs79IPzcOzknIaBmvUl6qvsljCnpi4MjCZFQ4ogcjwq
lw9HpoFmPG+pLL5TeO9+X8KvxZKHcg5xCss73vK8/Au3quOCEolvfoT0ibdOsRuxRUaj6PK3ssiM
L5C3ZYdoJ9i3etDsMLWWD1qJM2hq3PxDF81rXaIEy1jcdp6Zlp/tbFLb4Fht+2npqTyNppUuYSqX
0o9oq7BPuNL50JkOwl0sU8Sya92XrCWnaTaKX1VueV9VmhkflWERIwdzGztd3x4tIOM3wHezup1p
Cwk7dGRf3TS1mFs5HG83of3Lrm7L8Cqa21t7MdXPdvK1IqndAiIUMLl1j8IRNDAqWZDzCa3SAhZ6
c2kQUsk5Ero4bp1r3SnzZ57nxPqZNT9DWNZe7kcVf28E/MU9ka+dc2yIF/JIkkXIKZm1quzUdO3w
3rG15VHVYVr/4sVL9HOg+fN00IbKjYeu1A5F75ivN93AztimagwLUkDvHWcpf46T3/F6YPPcYcFF
DdWmjnWBupPnbkVUEsqMkeayqLH7WZnDQlAMMOMUFmQ+/xqGlWeFh5I9bexAMb8nWKsphJGbElFO
1gmQOkMyVSwbwzyy0d9YUKd013j5cLZX9rdQYxwZ4jrtCVbR+gbNr75Nztug6vrT66YF362l4lqn
+PJunD3jGXbND1AFMcOF7jDn9X5mqDpx+glabfo8LxnlAkZPVBxae2fls6GRWXdT4q3EbHaJ7CYc
BihSuIkiO2/y0q6mXTa5UClNFZUVQ5pMbmvsFKVrX5jM1JZItw+hRlHdm60xK6p3FdUAITdvu3WR
NMasXveabpIDfO+OVuqTN9wX1o8a2agmoknzlzLdQZhVi36t8tZtg4hte7G7cNzIcqZWhReus8Y5
/JVfhyNqbnuNSdFOm+q8+jRx6pGiDNnoHuoJdMgKF2TewbiTY9cXH1Q/2G0Wzzwq0Ci4cSwhw2np
W5dkCWY1cRzzUWv+qF4tGOly9E+NIOwUru051U24lz3dB8UgYrnaml4+lGNX8T3YGnKpsUTJDAcw
IXPn4/9utMDTuY6qFGscdPnifDiwTPnz32Ct1t0Ih6EObtCoaaRLd77Zj9mE0QvceBCew837zuxU
X9w9uuqN560nybj4HLs5J09V+ABdGpttWs74ASXH8fA25gAK/mVgoFzu9DLQVzsaMzX21X6D3eLb
4pVXtuVPyx/F1MROPYyrOFsjH28LcY9hJIwQvRCV9WwNTle4iYtQtbBO+jj2K33KVjEw47A7ZP2O
jB86KZHptXGFCulqIuZidO8CTsw1KBiifHtfDF6zrh0o7ASSWkRIqsZ6tpNMLHZRJ92M4iYAOxCt
f9kY/fyEsGs3hQWb0qAbQ8PuAzvx1s2y9/B+zVvnj/WrhrqGNtcW8xmpojw7CWqT5lsXFVMW6vdc
VknrqiCPJ4lOZQk3s4d83Nxx/UtlfwqKbHpwUMcewIGLS6unVHGZ7ngtjXVtks5qEGuRpLe3Oq1+
JmRl9o49I5wXWqJbbSoqCXney0FHxbj43Sww50zVd7cRnM3RapMA7PIeHWPKHNcnLJzzwoCgkc7i
DWyIadk5zl66NuEPaUOChLaly9qFRjb3xhNdSZUTzzSN/5KEEhFgVk6sBmLTJrYRWRp5wjgh1YFQ
1mr6zjSqTzQ6HFtTRFuVZzt8WlOq7ZrR8BHnmH0golS32zaxV10dDNV6n/VU2wYpFamJ7xlAsXDY
UL1V3TUki40xvulx+ED6gGwilGQM5xGajn5iQDJMdEWAW3cZm3cT2j1z+HWBcFvC2aq8hH7S+qRl
qkXKTt2B7NDWdQ3SDXMdVewLJ4CS0oZ8j2+BL8ZbMi200NYd+q7uy2gEMPu5IVjg3kiDx1HTWz7n
1u1co1seVr7s2A5SP0io551/a4iX8rAqu+yicQyrL5bLOX/0ykbepi7LLA5MMC45WJ5T/OSItNa9
NdnlUztb6RWZZPadSYMr78/bglyNigS6KLZiCbtCn1/9xRkfZlnnfARsbLDDJChymnoNZoXKCZ4M
4EMvDsqWlkZAiyKe0ca8zwRGLJFTKfsg7LJEniid5z7N2t1AjdKHKxWNJx46xFzWGwp9tZHm4Tvr
HZ5Ks4jNUU2YumqBQD4opmA6Zq5EnabEhhw0S+eFH/dWPjpLtuGoE95q7mCI4Fkp4ChUnE3WxNGr
4XcowqHzkBdameoZCsSqrtbYjZfMNCY/1p2s83YIIbqXefEGVMeD4FOiBvC+bJn7WdgwgN8TIcrE
q24pkSEz9VqEbpUGyFGqvshjXuglyivgkoetAQEIN7fr3KSaENjFlt4UyUZpNQiFg5wO2UjTxZPV
/ZlVLhIzVUs0D8766XFaTOdlELfy1n7yn5Qjh5F/ziEYUUPTc7Ias72S0mue/byuPGRCKUlH0qAT
SqNk9OdKpOxp0Tr1gFavjNCAmT9wxYwCnsEL1qhwVCkjb7aLNR7ntVRhLf0hTca88GvOX+qZz6Vh
rs5ucGfnTaNserkDuaoswICW2r66a4zPIkDxEDYIMe5aFCZ64s0EU0dbYOJq6FPdaZLGKPOXylnk
HPHeZKpjPo9zS/b+7bq597M1A0NbZpve+XVjffSoLLJwGutPSzXthxzaNiRFEOwRRSVCqWzilq/l
Z6bNOmXmatHIG92Mqxyx95CMNH+JbNSOsuShjmVRefcDEcWnwaGam428uoALeAct1f03EGPyhzOR
uT87c7OSxdbV0yRX81ipdjAJffbn27SmN0hnBBCPp5R/UKRdu/EWaAxOTREse+GYU/2EW7aIJeBW
LLnV7ai3nDFhfDHOYm1ztIGz8ZGn6/IRpIMRdmrUsU46VdKQy/MHWbEeE8Q3vPqM+3vDTo2fLQr0
D50/4oTk1wOkWdoHnhv/ukDy77tp4Knzxx8IlIeHbtRX+o6GVjd4DraHINPI5ZaG3ex5H0jBmqGs
mOSFMyiadpl7U76XgB2xv7Co9HiKt3DJjfZN82v7ucwtu4lsUP1j1wkDKgylZWVZv9YR9F8mVQce
JH/ygqqaKYYDx8X0wUbbNt2TtBV50PdDmfec8sr3b9ok2eN/RiSwrGXTwzVAOLb39oqUZt3PdFRD
LFitvgz5UR9zQkqPCLnX4TUtltn55Qi7rQ5l6zeDHaU28Wha7E+OPUsOrwo1C5wW+ogyMApXjxHe
GRtjo6+vRURsm9SX47guoJihay7OzrbF7H8Rhj5wqPQd7Vc155iT607MnIdOIdZWirEQtNhorJAj
M8ajqlrxQvPQIGMnYWCd8q79rffa6qkYQhOhXqK6ea1yGMsiq1ALdVl6E5FzD/bQIFmZbXr/OFn+
wApTWIsr5RuxbulUxhCxPnsflqFiKe/ou1VjG6v51q2V6J01qv4nSW2TsYb8LV2xwuvajGThRn5i
Px1IYXHKgDK69fZJbDfTg3qfZ8vk9e+jlm2mQ4+7X/FraOE9dzlrg2JhPperSms3WohP9qbdf0LP
/dMgAvmHgfrWAQjJiUwP4cM/WUehs3OUSxf8oh8addXfrDehSQ70k7SaDLUnrWiiiYjAlqYXkqSG
ESms4VFUNFhi8V7Lv4iu//vP9U+2lx+LPhYXuyplk5CHcEX//LEKZ8WalBXed9V2N6Kl+Vv40VQB
sU57rYUu+0+Iyn+qT27/IjZursbNOwzle4sY+N9dw4CG/qDjl/jd/P0vTn+rauiLkFDzysvtERHc
ROselo+ihKz8+6v4L+U1vLQN//17BMM/ohv+3yId9r/bWxiC+ve/6v/LNAe+/P/+P/MS/o80hxBD
ayF+/LfdD9X+M8yBP/Z3mIP5L5uwBmyzRI44+Kz/I8tBc4hygHim4DIg2NBDXPS/whwM518oQ1hP
8NB4kO8uvwSZfMtzCP5FQPhfUgNISp4L77+U52B4f7UI/QcFTn4d5kGix13cxX9leP3bzVXT6WOM
vclLvAW2HKZ+u7OawPo9aB5qplpNob2JPKRyjozpqTI/ycHf9VN+AErUIxMkCBZjNZI8HZLAK9N4
1vIxDG5MpNEF3nlLoY9AIBNprvbOZYs5dPXWhKRX2yE7rx4P0DqRsF+lHE7rzPRVmzlohu/1h1EF
7rlV5XN+AysXYKA4zdL7gt5a5OnuTpcqlNhArp1m9olvdDPANYxHG2haaGhFzTtLDk+SUKcYueHj
uq7vqZjiUkPe3nu7Jk9npuA0ew8Kcq8MT1xWg8miIdWSM9U1P5pFUQOxNV1k9syim7JYNVymdgxW
r81UOvfzYFpHDPoN0Fzzp6m9IEnxXj7obrn9wYHwZfprTSK1UcdU1JZHs7AUgcpGel8Go31m66we
kZgbx4Z5JhKBml7JwW3ncEwX44QVQ2cVoxfnycadE/WZ89gVc7x2aPam2vheQG0G1pmlmWNhdPrj
LTgyi9ms0otvLp3Bv2pv157+kisLtKCOKMMVkzWp/6fPDbby3BppIBk8Hwina7LP1ldmxv5gqoes
Mr33uk8tH7nXtj60fd3cWTwV2IcazI5O5llHcJu5f1DbIq5Y6f8EQ13Q2solnBJzmNfjiqhuv6zC
ZWBVAyzm3s0QLRK/ipgJyhUlS2SJ2QUiL40pnrMm+DBLmxVOoZmONdXr911jKZszrjaNl17P9LtJ
eo/C1eykoYyyj9y6riiqL902HJDmce366tIWm0za0iIHUCIlODGluPdTwLdBEWpH5UWx3aeyu7Nh
6XJkAYJaFpyYIYjQeqJ28Q1hqFkhW7Rh8wwbYrgrqLlL110mzK+mZk53dZ1tdSveC7a+eGvRFZdW
Fna6g+/MseLU9I5+kG73q3Tz07qZbOm4M7LHTocrQ851l872xa70S1lR31dMYTmsH1D1V3zmOFaL
sxhvdAtQM2xQMoKyR0W2sDJrh3w14rzsQppQoy2XDtCL0189r7qHlNmjEI/oZIyRULzQERg5Oj1G
zEgyZH6+A+2NBvc4WE9T+9wTudBNa5SZvyprS7Bqcz31Dx1G8Gmsxns233Cx+z3HEcgPI5jOwlDT
nMW4eM0sEcOAsN2tEsG/mQyimRL6ZQ9FUaaHGjftJmmAz7Tg7GPCP/JV7cDxzjXMLMo/cz9VjhGN
y0obDzWNVAGpE4ba7YG0PnSkJcHuGqBz0kNKPPPYXIzyYaWRzNe/isp/zXVBy49DSgS23TE4Ws0W
kiJxXIfy3vT/6gyJVkg8upfivPhjc6ogHs4J1i6W11latJo2Q9iU/R6w32Z7l0mae69enRash43D
Oae+AKuMS16uU7RUxR/A9Ye6ZJPcSg/eVe8/4KnhyQIUzDyNRxOObYEVGReUNL36URfF3sB+dhgs
4+cKGJdd6y21gCPUuF9LkULHVHoaVziuilCnS2gO+r3H7EmRitndDShHMHUX9JOIDe8qikAtLqcq
Pyu4eS1s6lJCKwQTu4UW7LK+ioa8ijV9TVZVP2dV/pvYkZ9i5VIZuV/RKUoCzVQlXTptiXBtxHve
qD2hPFHfFvY+nY7gJ9kQTgPmrd2V+QQFngKt9WAywXSlX6yKTdgU+gZaj4qYsT5mWWe8EYejwhZh
1IfWCpqRbFLfNLEFT6IsFWohSPxKquBqW8UuS5E/eYO53TA9I/RbtwwNx74SMPeMlUxETuF/1Mj1
MFiWy3EOphGRrX6RYPmn3OoCcl79MbLNsruk5uqHeQ2C0fmR6hrKUeYHBluy2rsKLGaoL30qSqRU
A2d//oqmM41bfXgnAWJnVz+KliyWPHv2CpravFb/TRTBIXPTk1DtYSqqvTEUvFUsRt5s6rtEq/pf
hCJc/Wr81SyFilJlgya01aM0jF+9BgM439KJM2Oikr7qTm058FqAYkDeYHfETdOC09RFTmmVsMNg
pcmlpl+KI9CcozyF02227ldq6CRiD+LEgF0Cc9f0DLTiO5Dtaa6kvvOoBWocO+qaaYyEDoaVNtg+
ivu+vxnX5epF9BUllYcEre9isFUsW2/G8rZtn8rB44mumk39QwqcadxsymvfoUkvteRtBomXDONy
cLRPohD24FAZy8/2Tu84TMsniMuBjIGrZy8vbNFoYGQvblxOuI1L2DreftTFo6zJkGyX45a5PAam
G9ne9JAN3b2VwUNjI8RWI356Xo6/xldXc9OPo5LHWdjxKupr0NuvaZ9/kJF5mqbxhB3msc1b3O3l
Wbi0wgiqkK1M/0plfuc23REFfNRAmHvjO3TDydSsFy2waaOgNNQLxO9tesZFDyMxASrOXQFGsNp/
3NRJrNLZp+YPCpWwsmoG7Ctug8UBSnI+VvWn8erD1GRXd+B4kYITWC/v2to4dKmEUvULsGs7NMcc
wQZ7O3AKCb2rzuNthpOnhh3FwtfcOoORUadQ/0Jfcsw6JzFVF5e0yI8r+MVgz7tg+Sp8H6JmoLRr
caxkNY0rKRp7chu1o6+rY+1T8ZoiGGGb07nJcvWeL9nZWt/XOd/7TbZb2DLBwGuyC+bupENIhoCz
T3StHaZteZzyCVQzIKs4Db55WGMw7n1aK4QzXroeHUTeEQaAbzCnYx4EOy5YxK0RrXV+vIE2PloP
gZ+4nLRYd18cTf7Ad7u3Si3eOC4QbSHBG+RdqtMPJogYlU3kWYhYtP64TiXy0YAVvI+N3irgU43I
LKurT+VxuNXNZ6V++7V7h9H6wzTWHSD5wa4o6urIpMfciH2rjUnQnCm+yDwAN/Y9YAYI0r2sLb5e
nULSaowdJ+eIsi+I9i6rHghEEtkj1OMrMKUWN/Pn1oxx49btwZoa77woreSDButpaL75Ko+VyTVp
m3gZmyuPFsQH5V+VfXIVIACJJJib9Rb1mfdINwYY2DiXCUaPa0cPC/u7l6jcfKJKjvAzUz31DBjT
MFHOxetwock5n49yo7ow0GkrmdWeIIPYnUfwXkUghenELfllPBMge0r0Y2yzrhMeZn8EwSReJmGL
xHJUcA40bj930uGNcUy/rFbxYbQvcId3Q2c9t+0SO5O5G7XhEeXhmfSlizfM4c2hLoivj22pTnhQ
8D/3jyzRT34xHRaz+Jqxlgxjs9OCizlrcb7pe5NCr5FrX9vqgmzsxbbsabfpw/ftIN81dsN7gP4V
LIINOsfXXphHfavC20y6q9iUaaT0X4M8TSRtYbPbxN407Lz13caLjjCn3onCGfeIKYEYQr8vDtOY
54lOAXqCGJ5bvfNjp2wSPKC/MvlT4KDdM6Ln3Eq2lTTm+CasW0WV/2XWS3rCrJgg8+cIMDgvzPLd
ulXXBe6RxH6+t4p3BecCeQpBZDgmbwwIgtDy0h+DM0XjhP+pbUKmksjDvAf6maTWvFOVGy7NFY3J
nZ3dpcWXQJDm2/d1pfaT0I6O6j/VZPJGBrozu4i82S8rgyHXS3Yd0OVsSyq9TZzWp19QoJ3X5a5t
aHdNTWIgCLbrXWtfLmviF3whjvbizduRSKeoc0nyt50DdXtxZgbcPHMXNZ25F0JDZdny1ijtpK8d
UOLWS/fo58LeTp+8/qtsfFRRPrLEzX6y/MaCgdN8eC5/l3oWMoEVktwxjqVOmaHnXVjsdsiYw6Ia
K0xY1Vs/DXGxeodAtW95OYOC1z8DMBbb+KE8+2G1vZ9G9qtG4bpHem/gHz6NxrvVmj+cCu5IWC8F
UvFds3m8rT2KHLVVMFCqPmxFb33lqZF++gB/UM9+SaPhbK4UGLBAFjQhhmCFz3Lx0recJprb/8vW
q1o6IOWiY3Zwh/Y40JMXNkpAZKNoja3M2Tgm3LNlVz81x/qYOZ/DDDDt5onilnSnRGXFg7laP5vF
K+Kl6J+Nxdu17bydglm9m33+NDs28KZefd+o/5K0YE1rQtOY0YoXj856U5WiMkxH/Vv12kkWjRW5
AklT5cVlKr97e8YU29A+6F9N17yrbaCauiI+Fa4o1HV8z8JOiJq+wESoB5jFLTENrbqKqS/vukAG
h1U5JlNpLQMq/hBWB0ZYwsLcseFqu0kE1nEkivG5Hky1C3yRf6AUqr5wqecQHRsF0bapLm7NOD90
2valZQO+C7LiExec6Up2THAIfAd7j2F2k7p5Mt0dYgHtQsZkPcfkjwAEa+jL29hoNvvP1JGOHnql
mO+q0hrvM0dq0NSb7/NAtb27EdoKgMvUI0GxjZH8w0QRTGJc8IjqINKiQoMdgMIu1MilQ5U5b0RD
uDiXSVKQe61btWvqZgVwM7K0DNFjuBQlcwe0x/TQzRONOytHbpSPKWbIwppZukFtBzkWCDdBXsMK
u/rJN+WW4cPEhwEhX6GORQeJ2IpFg6zlycvaZAL2ANpgsHgfOUfxl1UmK6hda+6BXvqJaJgbK0QR
oyqhHwOx5FCJoM1xXtvubq4YNmbsbzHD6XBwy6Kz7zzoNjNcSrc4ogLI/VCRhH5YpSfPwVgHwGu8
CZTlaoKRrIVo0PuMO7oig0pQTtp6dynyI/DhADa65hcPI1Mv8utcXMds48PfHKKPQEf16iez0uby
3jc0x91BFmzbi2MjALlVKGtsjkEA+wiafWx61rSYkPH1DbdDTnujzbMkq/U2dsK7uKXeqTPQMi8w
z0u9PotILNeMXz6vZf04eG2J7LRFMVRZhxJLbm9hcOyN7qpNFglUMWGB83JMBeTGpZwXfUkCieIj
wmVtTOzV3uLJu3od+vlYb4DHzyXuZOM3i1vu/S4ENNI0K2Gfcid1l4+GYLkLCrLtoBtug1Z9WeZo
kX5xMLfWNZ56wM4Utnc0zqi3Ak4m2sfWvRjKOt07gy+LcLaZrGkiFrfzrBP+tXR9v0O3YY5OTPUj
1FrL/2IkCDIKIkvb5btwt1JdERrRNxpU2ob2p6qcny36kixCmDqMp3RBVbPTtzU9SgI108jqgdD3
TZYy660DxWNot3Tvvlt8h7rbwNCeaDGwfqPAH3+apmU+4vhXv9uBCYVcYyceqKIlsmJVp06f2s8O
V09x40DN7TiTe2RGpHNQgdmgA0uE04lhL8ytf7pBvKepTLNHgovTHPkuytDQXTK5c4vFPApq4CMH
jcFHUZfqPC012bhKl4mtY+1C7TkAX7lbyv5QZcbvwU2DowOI/dwNjv+EVbq9msPoPGI9ctjZxGyc
pOpGmbiNE7wPc+k89mI2b+t2WaHZdJQcoObVCqCxluvJbZru9u3PJUBI4QQP7E1OtGhleVRGhkI/
91o7dNLKs3cLkfjvkF7DH1363OtzStlWATf2LHAj3QsCFnZ9tZrnxs7YF4wLEYygXR45cwS+ds3R
3VZOukXqFlqoOjOfK47LD7oPu1NptNkz3bbMIzb+HSCsCZTNYRi/awoz+FCEgfKqLtIyiNd0yX4I
Uef7iTLfpFTK+FV5NaL+YTKat7JaHeDFTLOwueXt3WYZ8reRiXvuI0IqkDv9gTY3uFHnbWr35qB4
xXCd3R3hFHc6Oa9DIjhfGNqzbnwqqcsjAUFl9qfVIiEOa4gaRCad775j+maaQRCNmNKaDCAfcmsj
nLwDObajB17ROwviTDHk8ytY63wTPurTAT88RGZrMyTb95ZbcVyhnd13upWisBjHekfunToAv1lH
B130gzR8NCGEwxyt7SuXT+gSSsT7ln4B8VxJYcGiaxWnnqfwZLmbtSu8oXVCuj8YnzWj+G1UGyPO
gub6ZNYye8gy335Gwc+CYG8qNEWhXhY9h1AGela7bHSWaz1mNmtr97RVNty806c8XJZ/dib2K673
8GhxwjB2SJHMy4tVgQyYQAtUZvRmaA8toozcIcBJAkXyXejLubLIAuqJ89rVVpnCmBKN4M5CjyYn
BUkdEHDlV73mdeqUex6rOtZlBUHsPN+EgnO715bgvDQZPa71XlGJrd1EHKo+NsF6GAOboQKyv9jS
RE+38TL7iuCiAi0dgVImN6dA6eABNONCmK52OyPCl6vD8lNZ324zaO9lZuXNTm9n962qOZ0sI5nM
Byqniw9XlcisYEGXrcmvzbpYf2YGB5Shtj6de5I9P1Air79r26o/DXtAWLjCWy65TKRIq5mnaPXk
Ycr9LjgOtQZH33SVWPbcn01+nMhH+KjpzftGepTfV9Vm/UKxg2yw9xAMepVdv+rEzX0iDOvweelW
Fs2l0n5ksvfG2NOWY45o8cXYDFGGvhZM96uZbY8zTdXA7QQJYdOxq5NZMMbym/YjgbYHfbHd786o
vUvOhGQkMyqpH3KwgSfmob+3RN0c/N7R98Wm/Q/qzmtJblzLol/ECdCTr+nKSWSVVCqZF0bLNL33
/PpZ2XcibglXWTmDt3ltdSBRIA7MwT57udy53O0G+jLlL9XTspAXGqOHdUV0VAwJNfrJknxZu1K/
OZer7X0xVvuyDmO2wEOEmmrvoCzd4Vfk3yE4OmGscN+KLYZDzGmN11xCckmHU7K176e57Mk5IxmI
p/iBdFa298zYOVqFru8nXkXJXPjOC6qV41JhW2Foyc/BRaZr1f0DIsT8GI3jcFtHjnXIN9s6LJr7
zvXJ1Me2/7HU4NlRMDbd9ljXcVZAQ0MiFJajwaNp9MmhpuaGIu/sHcZBVDQ2w1kJtm6Pbl9/pbzy
V4bhU1YiRjHajEtWVd2PpOD3xoRNZa7H94h7X7QCRknUmn+5oLmPWP5rJ2fkWNCONzGuk3fIx0jE
zM4n3WHi44HihmOVkWnRyu5ELuu4jsgGNI9SEBK7Xeg09sdpjpFQi61BXeRG3w2veuAR4jCD9L4R
tfa1RaB9Wy/LzsLs9uQ3U7fHNns3jKZ79KafmT1zufCN26bqy/06TE9R7GA3UDEuE84hx9GbPsOv
7ohjOyBpk71w/Mxvahu5Jss7ZlhUQixxn9PM+sE7k2AysDFFUp+myUdghUvDbW1O9p3gNfvOJ8l7
i9Z9+oo6uuRo3ZGsMGPtsUAP6MFrH7v7mJTucT1fbkxnfaLQZThNcfYwriZ1pdtibjtMXzd0X4O7
X8o8PuSFx/nXMkKzo0pkSXV8doil2sMtxsYcxIX3OP/wttkm4SFOZ2kuQHFEpyv5wtnNdWzJh+Mg
XFw84mk5YlB05BXm2+oh928Rye7scfhs5aTMW789RbPBG5plz4+a1zE9OIftB83J9yJyiUB9uQN+
gGM4OUeKuLqneWbGIDIIeEoYWOuc7FSUY4EIJW8++pF47/u9fofS8rnXV7Dqy89lce+p6nmAbfIu
a7IX/59U3zx85AQvdmVdFk+N7i4/YxJ3FIp1QY+E+Ft2Fro4Ii/IUXQjrPVmPNq4mTx4JTUzlcEf
M4/19uQYOboNFxtaIi3xhAmF2xI7HFhi3nPioOySTxbJexz5SvL2Bid7/G2EuceZ44mnwVvskG7R
zBb7yVvYnSDTOWZ5m/fdEfl9WNnDEf+vLwOCzae1Hfdmt1ZPlCfZf9ULMibbNyiii1jpOC0JdEZD
zLFiMSxM2LpxTxVsf5w3a9c5dXUyTfKYgFdw7hmK4d3smvcGSbz9JOagj/rxxffzJIy0/mRT5PBB
xzz4SBUntYDNYu30ad3wSvT+alueE/dtvRrv5xl16b5HDS9qi4SYjsJafFu3Vr+tEB15qW+QCJxv
ZjPW0TebzyNLyWGJF3Ti2JV+XzKscJ0BX3p7rD6Y1LmiQ3xH2eYHrde/4wR1U7AkAnXZ80XvzWGi
NPNjXvFag0QfLw0D3pX2EOfWHcq3u8GvvzXrvE+r6WHW0FhGuKcfrKbOj2gNidemIKXOwu4X8E/6
Rvwwp+rQFPw1Wdb+1E3zQ9PlD7WZhnj3HNYMoR6pfeeG29J66yQiOU1G8bKSfKRQwvxEZe09pWR3
VT4jGMbbkbQggbAkRv+CMqf/jALwmLe8tnhJj0h5RkinJ5v94Hbt1yxOHqw645GAl+1t3w7LeHIX
iqLZl7FIEvMXt3c/o9j6yHUWTWp5ZsfYMx5V3t1MqV8OtpG1ojmMWfzOtO/npHnAJTB5nEeBqn+1
wyz9aRQYue8ytHUh5Vgnt6qoWe22rxQ4Lt+7brHDKZ2Hn2k8j86xz8zlsCzjOZOetj5VwoSgRZ0l
SdIdcC3/qQSNwTHYW/yXmCuI9sDLuBaaFAF9rdHf/SXOObeCXjr8T+d4ojQV7Sjnto6Cct9oD02p
UeZgVOvAEaYqeooMhX5jGzNZ56ifQorhoao3iXivO06OiaHLQ5RViO2Hm3DEIB9T/uIwGvN+mE37
AWtRFrBCj+OHGMU1z2PRLyy/dj3noHSoYQhyMNsng5N9NRHlze8j3P1JbiLVQxZaLfq+qIf1XwaU
/yeJyP9O//H/DelhvakBQVBTYd/w6x84yJkAcv7f/6X9wDLhv9wzrQ/vB8PFmhSl0L84Hq75X7Yg
sgBo4lIK1gcXlv/heNj8E0x2nbdU28A59iz2+R/pBygPHWNZ1P1I7P4vFI/fPRZI/IM+w01FJmkO
24QSGe3jI0UL88msckjz87BeUStdal3SRWFgT/3LoMWPcE95wbRwU+uyrriiCrvU+lkj9YqcQFUA
6rtJ98KchA7Z9mzhjd9qbl/pd/7AzrjUuiQ1i10jd+zGt8Imwlph0NL3uJi41zxa6eK/lTb/HnYm
yOuuJ+XYN65g2SHP9Mm0vU/o/1zFQT//Qa+GheMe8BNsCcIyIZVg1g9zrh/UxuRsOPuqaR6a2QEy
0wo1IZ7tiAenHDHMlcYlB5x/DwoKp9etU6OEWfOkWeHKTvU5ySlnRJNZffPFOQ/rmfYRYznzVFa9
QSER1jcu78NXwEiXvvZZePjqL+vy2NFb1vawo8yEVJJ9u03GD7VRk7xgSios+oijSGgvcxj7KLpr
fBHVvvZ52XjdcZFrVLnYsxkOlGUcUmjoVZFXio1L8etqvKHjTmCE9ur8aNrtk0PuSmlQHCl4B50d
zY0qI9xivuRmz++b2TDUVgZHit16pNE0SgzUwo11qnVN3BpelqgFryMFrwCIHltDZoT+jNnsHD8l
nac44FLsNmvdUY/glY8oj7vDEpEZMZbRv1Ebcyl8bRPjzsHUisd1Lnw4yRhrPHJAmmLF3hu/z0Xb
bKfJJTX9iMY6wZ+BM63ZN5/e7rx+7uUf1kxHClFQz5WNnjd+rOzsGb6Jf8AO1r6ZODuuCPuq6TRz
WP7l+CO3zMzGlM/jPo0wHC6el00HW6MsS/EvlULaZZ8vFo3MRaRnN11iebdGRebx7b/0wlpkSyE9
glBJNzdpw6HAn39CRUJmVnHTtKWQjsnVIDyBG2+3Pq6EbfN9SfQrDNhLHZdiGjza0NaN14QpJJZP
FhaX6ZJHV77/pcalmB63VLcpMm5IADtoVCxsDQ/YMyCdUxt1KarxZkDwTpo6dPOR6vZyTPbOlJjP
aq2f/6pX+4vfpk4zLlEdVr5h7kghzu/txVy/vN36uY9/CA0ZA23O1DF6fu+G89RQox+bpBTHyr4H
e5Yc3v6JS8MvxTYZpulcZOKFFO0cI2x1yOCqflopsrERQXLZWk44On5yY+IBsu+hIKgt17YUqzXm
cnj3LkZI1oG6aWRfcX6FiHlhUCwpUitclZAnZXVoZK1DutIe189d1LRq67XssebNBcaWre6GpLOx
DiKV4R7f/poXJowlRWqEJ0writUNUyuxjhHFLi+UGoFfTkf909s/YZwD8w+T8h9S0Ksp72heE5ld
74Wl65G5RR1w38YDL0rusDe9NHVIlsbVy1mnMG3t3xs58Zt2sbdPq9kb6Egb/WaIG0Dc2VQ59zoa
UDbEFmuSZMmf4r7/LmyB5rqpP4x1eufxPrzXGwyNurY0/PslNV7e/kMufeTzGL76O4TLO3SrRVWI
LnHdlxSfHyjxjq4YBl5q/fzfX7U+1+nU4PhthBQ3/5hmbL4m40mt49J2f7Y4SmKt9UNXmz+jU3zc
tuqnWtPSalBQz1StW+2H1DSjgBBNiGOU4q3RkpaDcq2sBNKjj5jAfXAeZpz13u71eY/704yUVoJo
xPB6oNHQdQsR2E3RH2OBxo7vi0YZW8u/vKSxKXnSrfDtX7wQZ/9UWrz6uiAXxjJG6RRaJlnYNipy
bKoGvFEHtF1v/8SFCSTjqz1LR+JNFXpYM/F3jV+8x0ZX7VZkSsuEXmHPnfB4GlIqkj0vddt+GSNe
1dR6Lu3opRFxiDbZtTCYvW8NcpZGcuVLXxp3KWZNXocAepRe2OlFGtimhk1FohkPkTdOV7YV/dJv
SJGLVw1VWOhCwgmXza+8BlN86RjArFMeOYfKrp8on5huSwx/vGOiN9sNODjtCABUv92yRn8s0T8c
SsTSx6XJqh9qgyoFPQVHKOOpNQgXEymhZaFTdprPam1LUQ+mwEHlkHEG8PNbT/BC0WRpp3b+MqWo
r/Cg5Vm65xCQdwYCYZGdMLe8ckC6FCRS5Ft5k+OpIPRwdklz2VnhnNK6y45K42JIx4BNn5OV93ad
62af7ZpO+J8nL47UlnGZr8uDP5VM6O7Ds7LrmK/xmQ0vNrVhhwX82/5TJYvhTjrl0jF2XdQbdZ94
Vh/VNrd/jgavlr8sppC3Q8ITAqH44JSUEKWdrTYZDSnEsaSldjgjN7E0FJ36zeHM1X37e+oXposh
hfZEEbBfx60TZgC1HvA6iL9bo5t8dKgS3mcY0GHK5/jDB6uIeNypUxdjdPeHH1flMy5VA1CWxfuc
tGt7DRZ7qUNSVFNTsCxmaRehIYwG2TBqvKd0shzF7yQFtohXHz/+ogyh9aHRN75j4aErTjAprvU2
p9rRcoowrtzsNPddsqOweVFsXQps6msSTUNrEaaa67z3qFerY6tX2/7+IYu+mr56pvdOzE0/LCsL
w3GH8ufy8PYUu/BB9fMR5VXTMPhsF6BYEXIQfqcjXtHte7WWpYDOrdaJN0cvQl8U37d0O/V6rjZN
5OrrcivLfsAkJtTOpUMdLqXdsMaKIyLFc7HZPeZkgsHW9AX5OvepmVfBG7VROX+HV+PdUyBRUOwa
hZgAUT+Y1e2+WPVrlL9LX1MKT3d09FVPKR3UEbXfLgWP+nHmXXuJOH+5Pxxbz0XBr/suEkcYWF54
YWSJXxvPxccZPfyH1rUoVBgpmuzTbVPLPelStM6NPlmL63rhOlbxQ23EMF7MoldsXYpW3wM1CdM9
Dyt8ZXmjHJ4xhb2yaF/4BkLahEdgQG6FTUc4ZkDMDB+PsXFxJ7WlQCZTJhO2rtsc5aFGUcxNaUwn
EeviyrBc+MBCCtmtn3Una8YodG07g167FuN7e5zRnVHxQdmV2aTe+RiHo5hSNJwr0H+bUfYGQ4aC
vVBzuHLuRkMH1YZR47BXa1+KZX9to8aiCg+HFC09NFYLZ1PT1U5bMtJR070cNv2Yh2vcAODGhms/
DfZyZRpdeoUSUiyLxOL9v9ZIurTpeEzPpR4bGPSbsse5r0z64b6lXpgDPb7Ededbv4Za59SnNnBS
qHcRNR+RpWdhib7AG/NbeAtXaB6X4kOK7Jz6vxYnlDyMveIwAmVbov6zWq+lsC61pI1nvd9CC+wL
VeGolMfSUhoS3ZfiOtm0xdJxGkLW7kQ7u4IRitxFpeO6L+3CBp/OoPouCgxh/dQK7oZ1S820WuNS
VC/uMiEXqpbQnamk4AwZOEvpKUWY7ksRzIJfLaLOMt6+k7LD0dS1v+LUNys2LwWwF1ODSHl6yskH
qwN/3G9ufaM2LNJO3AC7bFEFp6Fw0bPjzWsKTtOppti8FL7uNkHawggmTBfUi9j/foSUo/bApftS
eOqgxhOqIpawye2XwcFDt4LloDhfpABt8LMgPxAv4dZ7qIRW4HFAw5uD2rBLMZo0TI5N1/WwcDPr
5+IivgTv7L0ote5JQepr9mq1vdjOerFfgMVCf722bp2n3H+efnTZWwejBX0SzTSEydqnj1FHQWRj
p8UnLLT7Z7XeS5HqF87oYQIwhK6TZ09aGzv7pCytz2qtS6GK2z/8EkoMQsB26S0eGd57bpXelSXs
3MqfhkeK1CSeegzb2z50qR37yzExAKfKormhVGnEETXO2yvT8zwYf/ohKW7BKeCP2tVd2FKsssOp
y/0LS5LmZfHW+MNgtVid13iKX9mGz63+6dekMIbP0sTt2nuB0dqn1MeKLVW7aOieFMRm5jhU2S5t
KEbcRzBzwlKYgtgrw3Sp41IUU/3iZTEgkCCvW2TdH3UqH9XmkRTBDuVqc9xaXrBl47jv5+Vms6gH
Vmpc1oGlyLWnLano9rm4ac3dEgkynrpqrUv7rIWdhY0rsIYLdwI7p9+TAz2oNS3FbmX6C359Z0cK
0A7Gpj3OYlPbBGVceTpGuOaTT8VFAPcCHTPJOFMcEClqNc9w57HbaHqsPooaBcZUjke1EZECFQjQ
lNSJ0IKEOtd9kriQDkrcntValwKzMMwUyJOtBWlNPWaWY4uQjotSgkGXgeU2tRaW249aoDfGjFNu
exNZmaP4OaXIpHAgjWs8hSEBzJ80tMVxHl95brgQ9K4UmkacRdPKSTVovfooLPsuK6uvSuMt67uc
sdedyqPXlDKf9OGlF1c58X9eYmXQ1aSPvj15qxYIUb6DsH5qwKeodVoKysmzO7CTRI4xWE9AcTGI
HBTPYLK2SxdUqUw93V7i9j3u9ceicf5W67YUlcCIh7X2B42nQS/e5/ZQ7DbNVFuoZIoZfrxrOVU0
joult9vm5dEyxk9qHZeDEloXJHjmH5q6D2N5rrqecABTa9xg/rxKnTm2GQN+WpiBrbsbbXELrk8t
JGVJlxN1XW5kvh8sE0Uz68plY0TOf1LruBSVOOK3uE7PzJR6uXVs7UBSW63jskSrz0EwaJaIgsGt
KLvT9sh6lO7puizQYgszetun1ziyBBwgIIFdOSpeWKVsKSrnfI6pk560YM0o2jxvwzht5mqzxJZO
udjQs25jlhJs7fY3/qM9Cq2xURxuKTDb2Jr9Gj+ucDNGTPxG85OuOdeUTedG/nDUtKX9kkqhKon1
rQvzrX4BglCcVnf74OO0cVSah7I6i1Lo3m+Wkh9oKKSBQd3uEocDllrrUnjajc7RxHIQ3SUJheuV
jm0ARAK1xqU9006xUAbv2YSZN5r7KgYAvhaz2q4pC7Ny76yAMzd6bo8FqJ3OuwPIde2F5cLFSNZm
FcIARVqiogQjPX6z/cLYQ0gYb0HV2VRfurj0vT1GF+aPrNLC7Wwh2dkiHATUwJGIVO5x0Ez/GSwo
Mab2I1LsAtrYVjGtTYhRdP6IQ76Lc172vUqxuXv7F85n8T+EgSzXonIOU18qHnhlAJGzGiY0wi22
cA5uNiwWukI7tL7tnZZKAHl8+zcvrEjnOpnXW0vqwXXSOu28J5rPvOUBLtC6H2ptS2Gdulk7e1Fb
hWebBWzJgJgNuWWqXcYs8/eeu5mtmdsWce2IKRW3uu2uzVa1dzbdkkK6IbvEXTs+S/mT5H0DnuLD
pmeb0lOGLsurDCeO8CXcJrId2bM1zfDk7fLKNL30QaUtN0ZcXppG1qP5yx+hsz8CM1HTxuPj8fuQ
z9h5gN3p+tAW1P03eXPCTURJyKnLIqqhM2arpdI6FPH4A2fHR70oFJuWInccSWRQLdmH2G/H76CO
tAcEZuOVPMmFxUemRdc97KpE86YQYxNgMn3JBSQVACy8aeDlSCmUTClMawr31+6cyW48Dc+UynrQ
+/GDWttSmOq6ZgzG2q6h0N17Ci2/js74U61pKUY1dhR7HkovwMjN2fWj/s7pTXFQa1yKUbttE0ef
0oRn9hU7gCr/QI2P4pSRdt0B/eo0zdGM/GR8zLfoG5aYjeK3lCJ0aUc3zhbNx6tu8Hd4cz7Znmoy
RhZCYZ47Aoct/SBJmShQLuCJ+eANlIZcFkJxWMj6oauGcMMYRXjruyjrntWaloK0iqkDrkytDt2a
tcVacQkg1am2KMoqqBZIjNO2fhcmtv81tqi7BgvYql1yZBmUiWOAvjlbhcSqfQSvdcqSa6F54QQl
q6CwSh5zPWMHFbPzC1wDhfyR83XEyOYWBp5iwtSQohQsn+3gYMKvuDx9ZINzckdrVtumDSlKK92Z
KUqJstCppuEW66v9VJbVlRPTeYn6w4nJkMIUDghmXn7DGxwAvptU8+xdiRHNlZX9UutSoJbQQLJ5
SnAsTlzKH3nsBgyuWKqly9Kmsq69pKqHlBd6/1mLjQTvZDUNiS5rmxrbxkvOEGmICfbNZkc/Nq2d
1dYAXQpU6nOKbpu8NDSq5Ami9N/2inGU0iIgy5uMHJgl0LI07KPRfe/DIPtqJaam9j3/kRG/SqP4
ZVpqwmJUnEz7IMr551BNk2LPz3PoVdtun+aamdZpWLeNxk4n8MPCcV1tnv9TkPeq9d5sKCMyRRIW
nvjs2dbLWPS12tooa5tGZ3ApP2/jMF9Rr89xemtBcFJsXApQ0VP1PvXnklgtjfbegv8OrkYvarNF
ik/EezD2bHou0qXGrRCLqWzBr0WpdVnNVGxDgv3KFAX+OIGb8SFxLfmqmE+R1UyQ7upVK3vybpn/
zfBGHL3KR7WOSwEKkWwrMCb3Ayt1blqze3YLXfEcKsuWpslZp6ZPvUDLbHHMliE+ADLMFIdcOuVa
Vlrm+orj4pr5n8nBge1xPqkNihSfzdgnLTAAN8jLuYbhhUF7mquOuPl78CMa8LHT1qKgrjTM3Hz9
BmSP4juskDbQxqpQb2FxG1ju4n3Dpsb5e3HIMqstXEKK0LoByz7jUhusTeud4Gdjbpf7f6uNuhyh
SZ9p87CYAY+y2Ls3D1szKZ3QhSxKMjaq/pwZC9e48/Hgw63aUTugw4L5/XPiypiB187nQMPw6zid
tbCgq5ROixjq/N74tuWRqHGkCazZe9Cs80ZkKmXzoDP93nTrQxydYn0OsDj3w24zRXsq4sFVk/1h
hfJ7+2uLpSzauCFIt/xscZ9iMzn0Sou58KUApUhLFFtrDoGp9UCnze2XvwqlaSh8KT7bPBoQH58R
1LVxXJJY7LCqVFsShaxIamHbTtAIh2Auh9sNYMMYXTv+//kACm3m9wG30cE0C7nkoPHge+jbmWGS
aM8qsSl8KTYT07OWzi+GIK6qkwPdxT/jVpXalsVIKVjHhXLEPgA0XO4NB7ZIYqodtYQsR/J1c9xy
rDgDCK2fcMN+dKdSbVHxpODM565ryjrqAzuzfEplhiiGKeKPB7VhkQI0S0cHyaB3bj75WQqSrQ58
d6XNU3hSdG7IP2ccw/ugNc9MTq9w9+3Wf1TruRSdujflGQnFOljwztp78Fj3YCAVQ8iT4tOyAaiW
cVYHEWaz61gcdEsonZyFLDXKPJAHtp7WiCWMQzP+ZXC7VRsSKThHH9r7MNByj8nvqYyX5gB3SbFx
KThxobLaIVuqYPGj8l2ZY02IN2SRlEelzstiI2DRyThtRhUYzhq1h8yw+vWGeu9NTbkjXGkP3bwe
BzbgTcHQJw/T2AeVJ65U9F5YFWGt/X7V0rp+sh27CvqOy/kOnxndg1Gj1WpzXRYdGQs2pprdlsHU
8B6JzeFS/a0L1/ygNvRSnOobAHK8uevALiagnE3k7CatNNTOAK4UqGbZAoPGzznwIUzldvtztNrP
ah2XonRrC7dZm2wM2vVb1YsfluWqLbuy6GjrbVjYOS0Ps45z/bYDiqS2E7lSlPJUNlrdnI7BJLoW
zo7YZ3GndnYWsugocwCmGRgRwhuwqx/kRLZPXASelYZblh15MXXyhmCag/fFdt9cPzqbraRDELLw
yBm8GH94qwqatfWPZV8soG/FtWKaCwEqG0u1EJJ9IbYhAHdwb2+jeUj8WXFllMVHq9CGGd5cE4gt
svdblj9psf/z7SE/h+B/phOFbCuFc//akTajbSij99EAFvd8/arxQq0VD9GyCKkxN6jnAG4DvXMw
N46mud5AJ/b2NSeaS6MvhWlUUprad1sXeLFmw6FjDh1XzTKvjNGl5o3fV9/VREc9x3MTbE4cFlMD
Z67EMvbtD3CpcSla6zFZPTfb+iBL2/fGooXYwCsJG/ED/r3fXmmXY7aVnL2m7Nmfuhvb7tTWXFmK
ZBf1xutizh53JlhycXwuHe270ojIWqQkg/1ZGWkLXkRDW7KZd0sP6kGtcWkn3cBXJJoZt0HemsuT
FxnbfoUwf+XodW7lD9Ek65Fcexsw+9Ag5VXCrw8++PRvdYpz+K4c3HFvd2Oxz2A9KR45bGlj3fql
jdK2bIPRgSuxLFtfHjyUsd3h7dG6YKdDefvvU6jLJk9YUd8FTe6O7l+b3orpPWD16gtv1974qYRA
CgUMwoJb3WCAh58MxiaieZmFa3T3llub5T7Vtb65J8sNXYTk3LjugOFlrDC6uUFPzaht9PJJewaV
GRfB2Innpe/8+W7GU77EMnwwR6BGZ3orxEkgr5rp1orTQVo5RsOt12YBbZi4zQ2i7i/dcu12f6Gm
T9jSsuFF3mQmWtOCXhw3537xa+F9hcN6tnuvoUFgJLb2n+p6zee7Zqza4tRhA30mAfTmlTPvhdXd
lhaXzKvmqPO2NkhyKnuOXewn22HY0gwv4FGDRfT2NLmwhsmaKlHXetPnZht4m3Xw9co95A5OeUqN
y5KqVjNKaDNGG6wCYgVu/u0xGeP+yghd6LqsozIcHWO/fCCCQLw/A0wHL6GNudr5UXa8coBmFTiL
9YG5RjUkv/7oUAWutnPI2qnZo55tGPU2aHnO3JkRwDJXUzueyhqpbdJAxA4rg15gMd4C+N1RkK1m
ByhkjjinkDFpq6UlV2LD54jtO1errwz5hSkva6TGaCgnOLFtEG2FvRckeO7c1MXgrVyiKzPynzfF
PyzzslTKKApLYMHWBlrpl3/lVf/3VEbVLYvlGcsbL19xL40eNC2qcfQW667PyxGCh+hPejsmT6U5
JVi1g4KC0eT2d0lkePcJxendTuefrgzEpZktxT7chTIXppsHwFOeNrNNAPChpVYLSuloUbq+lgHf
aAN3KX4l8XrXtGquOaDKf99yTHMqt2QtusCy/ePo5A/YDvxU6rUsuHI13IPtvm4Do/bad8wNH7B3
OVyZFhcGXPatcja9JpHGYttn83vhPka2pnb9l/VW+eLUUT36beC3+rM7Jk6oudn6UW1QzoH06qGV
0sYF0WpMushcOJxjJ7/HS+JZrfHzWL1qPBoT6oVzMkZ+VQPTSTys+j3m+dutXzhumdLundhgFrQ4
7gIxjvqdVtrT+wy28H1v28V9aZn1C8eIUUkiL0xpO6/8xtT7hn0oTvK/O9gO+xQk2M3bf8mluSMF
ax/ni9lTQRXkUXfidfE7hg9qS7kphWpcJ0Dk8JkOtrw/eH4NBGG+oi64sNbKyqs4xmiptgGXb4UW
7Wug4LtVq9HxIhVW2+Rk+VXrerrbLQ1sdF2759J+03Wb2vVINqGChQQQTTDmqTvZLzkJmafFaQa1
Lyrrryy7hlhUMPMx69X2dUrmewJCojRdZP1VAfh+mTUWsnTS6lMx43nsxt53tcalmCVNaqVJVNZc
192fVgwEamnKVLHnUsjOdRytIuf+5XTacsANJN21E5RMta5LMUpVj9Ya+VgHQksfNkrbqfvkuq7W
uBSj0H2Lce55EKi35EtDjPbFpLbAG1KMRpzk/HyB9eq02nDf12CJfatTm+ey6uqM/p0p4KsDz7QO
+Hx/zqviRWlIZNHVltS8Gnk07SAXO6RF/KPewD2qNX5e9V/tHe08tBHIctZEgfvp4sTf+s1QvFXI
sisTM3xtTlm6IGXlt4alPXpRPas9Zciqq76bI780RRVMowvqCv0VcEhP8XNK4RlnetPY+TlJqg3f
3SR+qFr3ynp+YReSNVelnU0FyO4m8JPEvJnPMFvDa9x7te8pBWeqzbjXLTzA6Dl7RBprd1XbqG3O
soPU2uazmcVzFWgNyDILgDK+jorzUApOq/a83nPYJ8RU/SiS/i5d8clRGhNZcdUnHb47PqnFzFx3
GPHsu1jxiC7LrZJ02hzNZhkfe/fFNnZbH31R67QUmDkKyEmvJqaJY/i7du9ajq84Hs7vMR81c1w1
aVoEnkebzRAVAFyuHIQunFbE+b+/Wk+8wciNuHKYI7HPScXNxuXvbsza3Txs87Pa0EjB6YMRBRfg
FgjRhuKoeVm4QI1S2ztlkyjy6P4M36wIQDfdaFZ0B9j4s1q/pdjskq1aDcHe5nr5vblaALnbn283
fWnYpW2zG2KKHWFMBA135LvBqtp91o3+neVuip2XAjSrxbi0c8SBBZz8keJW633WNEo+LYYvq67q
tRMleeI66LzxZEGUQzlSpCorLo17v89JfdV0judxE1SxfZM7hypRqrulZSlIR4jYsZanSYAMSIDh
7j8Oeaqy2tK2FKVj5dgTFTNNoLXruPNaN+x1TWV7o20pStNhyiy9Y0Uk8/QFZ6L3adepnFZoWgrO
Pjdc116LJvCK8WVc4fd16fe3J/m5if/ICNG0dKw1J88c6q4+PxEN0873GzLd9pUROc+FP7UtxabZ
5GfId9kErS4a+ISJ+cHVRXbjOYN/8OxoxqFeaPs2bq89Y/xzgfvTT0oxa09bmfauVwdFO6xf1n6m
tjcpo+w4+m76UKbwR7xJ73aNNmzFriv9/IO/CY6vtdt8zjpv+eBUw7gnwTKGuR6VN3mRrc+itIZD
nLofTHBc+zpvtn0P9BDItgsvPW/GA3hn7yZtOvAm8+ydsjX6VvelBi13EbHKFsOnklYLz4b8q4kK
zKwA6keh0LjrKkCpShNBloH5TRp3qcNEGHpufGJzt13WKTnaGL4sAwNCylqHs3vgxDGGnzCjVjvP
D2o9lxaMIqtiI3LzKlhX/eiuRgZsHgioWuPSilHXE9CKdCkCvUS/otneo2+mv9TallYMN9NhgcZ2
GcR6+8WxgbIajZIFMiMuLRmTiGx9HdYysB3nqfD9H3qkq1TE0rS0ZABbLnPPI2jcLP4Ra+V3Y/aO
aiMirRgr9Z5+NDLamW4Pp9w9LqQeTmptS0sDHGsdnwU3xmrKqO8MURfv9Mnvr4TPhbXOk4LTcbUJ
/khdBpmhFzfrvBa3G2KBBjLRHky7dtCsyt7Nk63k3Gf4sipMq6s8mXilgVFsTMlxHCmUswG6K+kf
aV/a4MfELRvRVBWrjXFjutTIaE2tJAulcSlk19V1hqjkKjil6ScNtvyhTTYlbheNSyG7Rk1ldCwD
gSU6E7aVSHaprVTdQ+NSzG4bDyTCSPKgJQu/i3KjwJ/bfVKaorIgzLHMbihKshK11n5JF8vY+UOl
lJWg51LY4nqsmeip6yDJpohr/bvNapYrS/D5u/1h25VFYT1iDcNI4grlYLRaB9GPsHE1qLNt5xh3
FvzGhzquFI9Dsk4sBTm1ghwvkeWnH5PyznLEZ7UPIEVxznM38s2hDNa5yiG9OjNknfLD242f598f
BkkWicElqNbSNZD7rf4p8f2DnXk3wgdLv11TBfyTqPnTb0hRW6V2ag6bxR8weGI5zk76s7Kr9FEr
KLyEyKs/b3PsPMS6N1i7fBL5OxOXh3FXjmb7aEUuPWn0OV33epQsP6ZeL67phi92TYp5rBP0USDB
C1J969vd1LBRF3HUvEsrPEf+m7Mza5bb5LrwH/pUhRACdCt1n8lHHSceMtyo7LyxJoRmgfTrv9W5
sslpdxU3vkilODRi2GyevVbWRV1PHiZG66cB95THSkzRK4On4h96r6MXMbb7U2BUlfdC8BOouNHv
hHchtYSWdbeNQXc5xB6fFFEoNpq9Uq+wqXW2i4UcnDUMR/waJclDbKjK9gSg6s9n1I3g/T982rbw
YOnnHkJqW4U6JqNPBXTbPFt3Noxxojxa9YC0Q4gq7+Uo19TOnvcO7pz0sPqNFpD1uPoSAy9vuEdA
YNVLPAyj7hz1uqjWnQvSXaLDZL0i3woaeDmAoG1ni4CzD5ICHbICahaYKpo1KWTb7tyYrtPijeXr
0mlkG6aA9xpvLyX8N4+K2kzvkXxnVef1qkYhQYM//V0ySWlo77Get5dugWf2tHQv217fmzK3+u+s
cWhxwW3Qbh0q96R5lpAOzdoxjLCYR+EXfbqkWl1HiO77pruMPJ4/KVO/j4JFf/ZaUC6W1kKyqSNQ
Kr7ggTYE+gbD8gX8i1/jTkhuAAdYrQ16fq2cEP2rksF7v6adpVpZtk2y6IIcWXCeNqQpUiHnrz9v
/Mbh7uJgqkP2QU/4qLAwOxdqeidn/dRH8lyjSovyyi/4cZGvfZiSmBQY+7Ys/kjK5DXRixeriknv
LFp4ClMD76lr29s/jFRPZRJ//Pno3DjVXcpr2/BYGoOBQ0ppRFK5igb9TIDMPOp2TX4vmWw//PwP
XTGSN/YGF/jSkC2GB3aiLkkZw7hFcZhywChcPy4HMc96Hy2QedtPqSxIizf+efPCoGEF4a5qggll
OEZPh/SPWrV/tYOXMiCadmJ1q1fII7bIDDPRPbQdyjf1xL78fMBunI4uCpbsdOz7A20fwf5rEy1R
Opjey3oAHXcW8xgetoZ1WXvBQ9m7oowb4Kt8efDrubOckaXsNzzVIGpYO5K16/IFL36emQGXAZMQ
Rpu6STaXuqJA+/i2pFE93DnAbo25c/KuYVO1fVm2eOPb/zbhtGSHaX177qxiALs0CBdsRM1CH7Yl
+LrUm5eiM01ceCuuqtFwi++ZEMkg2tT/MZexX9bZpbe2rTeDGvf2UloSPRQFjzMIeNaPXpPFpbeC
hIaRaJB52Ocp+ACV+pc+3I47m86N7+kCXIMN971jpr2w/aie+kSqZ2R17z1Q3jhZXKUsemhD51C3
F7VYzbJyaMkDD6Pmcz9CfmoVfH+1a6TOPx+oG8FJ5CxZlfTViBizuVSE1eeYQ8M35HF53tveM8/p
cl2REOWxibW9RCNEFK36DQUMfruZS3ENsV5nabcayfTho53ar/vaP/18YG59ZGfRqqYzdDRTe5mt
qM7b3K8ZykTKO8N+q3Vn1Rpd9/DNwfw0duVpzZIXRQDbe3XdBbngfZrAvwL3K8r6d4kgFVZW7KVw
g1pZJ1QmSBfSAY5Cl7jGM3RCmpSsOOL9eu4cqjCR67fR4qaOV+74VVKVpKQP7nFWN6ISF+Iaw3ZE
yB23kAoO02CLf1+K+USm7lOTNMbzF1zX2Xc3ib1iCglr1l4OlF5NNUTZ2/pPv8FxlioqNugyDgnW
UaM/QRhXZ5si92pDbkzI/0hoxUDEk3LBDWhshhQssE2LYvHMm7oaWkU3i4putL0U+9plI5k+zkr4
hfmuhNbeV41soEpxWfeqz5C4SbIlXjxvti7LBQhY873BXt8xEn0wCV7E4Pdzzxz3X42iN+JXl+ZK
Yq0rZCs6QADDlluzk9/EwqC/uJX6YVmCNQXQm2S1rqFjH5dBRnVTf+Ra1K/dEXgRTjRxwa9QscDO
K+DyLmQn2LN+2inzm7Su2NbGekpnifHjx/bHPD50Rvjt/aETJZsQCecOQoSXxo7PyjQfW2XuFd3e
uFa4yNdk5bxsdGogPt9N3btxEOJTGenq1GsNYVLSVNCC4tEcp0JX9Ktd18LvJv+vneh3+4eMAkvn
xnZQSmegq2cIPcNI85vXDuISYSOLIEuWRNhBOBWPyHewx6XfVr+tz9Xh6sZEwaTGtpcgoE/bVOh0
S3zDXBcJ4wuYELYSxNDtFn1sac9OdN62O+HijSjo36Kv70adl1Mcx7zCVXi0yROv9vJ9AgD926xw
ZmReg+/CYZLNlqz9hl8wqTnVq0KGT1u/sXfxMJhss4lNuBwNcfVPV8iLgfCiZ8edQ3kzeAOvp7nF
UzKeN+3w2LTcSxycJv+R4+rlwad67S5TGQxnyulDKJhnkOUiYmY7Blp3COEmeTXvpuX7UR9+4aHr
ICjWTRlTYimZeIKqDZQimi/jCtTBb7I4l92e7fXEGiRQKCo1s5mvSZ82VJS+84X+GKbEfA/njg3d
pebsA6mNQuok8VJwxkd1QmeBIKgea9xgyiFsM0YDncbleO9R+cZaJU7o3Ci5jus1MKeonX+ujuV4
CtqOZnFLA69Ug3QhsWihcbOrRV0Iq8Z0gdcQCe9ZYbzdfekyYiUF5IuXwBY5/knpdI7b6Ty2Vv9a
V8N2h829rsz/RhXSpcUqUihg+BNS/eQYzvJoTbbqcEUsjQlkhPhjLcfwzt96O3CULj0W7wZm1hFg
96Qk4pe9kt2zrJnf3VG6/NgEVVqlOuRlNjU89s0XPtmzzwqTLj62HW1QcRM3EGGK1/PGwvgxGItP
fo07yzeaTAw3Fdyqi0X0GaelPNnQ+lTrU+nqdaGUwIydxd5QUNplRCz6FETrH349d9au7naVyOJo
Lpbxv7thN1DtSrx0etFzZ+mScVnaji/IsqGQ/EmxYnlhSntl2aTLak3Ao5mGn/tlmAuTbkvytYpm
v+/polpgqKShgjSXVS7Js4XHwWknlfXbblzRrkZNQkwxMGMa299GapozrKv8nkMBWv+404uJHJMk
uDVCfKl8qfjUvZ+rZPbs+nWX+y5w2mFZNcwED2dm7v8nqX3Xy3v2CNcOvrGJubDWanpOmqjBNB/p
seCpNcFL+BHCmg3e0vOT7kN+J+b+95nvrT/lLNf6sAcJOAirXSmV8ros0lYQ+bTNy/ocTxA5X0r7
TzQkc5cxFbC0I2JOUWM+P3WwB3qdBOUP8JKij8XUyCyMSfU+4is77StZf02gIAVZiiJ8gow/f+gX
0jwUK+5FWTxDivxE98Ocy6KIHkwyqLNOtoKk9biwJ7EaFG0vUNE+s2P/VAW6e5ga27OH0PaDzfB8
Xozpag1UAUs10I9tTWEPa5eg204gPIOcFgc0/WCocCbkWjtVQ+zvsVsauB6b6hAylVWsnms+hBre
SSMv/mBr2H2A7w6emUIkwz9LOu/vUSBMn4VEoEOIGN5D8lX7HR+uvFl18H7vWhy1EG+4UHqc9KTv
hGjXOfjWV3W2MgOdFx6EEx6htnp+4Cjag9ecEuc42Mpnr93SBdxoNE+2rTFHqTxQ8TGS3/thuccP
3ThZ/wOzCdYIfCnE3UIk2WGj/tyabvApUqPSRdm6EYIWI66alw5quOknwqhXqQpadu8L8oBmyo58
79zu0VPX77ASw+z0uo1IF2SDxbjsYYKKBNs260xCAPJs5NyfvT6oS7KV09YM0TAAk6O9zqI1/mVG
0b3XJU26JFscCNEgB47QLyifeKKrDPkWv4heuiRbSBVSp10PgYB9foia7RUAjx9kLV2SjWxg1mOw
yZe93OHsGZDyU7KV7OPPx/zf9MMbC9VF1wBux3ggRnawZqV4FyEu/gdpvOhkweKlx16Qz20379ky
kP4xwmb4oA2JqmwMd/7caGNr/J/4v+5MsBvnjquJxsMi2hgKfC9dEMAonMqdQr4UL4Sncbm+MdMR
HmV+M8Kl32TUGY4bQHORVfHax9V7aUno2baTqE8iZejVt+BiyqNFPNThBtnr2G+huBJpGqkYgjtS
g1KX2aaoqWPAfqzX2yCImB+jimqwa1wKUUNrJyJQdC9xOHXML2Rx6bO6MmZRAhtIn/RhVmiBg86a
e9ehW5PZxc8ELJ0SNY14ZGD7/KFubPy4g/Y5AxaeZToh3/a6wz4p72wHl4BOqfdaTnOKcuFiyoZY
rb/YyUR3zqcbRyB3AhvDOlke6/X6lMi/5goKouWgA2Qx7XznGLmxWlxkbcMzWZBUcQ2ZjG7PCMpk
QXuUGlUzMt7arOoHP35NuvxaacPCHnGCnCw/Xjf8tLRW0Z1fceOodfi1n29jN9pwMTUx9HyC+yTW
MjfINpkGwVW7euWDpAuoxSse9ZMV+DY8ffg5GeP9LNrg0897/ra2FZWuq2NzcGNBTTaXcA5NhhAR
6h7VtkHfCFY2gLrV/DQlo2rSQ7A9hZXilActBAZ//udvDZyz2incCbp1qLGVxPRLU7aP2LjuRPa3
mr6ui++uJzra5cI57uGKrb+KHf6D8NfzsjHGqF3/6HeNq3FEODnim+jZQv9sWT7Z/m6++98XoDcO
RdfxsTLbvhcBIpF+Jwq+iWPBP8wWBVtpIw99pEbH/d9KtHORFQYZ31MdNcWQtQdZnsLhYI/xUgSf
y63FOplUcaJFRF928F5A8xeZwstu/DoVlPglJVweztCBTsG6Nxe+rR9loyE7axW7cyTf+oxOJN+V
UVwhmsEzf53VFpVqcUzvpRNvte3kJMSeMNPgRnRZDd3PltINwn7lnZV1o3GXg5PhNLQjQ6Vm3HX/
2/GOU6DqyO98d9E3hCl2lRCgu7BgCFMuy18WQn71WpIu3LYaBpKrRwy0N91zgV0NyefS671WunRb
TJPpaKyqL4UYyixZwkyMxvjNFBdvE5Cyt+Wa1JetnL/MtNnSqIy2s9+oOAs+VkEDJdquRmFk37yy
gn6dp3a7c1TfmirOUU3i0AiI1tQXKD4+yKVX0IDxHXL6404lDphjDftRQjwsEmnCdpkGh1/C0LWC
jABuHVXEK+xTa6b2/hNbA8+mnaU5APBeVB1WF2ifQehwGZtXZFW95DGodOE2OZsxEAo5kirR0fvF
xstX1YrW78B28TZAXPGMpQ/4OOYfStm975PxN69p6LJtbaup5syiaaWHLIl6eZoj6TfmLtsmUcuP
dDUP8qTphsx2j4OdF7/F6ZJt0RDTBoqhQb6h0jwLg6JO2TDsfvuhS7JVgrQWARh6rpbwNcaO+7FZ
t8UvknAhNmi9RkW82QqJzvZcDadk9tJQwjx0Fmd7RDiKq6m6MDk+jr152pn56jdTnHOTdWNUbtRU
0LHexYnxZUeFubR+QbMrRdZ349GREB1vD1xgWIiL1FQzL6kwKl2IjR0TEpoKn3OtDHk1rCGZpLzw
izldiq2ZUH3fbE2QT11dPMIIdj+tYG+8ht2VIiuFFAtca4q8LYf3gV7fbSP3nOUuw1YdqFaEng/W
UKsRBylUqQTD5DfJXSEyux6Uo7i4ugScPsVhXz4NNqme/EbFOT3lUCIqrIf6IvZDnRtSyyzW+z0V
zxvHp8uvJVGHAN2g9dn8sidfluKbX6+d1QmX3bqaQoSeUWmfOF/zsb5X73vr2uWSa8MmupCHAY7O
dma/xlDJTlualKexb+U7s/FvZat1PhbVdgnWdcvWbfR8V3WxtgVRUQXKpbrYnh+QiTy2c2l1c/Ia
NJdq27kO7T7z8hJj0OZqb9N2Lf12HZdVC0J85ZFJKKGQesii4HixESk9O+6krrkulSkDVl7kVJ8G
tmbMz6ecShdXS1YjkGUK0XTBm7TRx59RNfo9fbq4GhkhJxq0aLud+GtSj996DTUJv2/pLNvV8KqF
Nnh5oWNZp5rY5skggvcLk1wirTFdYFs2ofXFbGmY8LMu1t2z687abVuuSrrq8tI1M0mrJuDZusCm
1G9gnMMVptPwtLQYmGPqPsNU7FOyVF7Kh5gsTuRb9kkH/E8hxEPZwhMr9KeKCeW3Ef8HRAv1ZDqy
YbbQCE+MwYsBN+Y1Ji6G1iNAogOROFYtHh8KctDUyNXz6Yc4qzMu9chhKlJeRLDH2WAiBJHVFN9Z
+9ec0BsJFxdFg11JC/2OJMibICxSPBlO6SiVPR2QL/IceScdBRGDxLQhDfIFNl0gw0toxBvPfIBL
pMmgT/iiVHnpt1hnR1R/mMPxq993dS6ndA3xfq1oklcIZPZme5Jh4rdIibtIo3Joejy/5wKSfyim
S9anRRjml5ZyUbSulptpqz3JAzuorJtCcRqL3S+745JoYqnZiIdOvLLL+VzU9t0k9J1ReTutLlwC
raMthMoGE+SgCvQDm3vz3BTR8rzxJf4Dt/jmwefDCpdG22sj5IGbWA77r/WlgXPcE8oBvfIlwsXQ
ZJnILhgQBxd7R87LCJ27TQfRnSH6N1b/74IVLnm2HqKs1YrVhARvcyKE9C/t3vDMtNsXaybsEITa
HPKadWqK9b1g0y9Kk+K0J1f79KT8rTKcP9q92zK8nAK56I8PfRSrbBxj8riq6ne1qvJDXI9P4TL9
MjdQeiExQMxYbNVrGHYN4Cv52e9DOFuDsXuJd5SjyCv8IGpHuC/z8aNf284RzimlUoaBzPeajqeq
qN6Ddbmn2n1t5K2v4GwNR6N0bdcdlx3WvUoLhSy9+VkYU4hK/Zi46vUIQxGIyufFIF4XJq8Ar9fi
Fa415aKDKuh4k+RqisycKkuCIRvY3PlVYQkXdksS00wVDZMcKqxLZtbkL7zIe+3HwmXdonCdwlVs
MmclKflp2WpTZ6EOxJ0g+zrr3vioLu8WTgyPhQbbZtuWU1ZAP+XJxGtzDpfy8NscXOiNVpbW08KT
fOIkV6MGCis7vzheuNDbHtfHvikUZUDThXcpaoSgoGKToWRe+QPhelU2yQBJisIm+bHwEbJzSj/o
QEuvXLBw0TdBi1UxyO3l5Wp/mwLyx85iz447y9UcG/bIY8CKovup02cyVH5HiUtywQmlK8ptSqBF
U54Cu+8Q9vKsE4BM/I8bwXFAsjMaeqxWxh5iwJ8odAjvvf7eeLMXLsYFUkK3W9Ngumxrc7L1Kh9m
esxZV9jhhfZVe8IPU1+QRic0VRMvno0YgvMoEvXYKPzIDV7Cd9bF23YkUJFIfvypBQ/FyoeoyMVA
5pdBtvolMUi2pfVBynMnFRtxlymnz5OZii4DRh5taWxAQ51oyOsXPAbWpzYS45qi8nx/6cpjebi+
79Ypqer2MWyhAe91sLgMmYWAUlSuMskJC94l8/oYxuo3v6adWB+hQyCYwGwaD/pJTwtsV7bJr64d
0kg/DnHVYdAONSd5tLLf2sE8d/iufv2+7qjfPQpvPKIT6xcs3UK+Lzr6ZUuo367g4mO8oXM0h2h6
pvtLU8hvQSM8m3Z2BbtUMSSHIplHsW6zWCwQtoOCkt+Q0B+HpKrHud+UlHnCTXsqViC1dmzvLJcb
4YfLjrGo6GyPjGtuJSgh0nYHKubFnUl4/WhvHIMuCoYkULhW0yhzvUT6XNAlej205R9hBCb8YjOX
AOsYXCX4deTrkv1d0uHLOHIvCxsqXJPMoumg4jp1iPuqnmWkn+J0s9zrLitcAGy2B2CcuZV52dNP
MWrCs5UMf3rNGJf/4gmQaSB3IgcZxc+VOh5R3jaf/Bp3VmgC78eIgCLNw6NYHwuI26HklX34eePX
HeSNGePSX2yj1gJXkLhv8u3RdA1JmSiOkzIHvkATJnfutddt8K2/4yxYqFCirJatEleFFakEA6u9
Cir54XDinLRPJNlAr1Zwnvj5z7qxylzKywbJeOztIPJxIH8luvmFh6FXBlC4WJeEihKtgknkGg+O
aczXX4649UINhIN1/R9PJNhSWM7kU2w/DHP5BZ7CfnGUS3txUS28bCjW7dwXf668qj/BBdjL15IK
F/filCWHbdFxuRfbCaJzv4+x8ANDhUt7Hc1Gh6JA4+14yPQ1YSDVfj5N5Nuz0pUhMxGraAVT4Xxs
IvYualjzUjfN9hjB8jNV0Vg/tOEaPGhSDnfW242J6WqTqTqRuHuuIt+HNr4MwRxmKhB+ZJpwCa/o
qi5d8U3khxDAkceruKkN/M5cF/A62nEFttVwJL6UOpWrms/zdk9W89a4OGdu01fTxMXAc7Awr8q2
j3oq/vfzj3yraScUj+tqa6GDy/NI1snpaJL3/dXx2q9xJ/HdrvN4sJXHyCZgE8WtsPoAhKq8805y
48VNuDxWDKkSurQ9pkvCSJ/qKp5/r5I4uiR2/rMPx/3ct8dyxhxe09FuyzsEtn5ya8LltVZJZgu9
tThHBVF5WnTUPjCq2J046MaB4BJbbbFUVppR5LWOkdAf67Tuym/CRrnAE+aJqu2j1xdy8a1162m5
HyLOw72IEMkR9stB+ujeleLGAeoCXIpWEyxqBc+TqYICzM6bEzSqcWMpJmJ/PfBU5HkJcMXKUCR7
0FiSOOchm3+L+WwzG6vhzgF9Y5W4xpV1GZKuaRjP4yqR5wm6iZZ43rRdsTLABeG+HUucb3p6KYfo
f+V6rxbjVredxa1IjcpglD/nZN7Xc0z36HmOzXDymzvu6sbaWlE1cB1yu2Y969gphjOwV+Muz7UF
ER/bjmFUjGlTpA2D56gTh2fr1yPvu3tdOelh2kLMFhH2sPZtbfiI7Pbffl13Lrv1VqNIvkmw6wXw
Te5pjlc/v9od4QJda3Kosq2wo868JelwrA9TV3lu1y7RNY0Litb7I87LOSCnQhUoMICDtN90cYmu
eLT9XnOLMTf1N7Fxkw0lynD8xtyJoPsC9SuKd5iLSjdzRhYQxbxgsV9pj3CxLoXMLzZHhXHf9t8I
koPpwphnfBg5y3TX29SHrY7zmgTF8zIN/zuGbblzlNzYA1yuqzxivDyBxc+TZZ+fi032D5D/uFeV
eaN1l+sStK0Xisp1JEjCvwgLX+0437k23riu/wfqmhfUscqD5qxt6a/aEv08TMX0VNq28dvWXbQL
sYgZCbxo8C43BBCEEyns57nfLctluxhKqsK4C1gehZD9KeP+IW6ie1Ljt8bdufZG0yE7YkY0Xpsl
hQ7oC9eH3z2LXv/md5tjQJFMC+LqOtcJXAsMkvlwVPXMe7loF/irIoQqdpxXEqJFncpApHp23AmT
1zjGlOF9nMNy55+paf5saex3M3HhrqIqw2hS6HXUyl8O2zxu4T0v+luf0jlGl6Oo9FDVNI9UH5+s
GYd07AM/jkC48JYqKiMaNtAcfm1/hnVwmgn75rXnuuwWtTqOxxqeK2sCdw64XOm0L9lx8mvdOUW3
jR4ggHuWL6H+PYkVZjkgN7+LiYtvDSsKYDdcb3M8B9i0bcoyrVHb4LfyXYArlssAxZCN5VDAHlLY
7349bPeH37A4i/MYRTnNiWF534lvdCLf5Bh/8mvaOUOnupdJvfEwHyY4kqaQEFWfNZObX+LYFRSb
qOQTYheKU46cuG5JpqrKj2sTrqBYv5iaFKWO8rhQ/2N4FlHKc5Y7y7OEVmjIYC+dk4O9h9rvuyRM
PKM5l92im2mKcjRhvjCIRohNIaFeysIvp+viW3pM6mRnU5i3SmVshzBm4yc3IFx2qwdx0EbhiKZZ
/E9SVr91ULHwmoUuuKUpHuMA0NOcQ7QfohXBP8PqmZ10JcTkNG11ZHaah81Czl0vH7ak8m3cWZlB
l5TN2JZRXmn9KTo6iIU2y+9+g+IszSGCHs62oJCyn61K7cTfD0gV+21XLrO19xa6C1LRXPRcf41a
Un0ow+ofv547se0xKrE3/UrzKdjtU2TaX/vFej4XuchWURBGyi0M830M9odoHoOTNH41Inil+DEM
YtEejQ0E7/Nl0B83McKKZ/GzXEPm+se2dzL1W0nQ9lz2ccp68q5Nlg8+I85dTqsa6g45liXMt7Kd
shJOk+kRgvvwa/2a6fkuOCyPomuWAZda1fbfbGmwOns/MWLuyoNB5KnjR0NJXjdd/CiCbskiiWpI
v54767Ocy7qswoHk3aFPi6KvAWu++jXtLM8K2jQD1Ypgpz3yKpaft854FXFwl5kyEx1HGxdH3lp4
4maoImSfltUWH3/e87cvWdzlprqFwd/cEJJHkEKFDFa0WJSEF1HwV1mN+k625YYuLnfhKYCym9JH
ib/S1XGRsWhQvynSwVjy6FUmoX6cWqahToa3k5DC3QFelDbAFn0E5f53PFTV2evnuqQVrBKqaE2K
PR+a0Y7ZPEEmNw11KKEyXEjtJwHGXeBqsBEXM0mOXO/aQjDC8KzzjYy5y1rpoViGecaU6HbzLQEk
krG2unPQXJfxf18iuYta6S1JdmHDIxcJSHvWUPVntZb0vJMuflmnvon9VqOLXBGMR1lTcSCRFe9/
ijqeshAy//eeBq7Hy1u/w1nsw7GNtWzqI4cNwnZGjUnzTz1K/ncAiu+ZC1Phs5NxOvfbEZ54DJVp
JsIAll1HE3kFMtz1kCzpVM3QOST5wf4nsFumE6n9rv/cpbPK0C49HlJIDuWwOOtg1R7V7XSn4/+W
Db01eM6ZbYJQDKi9PvJ9JiX0xiCAYaEP/7pUe38qGlk/xgNq94ztdFawI0xV0uisDXv4aNVJm/K5
6PEKT+cqlVMQnaE0i+fOaoNVEqv2/bEZSNSdCj11p58v6+tXfavDTowO9jNp5x0rIgjhWFs0Tz3+
8ZuoLsCV7MdS1Ul/5Bvb/xpVrUA2xl4JC+4SV5pxacpQHzksmL5s74+2+dtrQFzRrgWVCZM8ZmwR
uhuh68+Ru0xXmCP6DbiLXClyKJT/VkfOoFD3TpphyNi03rM4vvE5Xdmutdj0MBTDkXO20BQ2Z/q8
0/7es/at1q///bsIpl1G2o8jWic0LlJejSTd4tbvuHZ1u0jXDsnIuiOXcLN+lAH/c1zlPV3rWz2n
P/bcbF1PZ9Xa3Ebzep4TEBYH2f0uo9xlr4Z64FftDLSuyyoFI7I94NnTnPxmpLNESTB1BbHKXiE9
VBbvKq1k6Rk4utiVoqDt50Oa3LR4jNUKMqfwufHructdBSgy2CvF93xcyvhjM4f7ez7Pgd/24oJX
fSxZRwO557rq1VntqEdN2OJXM8dd9CpoFOt1OG75xMKvNJyaU1+Hflqk3JXeKtsGbORoUZTRbU02
G1U8gusq75xC16vQG3u6y14hXIqorhabh7wVD7ZQkTolNRGvqo2bL7Gg04sVJZCFZFl8f5ETxxcy
MgPU4tbcVjg/xgm13mT3ysZwF7pCoqQe2VyuOaCI9bmIwvAhRqHwncD2xtbgclcRM4oXUBnN6RTC
ZrIW4jHEG7Vn687iNUO4gxPhc95q9qSWD2DvvcArGID/uKXNUUKXo2dzPrfF/0j9rYatiN/Kcqkr
1lmxFbiZ5To+HuBgN6WLId+8djMXugq2A6UsdJmBSr8TrR1SwFf1nX5fE9xvTHwXu9r11MQo0Zvz
ZJimh3jYlzPIkugpgrn3i94K+kWU272q9Rvz5j/E1RbiUlzhh0SHDNO4S7Zf7Tw3f/kN0/WvfnfU
qmQZ7LFEEwp+1uMZfPuWwtvMj4pCkP5j6zvvSxR5dVMOl/B/TEHyGPXSfh13TtpIt+HcCzbmKMX5
HAf2rzoJPOMP1wRyabdkCzWmvJ7nPm8oH07Xbcdvqbo2kH0cREUQbFOe9CiEiwlJE1v7yVVwF7jS
TbVOFlVVOfay5p04gJKoYPAzNecuUhXNbWDLxUCNrjkaKHKvKISwy69eX9QlqkDl9UcC3/R8aJeH
gHQqhfmPn6cGdykqgTwCnzc+5rYRwdPcJN3jrmbPNepCVFEQlgWn9ZhrTT8A0s46a7/8fFRuZWZc
bMqihgqfchzziM78qbDiaTQbjo4+K6L+fRDG5ykRf/LSVC9qKZt3TAN+2m13743ixinvglV7ZZHy
MXbMZaj2ASUtij3Oo6R/66qyr/DOK8PUqMh8qceq8ZwKzuKGOTWc/mQy5Dqc59e+n4az1mz6+PMh
vbGjugpaK8atlbi95AQU92kLlt8H5XmtY845TMzahLNahnzWny2yJ2k/a3Pn2LnRbxe4En1Mx0Sz
PocF62kKF5S73Esq3WrazXZbu0PPosWQGPnhIcQ/XkPtSmdNg5B7owzaRUEEHObblAXMrxKWu6TV
EM1BEnM75NjmxgcBKdRzFLIi8+t6/OPZ1cZ98W9wnq+iCNOh7NIJBayejV+/w3fHbgs9vlUFYZ+b
rNVEpPOuPQ+vyDlzwSosiE+iPp8qol//n7PzWJbb1qLoF7GKiCSm7L6RbAVLsixPULJlkWBOYPr6
t/uNLFitrsJEAw1w2QAOwsE6e8thXDLa+RXxorbqx+9u6DAVsRHNZTLk5VjmT83mp8cnXcQKctpN
qaOjvZQy/hNlOnkyrOY3v7F0orKSjQYNsncXHtOPS7BlpcAZ3Kttl6/qQLWGBm9+l4DLsk6avswz
CAkYv6XQZazUZnlYU1lf4s0OJ1OX+2kLd89t0cWrirjbdUtVe+FKfw2MPhI7T36x79JVtKSFKWJW
Y65M5OFgwXSuiHnn1+tOdHZ65igKu/b6GD7jivL7WLCnXzd9beInp3sXrjKMm5KIvb4A8JZ/dHEg
zuLAI8QEz9w75d43lluXsIK+z8607rCS8+AjzCygZqsCv/sadUI0ABlZbvKoL3xb4nMQjTkQ0dZP
UlC6lFXYSEtykreXuF32U9QMrwesc++E0q2ed8JUzIXc2qDrL9CJmN7PnK7nSMdDWmuUB3gNrgtb
XZ0rUShqugs9EE7HNJcnOXTFg9nCwwtZlC501efLscZziZiS3QUO2s/2kHcyLjfmjWvuWHThgRty
1Vw22pgLvFv1Q7mx7U7f3Gpd/ri4l9W89Xqb+ksDpeOq1yoJxPq7X7878RobBg2hoGsuRdgcL/kq
4qzvN32GCfi9F5cbt3LXyXGFwki4CN1cSNCHH4J1rU3CqnVKTRmDNw5K+bAXVN5ZJW51lrPNhmNO
gXnF3WWKpvphHrNjoH7K69LlsIIadsLI2mML77ooacrllRDteVdxOazZhMugVtZc5q6AUkOwVEk+
BH63cldHK4aJD2kh2XIR5PseA9xbjPTMw7ooVjUu/URX01+qXSNTpGj1MtlF3Pny6yT/yarvolgz
jdhkgqG+zCBV4ldORVGeACCusEKIRP5PLXo/LQvpolkjeLJl79saerLhUzQvH/rFzwdNumjWOsW0
Yt3aXqqm+orE1B99AKkerxB20axuBWvcd9jPC1XUw6mW5f6xmvJpSEoITPodjF1RrcbWlSYEx51t
WpdTXB+wi9P3FIxuxGzoxCw2dVSU7LS+EMbViUjbPPTxKO/0z431x4W0uAmEauYJW6MahnRddQu3
2g72UHg1L5cToVH/tDc1uYNs3NgsXaUtMXXhegxLi5dJ0sGcYKWg2VB4SGrzz68H/FZ3OdsxzwWp
UeWG3SaokpjCY4KK3E+3QbjsVjfpCSa+aHztOM8aYp8GWd7Tc/l53wgX3mrXSW1z2CMMoLryoIrh
W8Nn81pRWt8Z7J/3jXARrkZFsJKZSHOp6XqaNFwC+NZ89Ol34epszWrdTdBM9WWR+T9F0H+agsHr
bCJcfmsq+2kcIIN62dv9rTR/TYdf0YBw7R0hVCTzfOuby3iI31XQvWfVPVOVnweWUE7YWvj/HPm+
NpdBrPNvEgjn5wFlpXlSVWJMOjO08A2N/Thl4eJcS7PoEc+VmDvCkCe5DeasNC+81jfh0lxL3B4S
CXesb+X0j6HTM4FKtNf5TbgM1yK3sj/2vkbGumjPW8HeympuH7wmpctlbW2Nqjn4xl3qiMZnJfvo
oYIaxZ3d90Y4uTiWNXA7ocrWF7GVbxjuLIka5zsZ1FttX6fVv3IttuCkACFTX7pNvnSTLJJc5X73
IeHSWKY9wqjTfXVZeZxu4frazNbr5i9c/srutsR5ipSXdiiglzZ0W0Km2esmgSfsHzsloIrbKlrL
C/yCmhNQouCUk8PrCipcrgrpuG22BzGXsdW/V7gnHvV8p+kba4GLVQWzNv2E8sQLDMpDZKNNr194
P86va9iRd3kQELhx19UXv0lPfuwlBQ3EVu/WXLrYqmf4RuYn5DP1nXi9sUu5KljFlNdSVIe52Fl3
f677PD7mlOyvM3wn/dZ7F40Sutxzs83m0hqN8pypPE71QPjZq3tcOGrWdQxl2xyti/1l6bbiYRvk
9OTXuBO2+7Ru/dTIHPUiy9te2Gc9HX5OQsKFo4jcZs1rll9K4JSnOpcsCeCh7LfGu3BUhcrZdon2
/LIq+0dVwEI0Kj74dYoTtpGtbUSBFYLtFp/0NL5pWPuHX9POLqt53s+xqdH0Gj/buvtM6+Bvv6bp
j2EEU2m9TPmQX4ydoM/DD9w7pR8UBVWWHxvv2Tb0uguCLKqn89pMLwvpP/t9t3MApsEaIoeGpjWh
n+gh+6QM4Lfm1bhLRA3YqxdZmvwSIGX3sIF2huSC8cOKxH+QqGCxnaEqyETYvjN8u2gb+50EXB4q
b1ERkW80yGLTR2/nvYve5lb7bXouDkXtmjdzX+QX27HlbVzw9WFQMffKuwqXh9qDaCV7J3LwUORa
fW4gQhuSr78e0Btbk4tDFQbx0zB8urEmKBIV8OGtgI5zC7l/Oj9ZvGifiQruXcd//i4rXKtB0LRL
TOwaZNUQGHHags6cu1zO3+N6lo9ItrWPez8Ep4OLwm9JdgEpEsATz0QmyPbDdt+DOJjPuAVpr+pD
4QJSZFtIvk0WP4j0X6cifxdBue7XQ3PjCOjqUhW6Ew10ibGXyO+Q1+/Ohgp6ZxO8MQ4uH8XZhKNI
G+SXNoYQUyP7/vEgc/Va13gNqpmySYOy/le81folmIWLTUltVTvPU5C1G2ZxXMIPtOr9inqFy00V
XC2YvUgIkq1/gETnu37M75zdboyCi01pNbMSHKLK7LJ/atbyzVHufuccF5IqltUELeohLlzvUdKv
++dZC7/J44pShesOabkWey4P91cWye+NGv1wRuECUpRuk5GQucpsO73Uu24SSkjot8O4FoGWQ2hZ
5KvOqqp5qSf+ZUdtrFdAuYTUVERsXnIWZGAmv5F+7Z8omf2UQoQLSMF6sBnGY1PZHDbfCwIEfEQS
0O9w5gJSvMbcpnrEFtBDliGulz+j0Pq9BYv/8FGqH8y4tirby/0LjGbeL/3qdzxz6Sg+z0ZvodCZ
OaD9erDl6z6K/M7S+/8p8d/st3DxqHrAf+XYSDKI7bSXnUTz4zLH9k1e2tC+GlwingaUzCdw79VP
US6Cd1ji2pcdvpd1UhnNoXWbt9LCI3rmp9zENlG5XsakX6r5G0eRzceoY9XfpTx4ntCiku9t2UZ5
0jYSiZxcMfvdABD8g4UccFMwVDVQx5U+1Hlcn+Y4tF+LuD8e8SyCiuO1ad4WBQlsspXzCttXnIST
PlCzTQrMmUsn+QHXbEpPMo9bCCrV4ZrwosDr/DpGKciL8ssWBwVEV+NFPNL1qLK8CeqnAGqjL3Jd
e3zSqvyoOeHSYT0vYAzBGAynq8kkRznhLd/P9k64dNguJtRejEpnAi4u3Sq7xFKsIr+O8p+/iQgX
/eqjtqjs9cN7FNR/H3Hbe4Hp6T8mavI3Oe3m51//mRv7giuvNW39KAYudUaG8EnH9YcVZ/o7P+FW
287twMga+jfLGGc6xGtUUO8Pgg9+rjHChb3qJpYHmAmdScsyo8UnKCH6nVRd1ksvSNDUaoqzmsQ6
YcGHgJB7hX038g6uVWLcRV2I4FGZrlBfP7M9f2omS07tdPjZJwuX+5LNMtlmgMf6LKc2kXy/lHDX
9RtTl/taD9C5VSDjDFmZF3KU5NQtpPTbH1yFLboAhI6qI85mseznq/fVaai6we/u5Cps5Z2ZgwJq
8Nkw6W+mI3/DBvO3X0fRjeuHy32JY4ZCVTjrrFh4czY5XR4iBvfuMoZ3j2qD4+WANP+dP3YjrFwO
rEZeZoNcus62vqTIwrXvRBP55YJdEAzV5XwsDFadfVbTaVDbQ75GfsygcLW2FsGnuBUTPlyH9WMf
9m/ySfvJ7cFY98dUBGpTKGyeMbpLG3PoHMTlg5BNfP71AN/oc5cEE80mIRuAY9E0SX0KyFAm6qC9
X1C5JNjUR/B9jITKeI/HSjiMLMnBy09+n37dYP6Vgs9LYq7m2iqTrYXJS/jNcO23ULoWirbYxmpv
0CuQM36Oh+cuGvyuKy4H1uewjwsOojI4PV1QwAu1EDH6pTlcACwKxtby9frVEuXboa5OURz41QAI
lwCLK3K0Q3morIOrTdEHW8JhauA5T5wNFdMuZ7rlKts69aZt7HguwtJ4TnEn4WZ2NkFUII+yzbRP
bcmWUxkXnqHvol9TXBZ1ZXKZmc2krNEv8eZ57neRr60wspOikBlb8zFpyfpER/WnV+y4zFdPCgLp
91Jm1fT7zNu3Vbf4LeKuxFYDIe0wKo3MaoNoV1S+hLx95/fV17PHvyK+wcpE4r2HO+IcZMHyJ6uO
D34tX5fHf7W8adK0Ibn2dSDDjARl8LyNyLf5tc5+bL1uYF427o3MkMwTkB1Yt1MVkzsH3f9PtZ9c
s1ywyzb1BgMPsG+QRUa4760NT1sp8xeYxOD4LtQ3FURFssebSEPRyK+I5eZ5n7D2FHpgJsmrcH2Q
bBZ4ZwxolOTY0N5uPS0IHqlrfdrLgfgtrC4npumEyxJlEeZ0laJwkSXwTvGzjYfXxY/dvPatEgXZ
ZYbcwd8ybL5YzGyvEXQxsRa+3yDqlMj2NlzPJhzXRyaOe9m+G5uwi4lVRdlNJM9FNiz8g6j6MgH2
45dUcbmwTRE430gqMtOoE85qf6vNzzReuFxYYOFHLQIuMoWLKDRdFqQ+qthzw3HJMKVynHImyE9A
m+6fJYb4Gmd+xrnCBcKOuoJK+ALMz/A+gPrM0KHw/S4ycaO6SrhIWE3Z2NULZssVQ0qWq6tDJOEB
lBDsFac2j9m7XNPxY6jhPnrSsxpNAgcq9dTu83oi87B7Tlv6Y0SwKGZyVbXINpJc95DJ76HfxcRk
bjtR1mg3lHKFblAXJm15J210KxicKNbTsISB0vRqQ/cmOPoMpVVeKg3cxcOMQXph3C3PpoJlTd9l
ROeeTV8T+f/aQGKzW9n2McvCBYReAMdnNpf3IMCfdwl3uTB0sglty2jWG3tmsn4ix+J1M+X/wcJ6
0U9AOmmGl9QHI4q02MSdpn+eEeD/wcK4wYuCQk/Lrm/hk7p/Z5MYzkdFa6+LL3fxsIGatp55QDMc
pF8OMr36rhDcxcO6ci1DqGTRbG7QJzJ839fKc6o4QUlwEFDbspOMxdomUWBScuReCV3ukmChMH3f
E7JjSR7KsypslEA4pPV6quMuCxawnqIeqQizfqPf9nHAw4i58+E3JotLglEb8T2yx5GZQu1p31wn
+byUyaK43ymMuziYqLejsD09sk4OTaK0/tKX6t49+udZTe6Kc43j2Jo8Hg48n/XLx5bn5ft6HYov
YjP5Mx/K0e9WwF027EDyEaG2b3gNUB9QYAnCdfZaebnLhmnaAIhcxZrFS70/B3nXnSIb+RWCcBcO
CxVeMUiH1hWLznM8DY+1CbnfzHThsDnajwqSregV2yAr3xVR0rbkzpXm1tx0AvaobTUeuERmBovN
qSFt/TyZOH9aioreWStvrPCuMyKK962KW5Q+5x1gFsiGncaO3rtd3/p+Z0cNwqCm/R6uWbRHsN0m
fZNBVsW8XTTvvQ4E3EXCdFENcOGY1owVw/C88gPFZ2z34wq5i4RBXaaDRjZ6h4FHSGpKv7DIep2P
uSuZNdRdCa+vekOpTQlVAxUlI3ybEp9rA3eRsJLaYYRB0JaFolseGbx2nsIGhct+rV/H+19njiZU
JO6reMlk3J5HM75d2+nOcnxjProuhcvAlO4bu2RtsL+L6yI+0dxOfpPdFctCum6aeR+OWT0HZ9v+
DWMYr1d1HjmRSrmQS31sU4adEXafbfewLpXfCzJ0AX/s7mXg80b3YMx40OUnnsfvg7LwM9Llrknh
EPEmLsNuygr1qQobi6ta5dnfLhQWqCVE2QXatrz7YvLpN5S3nr2moEuE1VVfDXVRTgA7ApNAz3Ng
c+0XPC4SVjQM6S+RT7gVA48oaHgK5BD7bRguErZvbZOPy/XDi+U49Z1+lTOjD3694gTmVnUQBoGt
TwY7s0sVRl93VX7wa/oasP+K+WOAXuqGIsFMQ98lKdn8zijP/d+Fv+xgsY3GzZjZJvxHL/JjWK9f
/D7bCUxkjsdqndG0nuo3en8K58nristdwMsKXfQKJtRZQWx+rntDTjBtuPdYfWMddBmvGpbNQw+D
3GzCKxjEcol8vKbw/RZCl/JCkq6rRR702a62j7Qll6KvPnp1uItz8RBGznWX95nc5fFYN+G34Ij8
qlngpuNMwqMfqhK1i9mcb3/B3/d9DktGv6h3ea5IK9Ueu+myFdTEaLeHfd28kt7c5blKUVQQ9d/a
zMLjMFVSLS8hafxEPblLdPXgPSwHtJThaGtOqJk88w2WgH7DyX7scVYbQygS9VkLaeSHnnf2IYoH
4pVX5y7TpdcasuQbHbJ9Vy9CZGyRd44o1xnx39w0d5GuduG0xBtGmyldBfPDsHRAe6bQdn9HsCt+
T5Yifo7W+ug9I8o56kaVgqcnmdFPXIYPOrLqVE3jV69BcCkvKhqoBMuozqIx+HtooyaJB9347Rku
5aVR7UqOQDVZPnafCGynjSJ+hzmX8pJ5eAxm7posiCx7ttD7rvWh/E7+LuQldqOonucmmwSg5DlA
aXMcIsvp1+XOTor1Me47WzaZaML+3C0jakah/e/ZurOZLltfNFDsbrMjj7423Z5pC7nAX3/5/19d
fzL1Xc4J/FGsUDrbZugd+yx1X7TJ0I772fKmeQNpL/MoBnK8G9fIXuZy2h8a0pEX0QZltkXRDEMw
Uzfn62KokpXXejpBi3FIdWkX8iBGUF90aHb0NrSuTzXHcaAr8+UCy1k/3p+7DFVo4dg0GEQv26Nv
CydPg939cg2uXFZBo3InsG/LpkEnXQ8bT2G539MBdxGqhh/bQErkkWqqYcE1vNWVp+s8dxkqw+KF
YS3b06VrnmsY4X4v1q749utJc514P5kzLkSljmpdLCmPNDDLt2ZS55UqPxaDu/SU5XpAlro60iJk
0J0iE0StUJ7k5znJXX4q7DZQ0ntzpJCoH04bSiOfpoj7abdxF6CSqw5ipec9jexGU82bMoHshvWC
MrgLUCHRG8d9I0S62fZ4Iaw0p9ocu9/e7TJUpdJ4WM6rKA3E8jFC4iUplA78ljCXmYrgTtQXIpfQ
I2EiWXHaS8pc+InDcZeamhu8dA7S7img7+FxnYrqcdV+5qrcpaZGASW0KSIsXUX0JW/NI596v6pl
7kJTZWix3IqKpR20VHf1qdWd337nAlNI1cdStjFNmUJ8RsXITkj9+l1mXF5qYRMOAXD1S4PSptrC
/zeMPMl97kpnla3ULa7UNEV5636eVMTPJfNMo7nEVBxHqiuGiabHQMbT1iELoKFce2czvbEuutRU
3KLYmix6Szte1H80NF6n5+IIi9AvG+CSU9tCYWoA86m0IrlJIOD4Wsf3EMpb3+5cffMV7hlHHWDV
6kyfrP30PITLJ6/9whXOUsuOhThmNB1YwR/bAET6onAD9mvdOUzHK6ug5DZvaTnv9FTR+UUHkx8S
y11wqjWHPGwe0VSe6p31icxHPzybu+BUY1kkDq1omm/8GepNMG9s7qmJ3RhNF5xS+xDF1SBlWlv1
cZ31IwrM7smI3Wr7+rb0r9zO0vRRlbdrlJKCvUN96wexR347nGtN2LO2HstWbekY5HV+Gkt6FZwX
OzT5veaKq5MlyU7IGHFEEEQi5158Lm392a9p9mO3dFsVb7HRMgXe+AYVGmtSduXvfm07wRmgWhOy
PTVLowKVp7FJmrDynYZOvriIugAX9QPrrezHhKzQKb3K3Pp9uBObsGes5d72Wxquy5Z0xRSdR5we
/UbTxZ3Cus2l0djkkI6BJ8TcSdhZSuN31XVxJ0hxAlmD/VwqKC5BOZ6N3plts89ePeMCT2VPGWs7
nBK7YJySqI8foc78m1/bToTmNeTSg8nS1G5LSub1eT8OvwF1cafhEHJX+0JTKIpujwG36u0Qr6Fn
ItMlntS8AYIl6PN+B+DRaVZ+jCMWePa5E6LDoaDiLdstreeIPcY4Tj9UzVb7LV6uBhaZTANRpGFP
54LwBO/sa9KGqOXyG1MnTKGpWMIN1mxpI9cSqAcdn1s8DvjljFyrwplHc70WHUvDsHhj1+V1XyK/
L2cuzqTGsKO7DNZULKF6VcW+PEuyca+UPXPlrpoFxjAwnFvT8oAH2FwV9aeIj+Ls0+vMRZqI4j1g
pJJhj47PUocP8BzzKvVgLtI0rZHhZmr2tOzlkATI65zgOePnq85cqgk3IjlMOz5cjQN9UfHePGhI
RXgFEnOJJjYIVeYcnR6KyrwQY8dUN8c9IcVr1uy/6QXmQk3Rshasxu0Qi0A+P5IwYt9qJZsPbLfj
nR9wXQl/9iecDTWcxzqApjhJx6iN3+axGc+1HOXD1sQB9hDmB+QyF3RSA9zKhzUiadQVX3g0vNOa
eR2qmUs51cESTEPLCVC4KnzLYtYm+SylV+KLuaDTQjmujOba+hq9D1XQJHYM//IKKpdwGo3ooXC1
biksUatPTV2sb9eIQWj8183HPx9bl3GKdhtG4LfXtAn6/UNP4GqTwM20f6grGpwP1ozvzJij/qEp
isbrgMZc3GmfWbdXI8caJ5bfgOV/jZTx2laYizsNslhF32Lhb9f4ZLvpr7w/PJdmF3Yq4dQ9wMlo
QZagLk5LvyCdH/t5fWAC/nggFlEdQlp/WFJaSfsCE6zlASfMwevsx1wxLMJ5b6HrsqTzCCGI69sQ
nO88Y8vlnFgdISsABCatRceSmOCffPOcKs6RWFDdb8FA8OFkDc7bFS4Zo8ZPf4m5hFMZRgC0wtym
TQ5tmjVYEhuu2/tfR9bPb37Asn8c0XGDFUYNu+QU1/jy2USBTuw+xHce4W6syS7itE016k76ek0X
6Jx9nCkU4JK6HHuQ5gX05ebSU34IshU//o5gDnaN4sQ1NQf9Mos50QtSzX59dN3U/nU7ngCwVW0r
l3Qxk0igVFIBbR3+8Gv8OjD/arzvRA0Qd12wKuctTGnVZbObV1KPubjTglhqqnWwqYq2+gGOIx0y
ktE3vw939tvGdnjbX+yajjmfnqZ+i6FrAfsWv9adszFMAlYZsWFNhzyXp/BYmiSMxejZuhOwnYZR
Ot7GlvQwg02qCXrsjeruyZpf58VPTiIu9WQnq7oaqvUp8rX8McSKnOW8i593qSu/HcSln4ArF+uS
51O6BuwN+PzvK5F+3oZ4Vv5xRrYkL+VQYbrTvpwfhA33RAjp9/LJXPxpbtSsZ63nNOB794b27fJc
zSK6cwi8sZy5ilhKFSE2qWNN97Hvko2qD6URH349Ja+//2fD6kRqseHuCilPm3Y1EU97gDy5CYLH
ENT756EY93czGfA0+us/duuHODvt9XQg9Vwu6crDl7L5c8n9KnOYq3oV84pKEdI17da9O+3zQZOD
2c7zu524hWola8iKAWBhvTyE+2zOXDA/lXrmQlGkWmgwKKzyId3LtLUF1PDhHOT37S4UtVpGommp
0Do00x/NMY2nIZ68ruPMxaJUpaotCM2SDjH5BJXJN9ER+k16F4pCPNm2KtHnHW3ah7LV79ow2B+9
JqJLRfHWQNoqZHNqUER/ysOxPQ3tnbZvLJQuFtUIW4HaUDaFt+F2avqxftrmqTqbtfTLyTGXjYLC
TGHy2cxpyeLwcUKi+8nUwjNKXb2rNm/DbTjiOYV665HpY/tMlra7gxTf6h1ngz0WhittFG4pMqJV
9Qydv/p9FQ7ly5RTee+P3FhnXEwqsl0LF14yp7Scn1vCP+9R4Xe0dHWv7N7w+urwkXZkZMk8BmNS
hfudxq/n058sxi4RZaDeHMIPGuujEaivHxf1sG4Wtq2gmT+QmbYn2ufhadCoP/QKBBeTQkUWhRz1
sqRjP9KTlWH9EOaHn1QAc0kpuoqdQCpkTEszZZuI37GyvZNOuzGPXE7K8Lqn4Yy0sWwpfwnWAei7
pf15gJDQnePIrT9x/f9/HWLDGCBDHeFNIC7o9k8XqvJhtYi6ZGzVvTPbje3XlYaKIYfV0RmXZjWU
9m9bFuGDnVh3Ls1OXnI5sWexh7XfqdxFqFQIndR47Je0YfHnvF9NMuYolfWbSU5gFwBNg3ATE95O
xT8oR39FXc93v6ad7bcrOTJt83WXAXLTJaxd6r+GqSd+bivM5ZsqaQrSq2hNaU3rt7ku4My5dF4F
McwFnNqyN8LqaUrjLVmP1nwbax3+7dUxLt8UweRjaawakUHqPjfUvB+7+PAbT5dvYpDzBxiwd6k1
+5RMuXgZKnonaXdjnWPOvbaYr/Wgg+jSXJP5xIqUhq1Jlr4iSSXWtybSx6Oo/d6BmQs76VYi+wt9
txQgmzkxUohExrXxO6e4sJMKVQOd592mluXdn0iQhM8LgWq13wg7J2a2q6UjLUZhglP3W71X+oks
W3H+devX/v7JfuPSTlvI7RIoYtOZ76xLujVmpwjWNDmeV7HZNBENPGeTE8JcTDEEAcMpXa5agB3c
nxKq9/b0699xY6V20Scpm2CpumNMQ7nrD6aFzH/dt+RxjqHScedvqJ/3lYtABV3Q2iPO11RtNTnt
EWqWdtoGl5Xa8lypIn/skBxO4pVQSDDiFuvXcy4gBXP2cK7kRF7FpvuHA77WD8HmR40wF5Aal4UO
27GQ1yAvWKIPAeTYs9iDuYDUWnO8/gk0Xhd1m0CBrxOx347g4lFyZLJnBE0rCa2EeG6bZAbd9evZ
dOP06NJR7X4sSxfRJVXHit2eQUw5Hapou/OedmOyunDUbozMIw7yuF4Kq5Nh6oosbyOWNlvM7hwk
b/0E+uPRpQpoH24N8uWbNN/xnHMyM0Qzft09/xeX+cmq4VJSRTPCdzufxhTsSKHQ8QCN9+tbQgFH
0AcU8vXPOq/Gl3Uvm9Oc981juDT6gXVN88+vP+HWz3MyXVFVN3bFKKWi6ZIhjr9KPXz1atrlqCq6
bXO7T0sakA0mUb+VkZ+yMnMxqnI4YGzIZ5ximuodtDjY4gcL4j7/42ivAsRkq/CAIUTwHrnQrzz3
c7lj/5GfaguNsqcRsRCa7zJCufAUV3/5dbVzvm4XDd/l/RiuDuhfp+09DWbPEHbxqbpeWzvHBXlt
VIMD3fbAGnXnAntj7hFnR9aEbXW751h6GpAHUb+e+Np+9usRN2zVdBRco+3cGlBIU4saBemHfTBX
KyqwuOHVR16l+9F9a8uhfJAh3nT8vtyJSBR8lIx0pkpt235hjUgNC/0YQebSU8yGQa8jFb4Wdv+g
ePApstWdg+iNA5CLTplOrm07B+Frzgb7HBw4lvC+j980NhRnqDAdH726x4Wo8EbXdkekw1eoZia6
0m8gb/3Jr2nnLD0hz1/C2Iu8atX+U07mbOEte2epvzHXXYiqDLZdyDUOX1ED808YRX/so76nonCr
7ev//+t2Hehe5m2OLsnb/s3QUHGGKa588OsUJ0gR+5iHFB8+NP07Ew8w/1STn3wQc/mpEabA5aBF
+KrW8W3O7LPd/VSomSsEBXk41cQVmo43c4qZ+JrL8F4F1a0Od0K0G/nS84njsxneoVX3d4A7mNdE
oS46VbE+hp44C19lXH1s6/73uGvvHJd+/tnU5abMSqEANeKz2UFeFqOexkl4Xa6oC02NMNSKzHDt
keJrN+6vcSvvpI5ufbQTlGHT0qUm6A/aVQ/xfNoa8+gzsyGR92PYMF0GA47V15Wk+j2sjmTv/WrI
oF39Y9N0h2LoaNAdY5m/besqMaz2uiRTl5TKd1sIOIA16RQufRI323E+iumey8qt3na2zQNCIaut
SgrvyPxjEezQfDt2v5srdcmooqArC0dDX5XVX8pFfYmrzWu7py4ZZeNh3dhyjZpBv2lXc5Jt6De1
XSyq6Qo1LSumiba4LM65gWKYjs5ec9DlomqVV3uOouN0NL15hno/O9uS3bto3xhNF4uqUWUQBg1B
wCv7ZanHh623fqJJ1MWf4vgwZVcdFWhDFies4X/16+Z1MKQu/1QaKnWQNwRIapDMi3061v9xdiVN
cuLc9hcRARJIsAVyrtHlqbwhqj0ICYSQADH8+neqV1/na7cjctluVzoLCenec8+gb/zoqzezU0sl
Ux+oC0EgUqzyZXi9bSWv7klOjM6qBR8MHQ0OWFPoKb2pLiHXvCekMGrEwk/b2See5oq5BUpJuI/c
9sWv8KQlIE2VRJm6+EndR6r9bpm9jbGFKuGf5+AYbw2XleoueIHA1gpBpaU57MHG21bzmvqEnAs/
N+HQXnxTb0cmqC6ZvxEvItfcp0U0Q5YMjbkglnLNqUqeOIEc+KbHfk19aoNKt3rptjPCSFi+Eh/m
RMY3FW3kmu20WeOJ4no7a9qXsa4+UVr/CbT4zaFyHfdnUx06cLu7S0Cb12qD7n3QyW1NMrl2dwqH
NDXGTOQ8jcvSFolTHH77yt8WiY2Q839uyMpLnFaRay9VkHwLYLihQnVbiU+uLZ6WNghdJHiHUXIF
08d+WPZUZn/S6r5XJf8fKiLXHk/zEA5wMsvMZe178zY3cfjBmUm+CJ/Rw21b8uptTWESGqcb7S7b
vH5rlb4nMryJaUauKU+O2LCKoGG+ZEbL+7jn4alJ7PSH7f631fu/PJxruhMfE7Usc9tdYO2tS75o
u6cmXveiXaOCJLEvhDVhlUdyHD9tLN0OM/bw2xzM41cMHcRXggu+KhHHXh0aX7O3xQFAYZGruwNM
KscCETpRtSNh4kohB7bfhqS7rQS4plPRegrGDM/9jNFWici+JndLQ247Za7ZVCuVaxLPME9Npy1X
uj804580mH+PNv7tob/v1P9pO9UWI7EiMuYiA5zBhQT7qYQ148SPCjyZvhgRD5MUobKwf0Pu1xEE
26AvgqBaCp+JeDc0MTDHZFRBSdo0Ujk0HcNH2kbhpRJeHmrhw7KBr8mBQ6b+dbIpf4ACHip1mWWu
rKIVCxO9lzUdjaPP81TV+4Qk7t4RzJe1HJYT7ArNpbL2T9OR35x915mHHFEmU9cPBtVDHD5bPy45
GTN+03yTXLtcVYNslB2wWEz/cHN2Cafb8mnINadLjt6PmcAnIz3mgc1fmxtp0+Ta5CpDcAkaBMiT
KiZKCE5f0yC5japOrtlcpkGcZJUEzcUu7iWrKwRrVX84MX6zkNdUroYHpIWKsL70am7yMXXqgPie
25T45JrLpcnCu77t28sWWHq/cLPAQeXG2BVyTecCTynJqjqTF6b4AwtDcE3a24rYazJXFS5Ut3Dj
uoCF+VcVuE9bFN+2ua+5XL1HAGwgpbzg0T/xAJAm18ttobg40P95FGklTYwgI3kRaEryVWP41gt1
GwJxTeIC7z3igZ6Dc6yCb80IyAdCmRsP6GuDKzHqYBXbGJzpKr8QYS5xexu1jVxTt2Rbx40w6OVH
N6j7pZMnqyl7uqlWuCZvDcHasjr1NQjGw0PYaZ+rob9tUAtT038u51QtSczjXlw6Ui/l1HcwcRfb
bf3ONU+LdiIWCDDDLDWS1Q4iyLXQursNLLimaXUUkXQB4NiLboNlZ0iV5pCDvdz0zK+JWtvYp9uC
t+gM2Go8Jem2ldqR2wbYMCT950NfTTq3Ux2l59QP9d3YjfMp1Nlt/DVyzc7S9QqraeSMnV28+MKo
hOZT7YPboLxrOlZnXNTMcIg8D1HWFEO0lYutbyP2kWuvqVXwIeJsTc+BMWmuYv4t6cexuG1Nr7rv
wcEsCDnA6VkGtH6oAvotYKO9cTdeF/Rj1No0hFUDq9VLZei8a5PtT1qv933xL+XfNRsrrVsH7+mK
naGqjPc8pvUZ/Cxbmp7625b1mpRl+yholjpk53GZojKyZP2YLS77/N+P/jc+aMh2+eeOp9tmaVi3
/Oz4QPi3OOL8ZW6zMG8nIp77UE05a8x48CbhpByi9WWtY/88ImX2x4gwiHYfJ3D2rNqW7hM1zB84
qcLHGHXqHoFf4adIZ83Bsy0rJrhDn6A9QDb2hmDa//7+v6lhrqlfMM8GaaZiyTmeq682MC8RCtPb
PvrqLIgCLOd7nXEO2mg9b6ldCsGyP1XRv9s5V7d1l2ZwkbNLcoZbiYYm07KtIMxFHyLpu9su7Wtr
q5EkiL1apgRAglhf0yldd7yt/4SZve+Qf9v7VzC5CRE82CH06SwxDf/QWLGcFA42UdgpG2gR9g4u
Qywmt5lHkmu3q6T2Uextk5wTqvsHeNLR+8EwmIL893Kz3/w6V+cEBp+TN5tNznOWZiXkK+uhpkFT
wkFG7jtUKN//+9/5mwb6L8/tmvkVRlszqhmzIdJOkX8xcapc0bsuKtPW6cLAgTxfaWJehEY0Tom0
SAItXWQmbJDBIalAw52vlA7ubeibx48yWcTHplmzZ3DKBpPH1lO8jzoEJWSbMfpD/Px7Pfuchm39
qMZAHODsNX9s4V9zmjpXD3/n+F6AGHzaVCx2pjbNQUNM49o8pT46ZGu3HiwNuk8tNcGdadk45wmn
KjetHL4IgjjOPzycf1+Ea3Zah4DhVtpqO3dTBxfFqFt2XNI/AKW/WeFrdhp13gG2aNhZ4dA4wIRA
7RMdm51uXP9hkKv6w3Tqb+7Gv63w+xf4H1CgXgdlu6zHrQBv4vDU69ki7ANEjHxGZNIO5KnuC2wK
7HcII5JdQ+qfEWniPNJrm0sMQQ5DvaZ/oCT85oD8f9S2QVhY3/LojPXkv3qeVnsHt+S//nu9/p15
S665bdO0wpFriuJz0mbZZx6Oy5kqpu9ixc1uEMLs5z5dzzxO59vwuWu6mwv9ynxj47MC+neO8bhK
ZPpVt1X01zGKUW3Xeht1fLZZ7M4SIRW5k1F2W+16zXRbDaPhmlB67ral63JncCuKOSWf/nsx4CH2
m1uFXB1iwFv7VgKxPJuQ1SIuagV/UlfM/chDmmewsJ8+bLNnww8JGDXrcrWpBbJ6ouYAZjYyJUnl
8q3BmdTniIPrFHsSGG75tnBDNPkaudwsxdhoM8MaNUXAaRt/Hg2sJeN8XDDG+yUmm4klB4o9bQ+K
NYn4DuV+A2RkEQguiPJ+06p7IHJud27NyEHAxTvYDaHBgbX4SR41VK3proarxNexsu6AMfIdaVaF
KLwOgcK+75KwiHWdlLAmhBdcVOOOyUZIsI42SJO7Fr55z5EMq7gMN1nP+VQ19R6Gvb+EDLYf1bvF
SzuNKrdhNn6p+FI9GNGyV50t06Otu3Bfc7hyz1ul1a91WJ3J24W11aODfcNXnaZhcKghSW4f+TRg
e+QDriWNTS5VkDc0so+ZbFw56FDlcAfBGq+NT0s3JRqtFrV3MpI1koBtnzesfembLb7L8DvAsLge
l6IdoqpkQaOKRk36mbsF8YDEWb7vsZxPISxO/EPWVospqqRLHuFRXj0GFZfHdtJRkE/woi6aDY60
x61ZSP8CrjEywmudfQ0UXNxSLhgpqSafYiHD71VMfrG1MedeSfc5yVJhcshhQlmAv9SUoCcnpe6H
oXTxOO1VKgZQEGRQAcvk8Mxyfug/90NLkEHR1kjZdHVGpuNcbyR8zIIFDPPaz3Y+Klct9JM1veW7
wHT4+WlNlncYNO6awnOmj1ay6IQFMPiWnQJz/NTPAsYk/QzwYcwl4uzU50qkM5yvhiZb611UWaPG
IujatLuLUvxoTqXxxeZE+CS1COOihaJnXwmjkeU6zfEUlOMwG3Eam1bWj90yub3Efr9rV6QGTrQf
EAvHe152g6R5gpq4K7tWu/6ZN2kb7pPB8nDfZYSyvUqWzFVlrze0pDkwXNM/djyY0vvEVrb+PDVR
1v3lcMP77xVqo7Do6q6xDb6IbYMDoCuydYXsMMg4s7ib2j1Zh9ntod8U9M2PXm5PQdUhlkSCkt5/
JX5tZgRTGUpmmxPg5T5veu+7O0LClt4tGIvI73ITkbyL5IC/qvFIkmeEqIRBvmItkn0tk47t6eCy
9Dh3lUuLLqzAb8r7ECEuhR/WLL2vOp6JVw7ep9uDxQ1bmNTgB8pNmwAC/HmJx+oZEQRwkwKRmc37
2vax/AmPqQGTJPQHXjz2FPvwkE7es7MxvULIWK8lut1eTBiyjsg39U9NOomdckE1g7ksrOf5kM0z
+9JSSvtXuyJt8TmNdYJLM0zxdsZT1NPj1sV8+aVIHXiI/WZp4Se+BOJENWwHyqhWqj6NrO7HnzRz
it6noWrG18ZlS3qEnkMGn4SOe9QwZuBLCkKAonGR8rmvPuOnuumpt8kW8nymQdo9SB4O0wEmi2za
xXoIu48tj5fpnkfY1nC81QHfWcLW/gvsnaYEzU5bYxsjpSE79M2U2fuNirE+Zkpp+zXcUqLv17gf
RFR4Z8NJ5MiIouzEIbfvfrhKvWslDBQTBxXBh+PYLnoVlx6Mv+jI6gzFIzjKS7udlkz7WRRNkhhZ
juESvx+uUxT4L93GzLjvJ9vTO4LDaE12RppKnRsJudAXHzMGAxrWZYwgiGmuYpGDywnWSIujQp8W
/E7q2UFXY3ZVVg3JCXrZpH3tqnXg5xrJjHvp6qQ9tDP+PjywN1Pt4HeX2ueKICGpzVXUEHPkkV9n
XSadD9sj9G5y6fZblsLRe22xMA8BizGLQsDppNkB9xA48VEm5XiazTR3PzmCMdmRGCjzcgmTBpEP
jjlX9kPTRj8254PpoCN4p6ncOe7XnNVJUIohkoEuQm3s9GYIX8Knru2aDsnZ0OkK2BxFoRUASRhA
jKHFnbjlW2RwP2WJltVfEJLOwQduo2g6d3ChWQ6xbnl6FzWRT78rQ6Lo0whHnW6vGB2rrzRyM7nX
PLbjh1hhk/7yJPD8VGN4aMO8D0gU/xWHZHRHusVBeBk6v3R5Aja7/cm992udU49Myi+cyCHaGwlK
8H0zhmy5my1FfZ63XqTN2zROVfaQRu1Qvy54EXydx3weqk/pKqtgr6qZsD3h6yLuJMjxQWHpGiV1
qUlM4fwWzMGhcZNNLoI0hD5lCJrqGZQ5PlJDWUmSwRs+xF0SfkcQWyhL/EO6acr3l2NYiyrGIGLO
SUdcyHeYgSTNnSRInZbFBvcJ/2PTdmjeVJeo8W3cZMDRIaxq/ZSatKk/UgOSws+plXQ1pUsDNiV7
JinQjN049lF6BwMz7Z6JCsKhPmrYsaVzASnjaI9TbRcqjqMRa7vlEomZ7KtMaFztwDzOtMzTlvXJ
krNNy4TB8xeiVxQjpA/8HUmtrPIuq2KOy7aqht7lzI0uiXaYSrN0KGvaJSY+8MmP0+sgYRqTHGYY
8sOAc41B1PqmpsSOa8Emj1GtXiuInPJ07YRnOeuiIPWQuMjlULWpGZpDBTMHEZWSZWnQnQEOT/SZ
eHjXzQVdMmbflO6mvs9pE9XybOp3A6UillGrt7xNZ95Al+P7jZWpHzteFxlmbeFBdQGifGCWBv7F
CR6Ha3PkQRf5X0nYM36YiQz6Q42WOC2Tjbm5GLhWqJcWOdSJ3EeGV6LFSMCzbseU39ZDy+aGvAZV
3Q27ZUrjX2rjXfSTa0+bY79EmAcBBCzaUXZPJFiSEChQpOIDUkVFeskECZfjECTpsh6TLaLnFIbO
K67rWTf7ygU+/NTRRmw7lgVVog6CLE1wtw6Bj76nmoTHOI5idUgR7ap2MJceEl9kHiFx97IOI3Jv
lhW+OAWAIgIyi52rJ6FFB9Gy9t6C3E/XUzC5bifmCQa1/QSDPQ8J+yFDFeW+YTwJ3tQMdCKND3BR
dUBb627J+C6lKYg3OVTiWXcYArDAeS6VnPIMBozPKShAnc1RVM1xd1ibkZAP0cYWEewpD+1y1sxI
9RxEAxzUkNNBUK3h1Y1gEcFpl9V/iYBad0wlP0dpbE41gZkSTtjMvM59Bi8MO2yNLBVfSXpKosGl
+H9DFwx5AJxJ/tWsFbQFm6+D+ozCmtGvo8PN9QiOmSYfqn4Lm5MfU2xAhuk4YPVRJaM+IArb4puk
TbxNR6zf0jxvLEHc5qDlD4w8cBmqajsKpPv94nyopyGffef7JwrL6emO9/WqHikkN8njugBafFkp
WKBH0OS0rHPf1gkMWFu6rnskAgzmZxZFQbJvxRimr/HEp/klmcAzfqmEdtV3he86srzhfKu/VSNH
Yjf4qlvNHjedKQNZYNuOIX6zkHV5HbYS3P4hXvH+usEvUQHQUK65CWMuTinQ1b1aDPg28Crq5YE0
ng84K5ZGPVZsEgEKyjZEyCKG6jLTICzsfJoiuzdhofVREUrtgpfJWNnPO8DiVdIf21a1h4ynuKpH
XqVZXbisCyiKsy3hPyrYjVFbMN/P4QPzcyJPZNkSkxM4uR42HasXrrRALnHD0cbtjTKxTPM5nEJ9
H6eu6+u8Uam2D6RqWhPlE0P2LO7nwJEBCxcItd3DMLOeTKH6dc3x5wGoPW1ST88DLggcf+BxVm7J
xSC7kq5u6X8k1Ro8sy1G867h8nbpUKWPG0404jZARnEgPmLXwn6Tw1VxPg0paugcMqk1fEBecYpR
YJUlmbhjyKKLUTJ4k047fHB7bKCjXz7WvM/m5d7iUrBPs6lWXrZT24bPKBRkCJlgs45iH+iQ8Q9T
hmpl3zk2pc8u6+v5MEy8uovTEZLYLBEHlFyigfIhbDJ9AAOYRo8bykC96wn2ldk56GcHe/KJSXqL
gvodYqojH9zLSVn/a5jVyP+aofT/PDOS/kRvisNsn60aPreeVMtU9nC6/LEiIaiQGGTtxwFWJ1Xh
0krEXYHDh/p1p2boR+whngBm2pNAnrCF0jGY6LRD7J+vH+q+FvNYYh44WlEG8ZZSmNxPjkxPSTbM
5AlZqsGrtHMKsoZAY5AWdO1kk35GYww7i6npEWFXrDOiUXmhAscCOCQB3YuTso67EUZVYzbe1wsN
3wbKbN0j9z1QpCqJ74OI51qBiP7VRnEwlwFduqlBSvdc+Xu7zAp5IWOFSnbCsCVsyW5YRNV/S2Wf
zrsGb0TyIaV6ns6Z5XPSFhg4jKWy/Trl8ZCaNtcBe09O62DKStDt9q1/MzSJosOavgfCFHwJXPAZ
h6xmDq1r0Ky7rUYqx5xnjixxktseNj4H1tRJfb8ujtLjjBDMCVnfcPSo81FoIP7DBuw9eUG4TOPu
NFwZSQbHuwk3aQW8gbvG4HoERHBm7XtoZgwfoF06T0nZUUFJ6ZpweZVzGhw4sKXHblqDoAwW/DfQ
ZfrTQjHc70dl1T32CrvEaZNhBDKuQTH6np40Xf1HtTDzMvGkWXJ4d2Xo1oCljXkUI8wlD6FuM9lH
FscLgPau/0nVQGeguyA8WLds+SIy9px6tFgoSWC5FqErPEictCBCbTHkaXPzNFCHE36pNnqWRrsL
3q4hKgySXIC1ZtupgbNDwcZtRPU9+2MSjjaXi0PO9JrqAiRed1C9F2WUbMNxoEl14KKaz0rigEoj
b4pem+Q+ioDXRHWvULCBlpXGlYPf/Rbu+OCiHP5zTZESOheI3DMH7+P+dfADDi24aJWq4tEOVkgM
JULHc5rOX9yYNWjLYnHsR3TcWzuEu1rhzJgI34pmRDB4apCkuVLgHcjC/kxrP2LLgXeNg6LaBYBP
CJ5BUO3HJnTomMx4WoPlO7Ih36tGgYZNc3wfaZqliJahwvMXJBoK3Yz2gkB4gi4gnn5Zy6JPfYvj
I5aBf23NMBc2duyJuV59UlRVJ2T9VWeV2g7niR1yGlhWaBWJ3SopzEMipsUOpGWUTXVmgyNUtFO5
WoWSDlkP47dpVWneV2DvKrAUPkK0BIycUbFPkZl7bHoUgaB9LVtcJIGuYFCHtnkF8+UA7hK7EEQj
9HkC6O8gjGeId6V0rHdLFaca7kkJItSsQwGM5jZ+so2R6P750v8EdS88DnGwfoghajwYwX0Dxv2G
hyZkUgplw11Lbf+983N6mRgbXsTSE+x8IoHnsznJa2yGvU0EbJ9VHx8TJfQOXs3Y6E53x1a6dSvW
bJz3OrBNnYe2qn+KVstHlVHx1cwNy4kPtN7ROjKf265a1n2j1cDOMjTNXuqRTWUUt91LIkT/3Mdt
8lZFvfyFOLEAyUYMhVmWpp82EwT0HjBj/ehdV51mUmdBvsBVoYToGjXA2kzmIDGHeBtxDtoj24By
laoW1UElFQL34r4N62KT1XqsskjUOxMGwZzzsFFR2RuTANsa/OqAHKmpKxtcX7tqq9boddAL7uVc
tmt4iWK+jZ9JMsJkP0t8IHct+phhh249jvNhy+oHunFxTyPWTMgO5S0wJL1+D8NVvzJMu+9ZAGMz
rB1aRLSVHngC7slgN/LUvcDEC36WbkKKx69KqqYvQtRQD0KRhYHQOCLJmjfb8CQilJjjpqbzOhEE
TnVRasUDBjJ987Ch/BW7ZozFI1JNuqzcBCJk8e1RXxQprvo3xhZ+AsvM7AkL3K9qDN0GyHOuzmCW
vuceo1ZNCuwOJYoWcKwqCCjPj5TPeI1m/56jxaMEAvfWBXOyJ0vCXe54lsEEdeC9hoxQUXtqOW6/
ndbUvnti9xIVpE6ea2IHdh+4Mf0RctnVBUOyks0jZOi+hn3MsYsxAAh3oGOgTOFYVbNr03X8hhpv
+ILUseqnsY4meZQGghRsjlEa11PnwUVe0GUWq8/8hJdlCL9KM08POBSiN2fr+afDZOhpTqFdy8Ow
wZ4M5m28n9Gsneda1N9ZOyZ/oWTjX7pQc/RkovPBZYX59q+6Qv2Wkz5eVSlQJz34bai3Il5odonE
QHCYjwP50Iyo3vIQ+7/ON9+KC0EFUhdWdWTYV8uwdXsxxN6cWGT02UbvEAjHP5bl+IhuRN2pAWq0
tm4LCiI+/4KQ6LgtRTKB5krAcU+KaUYE3sOYhA18MXkPPdTTsHCcbGmM8+9p26Yq+Lqgqjsnbhl3
DbzVWLmFCwBXWO802Q70gvEFloAwcQ/jJU2QslKJ7HnDuO8IxAO9GQ7FsAIwlLbmzo5haAvercGR
g6CJA9pYRr7Uos8eN7KYjyaCqVW58bFyRYwwG1eOthq2CdfBMtiXlsXb93GED9gSpkO8C1bdfaBI
wf4WGM0PxqWjvEyWovxLbNwMx3WW8jPbJPVliH72eYZx5E+1NW1zBMFrmwq3ANrbMw3VIOj4rX5t
QcZ9hPane+g5RCO7KjG12wGzYL7o0IOIswAoPx3xE9mZgODSHSiPmCpj5gzWKZRWFEsaun7HGBiu
RR3yGj0HGAdjObqYPmfzigXFZ9c253W3PYYazNnc4LJAfAddcGUZGEN2l1mo+U0mw+Byu7YxyZmN
00MYuxEAyrqiCI+HGRxYL5uZA5sVdVkjEHjbSboIc5Zbize1wQiZnPDcBNsldFQnmYEcNndjFJ4I
Ht1bMM1A3lsUJvcZBS9+X4X9sJ5405j41GUx/+om45snziQSwKdm6/BC4GZj9gTwoG52jgMgO27B
4lkRTzq9VPWyQteAZBKg2sz76BG11zqiS/BjXaR+CSVaOOXnsrL0/f4llcmyoxhF8yWWYd0/Z2NU
B898jchaoEA3yyEYeliENyuPnibfqbdm3NBIJ3IFnAm7kgajlSiOvrc1RwUCb+VB7KKxBwU4dI5O
93EYJyN6Wh8upbSSP/Yq8H+5cZIwiGpMtkOHB2AFypK+RcZR3b4lXtGSb5Mi2Oqrr8uOoTJwaMzM
Ps3m+uCg9uN5I5Pg++Y5vwcikbLDSu16es9NVN9p78IP3gmNXshV+q4PJ22feE3DEyDIp7qd6WOE
LMQzjMnwZM1qIO1zpOIAGztd00M3LCBMdnISr33WrioPI+pPmo0qLohcxGEjMFD/OsIPfxfawX2s
ezPf9bGK0aXPS2fLZElEeAh41H+x/UCyElWvM2BOm6k/2NU3uJInNGZ535B0ZwBUZrk2EfIpfFz3
9yRK1ZgPqCx1HlM9fqg7mBngdJn1wUTt9qOmU7YVbQ0z04eeeDfusgxq03NicfQD5U1RXSSyG979
cAIUayGxMNPIx0TGdbmwzfgdeICZOjYsTFkBdJTqPayG9Fx2IZNZMQvoyNkwM4w8VraanEkgNnkU
zjhRadxlD0kaLEUQp/L7QpvGo8eQod+r0BmOUMIFNU+4ij0jXabyIEMUBzoHeMDlojZ6PG1dv9qy
M2ud5m2LCL1S23SM4CDeNyc+UfYI3DopVUvFQ1rF2CdE8s9sJMCrUrS5OWwdKv1ZBOOQ5M2StSj1
VPZ34lSsmjLBtPH9VwEPIZ+zSdh8juh4oF23hbkeaLtbkkS/VlM97sk8oemvB40xi8/ch8mZ9VsS
TgmE3RoDhGJ2KLl3k5Q4CaCeS8OnGubmH9tta+AvVfXNh6BBANODTZFmgmZ9homFwWhi3SUV+sDC
giDbHwxSfmmBF493+dDDqzTHJG39YIRdpxKYPu4BMgH/y8c+7MdTKFr+JrK66X5ttJ9VjvYSaEHY
GzykDjGtl8pRRYquizuwQas62J4sE1VzcCbwFhXymN2BKT4+VROMwXask2laSvCmxnLhWbMVrrLi
wwJdgS9WSPw/YrDmfvYRX5HZoSJ1TNpIHXDP42YSVp81cDFIbNA1vk8WfP0oZ+wpGLGtbXKp7VwP
51Vy1mOeBpzhOCEKeNm1am3fLMDunTCV/DrHzL/CkXT9saKxOQOAx66j6/IRzkSQqrWQiqT7prLx
44TW5oRXS87lSmPbFp2DXAbdTcspbHloMHyMTDyyA9Om7U/vBO21wHBgfuhi0AIuGGB12bd12SIM
4xyqbxwYTv/se7d+d1tNxH4OffRRCUzHhLTRCcQFdpnmqEK+ZZ8Mh2WrJCp0DGN+jsxhF/wfR+e1
HSeyheEnYi1SEW6BTpK6FS3JvmFpHIgFRRGLpz+fzt2ssWdsdUPV3n8sos1BweGpEF44GNh7c4pC
RTBGlwUvwVu0ro9uLvxMCr9ZzgwIfVK7pmSmGKY/cb+Ny5Wyz849dEGx3zd+4F6iwdMP0yrFqbQj
um+B5UoB5kt/Ukaj7Hbp+aIBSIlxvchw5IJjmqvGRG6+BnYALqWfEJn+CXG3+6ccIFWSxYKcmap6
+bfgPqk46pcm6YsqfzftsIU8XmPYZ4WlFw6edZiuwtqqf9KPGYIF6eaCKH8fliUsqvWqpm7oz/0U
Na+bVcJxYln6sXG1cRmPewWAufnwwEPU3eUydl6M5RHRUVr2YVFuf3BsuLKaM4aDzmMy9KIyPHiu
Xdztau6Oq8cf79hTeRyrHswvbrhkJCRP0oVReQQWVkWyhks1ZDPI2kvTxGxipDzCvGs7v6qqZ+Rd
mm36WupmyHItBLeK1cpERe5+zCvS6+Csijztl9g9r2G3vIfbPLfpRDF7gt8hvK4yVGfP5J0Pt1MF
j2xg0N2QZmnXCg0IkBfez7GtluMki+IZ4UCUTUG4ZpsS68dsjSZzYZxfhtBqHyVtHSkwZ38uw9x6
521HsWiTF5+AhjmnOdf2YR0BELgLi1PrzQ1vUJWzlkRUoKVSVryXcu8Y4Qxug2AtvxxnwPwnop7V
rZpvWqJDi3Lm3tSB2jq7IxiArYvqOnudmwCJbqycE0GAm/Z1QsESkb+x72VGDi8LopDM9TDyiC0U
Z9nn29l3IGO7zpgHlg1z3HgjnhZhVec6aMWlbfvoOFlyPxF60T5MrYgPlLj/7hCEpfynWIKUzqtk
7hv6uExfmayPt/ipqYX9vla9m0FM2o+Auu1NVdL5zcPuZbtf9qnnLXmebb0Ny1G4RdJ7pZ3k3Z4f
8mapv7wCzNCTdnEeK6fMwmIfOcUt6wvFUw6gWX05JpAnGkGj4xJt8vu58P+EGN/m8rDT11JkNR3N
z2VYTUcQaWjRfNsyT4fzKZxMaCVVvvxHjBzQTD3vl6H3/zBw/x2KNXjBJEo/L67221bDWa3g9G92
YYcg+Y2bVdYWX6JYW7dxHb4C1atDM5SwK0UeH00rrc9de1w03Of+G8jCeAK0au5sKuqP6N4GLnJT
/3X9qT+DQwbPrZ7exrCt3ls7oIhtZgbAHzPmRI81zT3BndGL01ZhtmvwiKMVxDJpSh27Sd8bmRgU
N1neOb/xS418novI9lhL5CulCcJDh2dUpwhZuiRexbKmJeKJksse4Xw2NKiahm0qnjar+unWJGR9
lWvnbaRghnYX+IeC9rJ0LvdSeqd1mrkIm8CCj3kaTG0XD3IeXc86mgBjD6jUNBW74AWQYvlY9njr
zoxtZnsFSq17yCqj/fhHOS7+b9GYvny0yy0cDr0TGf2vMt4+Ncm2NkJl5VgO7nWPSfP9iqrB7u/4
uHFLCxclATS3VuWjSyy697Br2WR+sUj3w3jOPty5jSPbIfGmtRxeYgxNmmtvcbgl7XZw1h/xrMvh
b2StwWCSTlWORrDKLzBtEOa4JoQfz2U6+3UBpmuc+Nc8tczQfhgVN+jPxjnopcv/74WrD244TW/l
OlcyWcdIW4d8GWqTAuqGjJb+hHqZG5H+VGSMqnfLLzM0PpxXbvlBe6uKfHhnoVTMSC3HjUyrdjfv
NtHU+jmuorU8Etrk2GncDuoKqOIiZ2jyRv1brHzq3lQtTPfiEG6v07ji4t9oulh1nVS8rPVDP6pB
prFDeiR7JzSWn3Atd91jN007n3Sxg9YmjQGwTtvV0VANno9i5i6OPd884DbMi8/J6k30yLRlV+9m
FbtK9pl6+/eqG3iYXBfqyTl4ZnV/QrxGzhNKlKb4VxJt928O0RoTn4aAtsoWYUdssz0Iw6XXs+Ol
IE279cToMxWHMSqtt3jlKSHb1W/KwUaYUIVNTmuzEHQ3W3PVUSg2VeDGk1gIFk6jMpq316mEnMmq
EdGTlYQ9WlPknP20SWhfO7fnf86qEPAd4PN6XzxsbUlbzRjkSB+49yd9oJbXmj8bYXXr3xhIKXIJ
hdMbRdHuTE7plg5c62DKXE8V5N+4qeLDqy0YceIpvMi6SFWOkcxqhdrsrnVRHDWQ8QTrX2MjpHNG
7qPNZdTWKPssHGXU3sZNb/EpLOtIDRfaiwrGIvpk91/+MssiXW0Pr2bRzTBNmZQkvP4ogba85434
fzVk2xjOQU5WA+3fZII6u7hRWhHPfyV/fJXZPp/QkogcwYBKLKvYHkaHPgp5z07Ktpt0LkFgf4QR
QoxHbwmqHflP2QNZ3GMrLXp93KoFDGy2i6C9DvBh7W8IrG7/GDmwxL/amWyIyaBq18o+25gQfcms
ECKVg9tq+NmzyZVV5Bx2J+g6dqdysibSOXfHAm04Sb7Mor1wnrDA0bLWu/unXSyhyrxxiqrmBbLA
rP0tst1Q2hnhF8P+X+AUwfbVhnPZwHCboP1vAxGYh2PleUV5VFG1DSodXbEP12KHwCbuOMDTugEP
yNP+7dx+UTtVdxDwyzSk8KEFmxFRiTaWxBoFfkIqoPsPvL8JD7x9bbRk0WT0FWF0210dwWrWH7lL
w4hS21mwnxiPc4JPWrbqP17m2r/ak1sNybB6q3906qnk7W8oZU0XZ4yIv5jif0VpV18L8882wXOV
IhpTujJjWZyUX+ztSx6MXNe7TYsSh0lQXyC3pHhtomrOH1e7XaarpRCn3tW1orwrH7XMkE2LA0Xn
gtlkGaI/ZVw3cbJ59cArWjBWMDIOk/UuObP7Az9/Ox8q2Tkt7u3IOziBvc+33AfQ+RLFHqhfKL7c
P4O37RHQAgQqsPYa+Q8CkpqdA2rDO+WBRnDl9HH7EqkqpsBqC+wgyJbWdjVmdr/9LBHZzI8x64VJ
IUbD4Vr2lGsejcf7e1AxJHDizduu3HSgCV68r/20eofYsbcxYX/YH03fr3ufLFgY9rSuwV+fLFQv
4gjFTAlJ7RlhGEi24X5wh3lL87zNyzORZSWsZGnohuHlwUvYu9vLUFir/2Gvgb192TQ3O5mZWcgB
RxfzvrnOohmOiST8uThxf5pWFGteEYSX2JuA/QTS0tRtWspsItfmVQLIqHnRqxAEO6bEIY25x/as
72Mkc2IvQxLceQDct7wRoESqtVoC0Ov2afSjIXgcmXYZWspp3g4IyeRd01ThfglwWF/Gfg9+i3iz
ywOCDfvTDcLlteCbJVZvHQx5pDJADBra+kWjEQj/BGDz/+U5b8t5a7q1yzBtggyGNqPgJYR99+8Q
JSzPfuUbQH7ZRRQLCXu5rY1VN/d1U/ZMG56cv3wVe9vN3mL1Cy5v+yPzUDZprPLST/rZ92H1CqwK
FuLVdI3zJUrrpS4lFwetIcCM/OPMJAzVxJdVJNVutVfVRsGhK+RyElG41USdr8AQ9veL3LsxbIhR
+le5TvuSjtDp3BWLKkKgULd5d8el/9tCFP4h3bffX3dfDL+MhfL9uab2J7/XurHIzzXWEh9zGHJ9
QDe5qyzuRslgsnpldxOGNK60qwBRjjiOauslQN9BstDe6P+g5L5lxt9w/ZhsWz+D6G+lgrJrClvn
MDFF7aVrNaOAE8aLe+qqIq/hQhV2/giAi90oQe7ajP/oUSqcQ4mUhWHLjue4yTphpHOylLbcT7vP
++GdtypcvyX4AFzrQH/lYwyMrRO+OBn+HWPV/Fc5/eDwDO1zeSRjUgX3aMi4qisaE25B3AxhuluO
e+70UI84+wAWprFXz0vgDoCbGqlC9VS4vV+8AFQFL0CwTfEnGNkp7LlePnuiA58xOG5d6gScD5iC
5pGz35pb66Xg7Hr2860I0zBcRHQItrJBdRoOll/dr63y2o/GVx3HZVFa4ryygIXnOAIyOoYB8MgR
hVc1Z4W9IlGRJhL+RRQDGp+wrW3zOvCrm06oO/E5l0K/i8x4IPyesAevKAb3TW6Au9updeXuZQ22
sadiIsT+4KNK4rna5SrTko5U4NnVjRGuJISeh/1jaZoy/9WKthYPAEJLHqWByiM/AUTah4M3BKG4
RgWj8SM9TPoi+8rzIaH1wLk01/F4N0VmfVPjPtB1K9yxTOJBwjr0UJwnaebiEkpO+vNi5nGlCxAB
HwQH59C9MiP9vshH7ea151ZC0975hh+vUACVn2Kfe/+wxsrnr7Gsi87WveKnCCrSPYM5717jbQ3f
7DiIP9yBJzmlusy2/plNlfyz6PK/7uTpX5G9hP1xg8FakjJXW3Fod6Dj1GIsC367nH1WmcwxGRcv
0RqI/bDIchzefXzl1rElWSP/0zFmhB+7EsuzLtz23mLUeRlVNKBBaTTfV5sLA8cwz2FiW349AhyH
ZuSpn9tuKJ/8oWvtx8VBh/rQ5pP1oCSKFm7OztwUNcou4uy6aW7DVMKpoPzE8yPLtj2I0CpxobfT
LmDLncJ769DNXXpnCoqnTuoyXdkSEsUyvSSrCOKz7tB3Lp01fNJeM8ZJW7jlo3IIfnkSnIplttdT
/5PNpEAAMPhMXT0gTndtZKvp16JQp0W31NRlakf+xiHWuTGhJN7mckZF5f4zME6PXEuM87da3n1q
x9EunuVS6/41ok+yvuiyHb5nf16VZDce8JJZPPGyBVOF9NpF4Hcqmf7llIS52dG+gFW+spHE/WHQ
7nLz3U5cC5UPl5h5AaFFbLneC4qWzc9YtsbxfW9d5JXhGsj2rVK53R2qYkOx48DBgAiu+VjcbLop
HxvH7gQMQzM2x2LNZXTu1CKqB0R8NQDxMkz5PyiFevo5xK3q33IqikXCIDXxDexyvOYAsv4RCfwU
AT0uM784Tv1w0ujkSy4iOKZz3E/LemlR9r7UM+LNo3JV3mZQw6Z4cvYcqru0EGPeJGQY8SbSYTdP
vN6115fdmnnsVVNMEyYJbj5xheDmh+gqF6FizVuFT1uMQdLl+zRcPeLg5dlv9nKHYJnQcoKR76ex
t+SxReNzGVaOiqTGbrGkDKrTbaRy+U5HBMJ0fV88x+HY302LS7lrbAWogSyDekrDtYiDoFzzWsB/
pf1s0Ro56NzzPpkoTJCGlt97F38X+79a8Ra9rXtbXdvNHX6NOE4KasVp80pZ11dznaY4QF/B1TGl
ELEo/5Sxnfp+hh1aD3KwxstKyB5/zaEPn0T+ncT6Lf25mVZV/+k4UKdwm2zsSZO32WcU/EIf43UP
CbfbGZLT7hvluQPLzMFx8nI/+fRpLn+jWIgw9ZfV6dK5mroLMgT9MvSWXzJvGt/Emei5ulJkYGv5
tMw7KgTexIlVLbT/IZ2QqZx6tznwhw8+dMMQePfeYKn4MspBt1nTSLrc8oYd/DdP9fyr2M10QOeF
G8EP8l4flCPZ7f1WusvRLUbFQGhtj2JYomNd1I1Jl3kmkGpyOKyyfrCn07CP/R8mrOawiGZ9EL4j
j5j25mxjvHuYC3DNHs/BrzXuax5I1RDDs6s+88dJPjl1ruSprUzzCDUiz6WzycfBqrwDZ5kL57iZ
5aiZhZI63uOzULV54lOe5gMjYatQkwT2lLLhoi71VHGcC/iCZ8Vlo/kCaRp+tTcqavxYzRmSCrJE
t2JGrOrrGEV334QaWHBfuS/G0YcT6fXVF3vxUyh/c3/U2pkc/7RiInI/ta4rAvXrtX1wR1u8umUQ
feQo34oUi1G+JJEFSRzGezEmWtbu3w111J7Y8bJeS9Gv59ZrEMHIHYK209+wAcng94SDRwWfvfZ+
e30T9EfIVbwD0NutTJeO2PVLsaOfkI5bqLOdi9hjJHDJS7IL/4FvjDFg0znCqsYZiNW1/VtO8S6v
l/Kt6Sgw5zxupZmu/E8+kW0Rq4ENfn8NWuQsaRPpxknzcrbPu0BtdCjaxupTjV5uJxOIuyLax+JS
rNaWKNavM/Lx8bVvtJeDKQWLeQmjDqBhJxiuTxodWuaGYBZdOEOf9SNYPOjwVS/fd/3enxyCXKYT
RJfZDh1Xov3XtufvBgKUTk0KMIHGcPW8ds8m9lzzCC6MWI2DZRDqYO2OXAk7drgrdnw9/WmzO9/K
BtjR8gVyidqe2YpZLBLIvYHBsrZjK77L6zLXiH1atqMYxZG4D6cZhtRwQZ85BhFmTZ3KWTDXfnli
n/e/YjUGOI78pdzoLfaL9wBx250dWsOTIEvKP/i77p0b4+acZ06PRP7DrhoLWNC2okO4bkzLPLTR
eeCZYG5jwC5TwfoILeZQV5Xh6ZpNIsOg1097t5Y5YN7mDCDfY5Gj6EBb+8qkssz8t1WBJaPtuzdS
MkPrblVsfIcxdoYfvt9vGQdK8UY3AqMtsW4V43e1xwENYVBSZYJOm4MAOJFT3IYEuJHNxtAFK78c
+I6dL5vF5FDOvhBHrkq0CgWyITivhkk60WuD8mQ1KGyvCwNrkHKbbuMDQetDfXQQgZgnZx5GB9KE
apfj9zlMpwu0pB0lokXFkOIlccpDsddB8LRu2JMTFagteIylCPdHhHzlekEX8Z3Kb/NWXWteVXm3
hGL0z6ZQFbufva3+Ke5zp/zrYjkgrc6qgDpKCNc1sZs8+hn3kR880Sg7+rzUVuniNOrbIgtKm8a0
ecubIJ04FLpUqwmbSTKgfRuezcTdy9FftIiwUrIC7S4duUAgI+Z8Koc4NR5i24d4HrRARAuYbf3g
9y7+ZfMZ1mfbix6k7vv86mivzQ9rtxXv3tyVX7jDgLv9UqxhprURwLex70fzO2ys393LNYT0AaZE
tomcdUCX7Q3jUdls0MmCZcoFV0UDkDWo4wGLxvGHi2lHHeUYVvapi8Llb1Gq+FgG+6jOk8e+kFAC
ao4hqs8Cdmaeb0M/zfK4LybSL90+Nxail6qgBCEvlS4PS9w1vy1I/PHWlUU0Hnw/NqcgtFaTrH1b
Wkn97TJgXpbF0eRVhXnEtro02ILoDzoz/2XIVfVQ9iEMaFS6bLbRWiE22ffJHDWjxJbikrHVG7wt
H71VhDYoPGnDdVK0i5ef517J/OZZu/1t9pw6D0G5jVrs6hOP1/3s17F67LouNBTiBuJNKKo22dHt
qH5wBabJ6zpCTvwtmhCf196V4av+lnFB0MEh3/kg2vLo1mKHjrK2/cqD5DBJN+t+HkeRP7U70spX
ycL+5HPpoiHAVpflYtz2B7eumvAYQXP/Ytgi0c3tOEWrBJ3z/mE3ar/0OW7Q3y5ZIvMLLXpjf7TR
chSPURPJ9rb3aqkuIQa/H2sTi1d77MIJ+Ikd+rTIqn5yiziEVaybpcLSFld5kRZNEZpHy1Iddr8Q
SXRKqJt0PvzBVwv4/jq1f+O1UvV/Cu1ZdBYBsuIAwLnit3ZybV4hWMX2WdTbCsgFTjVmSG5H74/L
D/bkSpcQ48ICWDvuKEHxKnmzct6w5e7dE/vZur3AiC3ySLri/i8Cv4NLGjDJXSjYU6JJG+3+WhC4
Z2G5etGtQwH4hkydh2x0G041INRWvY5zP/VvWzTWywNDeL5ckKrVK4EdAvNEU6tb7NEgcsAkAXWH
Ib03pyiPLOvAzYhL0TiRfY3U5P6mfbMf7kIwCoT7qiv/mnK1rxWS8/HkC7sYnizk0ENidSRjZ5Mc
NxaKtRgv9b6Pn6tcGP0X1Nj5M9zt2CPYsaobbsXi3+a57DqSslzitGfIeJwde3BBYb/knzv1IE1G
19kC5dXThBUj92mTuKjz5opJwwPTlJgzb4s3LNZhG5GiQ3nZqCea1TT1izU7NeOwP5hrP3XMoy4t
ggXKNYEDSyzD0D7V7jrqHwUDoM9kU1d12kc5XtM2FgHAkT3TCaqnfIWUWEskJiT78IMugZiuzYzk
5uDKUqm7KMdglND5oi5znkcSEFJ0FD3YjkLQay3yceXjWlJuirEnLtCYN/oSjThGAzYFGulQYrX/
Z4tz5WrEVWZ2fhdBLf4yPKPYMIscj/WAOPOIjs0ydzG2uSxXnvenC8OOOwCKgQcD3ONQbq2L/2me
1YeFxdRkEelDCiktRRw4qosegITcB5XzrxaRAOb5FPhgT8U86rKIeysVmhm/xPkcek7BVBTO+dHf
8uWG2IMUJsJfujr1xxq8A/4sgDwvov5HtGCrOrjzah6Laa67w0id0mtgl95XgwXqv232YZ+3GK7i
ZiPXr7+q3AGKdAxCwpjx+p+NGOXg67nd/1bksRzHyZ+jx2hxoJ4nq50fdIE0945uB/t9HNlkDqWw
B1QikwrrS1lAQ/bgBsXUZPlYQ9NWNdk9J8x5kXzFjB87h9GU/RUxmfXDpY17OcadP5THPoTkSBsk
McURvbn4o8o86E9mQEydlNHGYV1pV9rvjRMEzklTTeOmpmXQxHK9LLsOEIbwhN222crvRrNs8ZCq
ia0M64BwcpMyE6zDA0IMw4cdaxT3bBz1IpCF8+AzpuCjO+Jb9mpGRpjY7ainSVys0AzuLwlnk05t
7iwvmPvC6W1do6K87L27+s/ky+xb0gxWax+477370PxfgTjm5hF1QNQ+yNziJQffy+vxJsah3qgj
hK874uVGNbjpyo8yS/ES9UdPBEOGTtEl5l+HtlL81qI3s52ZMrTXn+g3vxFlhiELVbrqI4zvxAg8
tKQEee/dzp/ESUYYJdKgtjEfqmRJr64qGD1or25YnYMtyToyp3E3vHQg94244qd315QFYEA+E6Pb
XF62qeGmbAL4UZnbvtrSWvijvoK0RhGCZCl0gdQgRKCB06vT+72aOdBeds4499EObPSBKY6UXT95
EaMdQjgh4je7s/WUbIs/bw8sZOZL9DF8YYKUej72JVB4nOgcxcPNaUMR0DAPk9yf/cBZM3e04HTk
PjqvMZFQ12CLkPCyQ24eKto+/MG+Gn0YTrATePJw57W9edabh2J3q88oQJvHWYd+OoTC/2+AH/lV
IHK+mwffPxg/ZHJUEO+wMSimA51bB2yhK17IoHlypFOm9J42iYg0jOU6BfIgZKNIXavzGaY5bq+m
VNHbUvjxyVeTQJ7SuKnjckhXqEk/C45EYnuExQEmBUtHiF/7zqe76B/sl5PW+ptJHfPOhSEJ2qdu
icqnXVkhkdN9dwxaJJDjWLeCfTtv/Qzm2n0yu2WuLIsNKq5vS0pCYe34U+chbHKpRPnljQrHIB3O
x32bTFbIQL1vg41E1F+2D0hU/SNwsUMlreicX/HgrefYW6Fsu6Ca34h9GrFRVnpLQdw2no1+XW8u
DYOfvYf5hLs6jI9eE5l76svbd79V66+GQAudlrwVHjQMf9SO3fVhDzUqFUfK94k3LhN05FD82czh
M0Ym57dVUS+AIcd/291KXhs7rItEqm3+kAZpIHru/iQYxB4iRpvzOKCnSwwy8E9Fc8rLsBqNQJTR
6uhzHIBJ4yGklrAs32yrL3515eq0qT3OftY4NPG1see8Knv8vrYi0rV0YaHR7rzhsakaDhtDF9FP
f6uRZ1fBXrxy0w53aAf3bOm24I9r2QyXbFdRSlYP98Mwencr2Ot1dFz30/Pb7akLEbHZKMsftCtc
B4njlMNrIuF9LjQeJiwz9WEOdI0z3y2eYv6KtzHcx3/YczDleFiltTHMRjV40JGymOI+UATbJF5p
bZ9Mo/o2sQ2BFHRzhiW6fp/Q1P4oFifIyFgyx6AoJB5ExFh2oiOh9aG13EBmuIXGW0VEQnBDskoC
PrsYyM2Lu07ur3q1RQ8hBbOc4a7U9tFY/Z46zea8yQbIeOU52Y42IMPyE5A9cM4unLU64j+ePtkA
P/FmIAvycKYMCUU9qPlFWEZZ0/UBLdxejSPdhmoqrqWlwiXN62HIRlN3e7rkii2hK6U6dh4ixNO8
6/VEYiVAxUyK0zePFse/gqiwyqPFGMgb6Zrlmxrw+/3s2MuIIgSD/E0RqnT2uzI69jZqlrvcmnDH
wcS/kNSAytt4yuZZDqtlv5v6zjvG4wwjUlkaBJU1KG2GaeaInqeDM0dkY8hJNme9fkttvh3aRy3b
gOUo9ps55VybswWI6qzGdfmvMkiSNzFBpQPaeg4Pdcw2NuC+Jjd6ofrM6gckSV69/gfpSbCJy8qA
tQBC+jvzrx5SZ1glOsSwMXid8lLjite1w6LeIZCRYBzWovPmiSyJ/TyoBcFZvVl3/L2QCi3mW4dr
43JjkVaHPMzbS4Di7I5wDarQS6xTW4kgZ7Q37gPXaMimWvVU2EIVI4PL4038RjOyjtiUpuHHwgb8
p+U6+q8kYvwgXU8+6j0ePnQT8vKY1aQgEd2ps8PvnIxaWV1m2sJ6rUWs/hrpygNqTEDqxdJ96obg
NOEefedci1j7mKXyAUTa6v5IrPM/9jyEMBFTMDCW7GjjcoHasCkdfSijBT1A7lpQ4sHnSA/ZWZLl
fBucpkGxWIvTCIZ25D7Kn8bQmB9x73dAenX9g409epsl5gPYxUrK4zLy+cEhgr5WkEcvivQd3nSE
/X9XjzPEGn1EHpi5fu+i2RExRL1KQzQ1iSwcoAZ0h4CXnS7qdKkX686Gm8j0aq8A9dp1aEh1aZqk
p1dnkYss62R78PwXkGv00e7mWRVQSw8ACiCl7WwJUTtcFkfLM3F47bNX+WFK+kud4rVEuhwr1Cmb
VSiCqyNn/2IohmCPYRcrFohzPbnEF+wAZo9czuajMkK/WAMuXywpfZN2DMFnP/bq7US6WOwcwZb3
4tKQIlDyZGvnytL+TSAC7D0I7r137M2TPqp5LCdg8UB+2mu0f8+au/99mmu3f4YTjR5EXE31e6Em
jygFr05123tn7fkq/MmgvUvOHbwWaVX16rwHGBuJzcH0ugqStZu9n7cXVgk+ulLa7p4hG9PjWXQo
ZxBuOBGbfGlPPsBWO761Zq4lajwXHHIadtKUyDkKi1Ngd8ueYONu5Q8ikJc6HatCf2sh4rr43a55
xZPcDRoIOyQsJX9dDO56OzVGVd7R8To54FOLN+kT3sFW/nup6kH+m2QImwqI2rQX8/1/vxsiY1tn
g1ZGZihpN5bniDXpO5Gms/RDEAeO+wuXaBjy6oWdUC9xZ5d+yc7RmOWu9dc1PFGzGEu65/hE0pJr
NkjLyQm/0/vXUJ+xeXcvINjxi6Yn+W1a1eYedGgQOTDkbvJqTXJe7zHc1c8dPVYf+xKYNqUXd62O
XiDX/NgSEHLula/uq64B93I6YiNgf1Ecb7yaadkM0Xs1aZT+PhKj3xWFrvmd1zOy/6wJYglQpBNo
iD7KmC/DRj3QjLCOX4hsSa5aZtd374WO8/AE0Cfyw4BE8Fo0TvW1YQJ59Szjf0wsFBCTyAzYRkVZ
+XczZnaTaBIEiJ4xjo5eQW3X4bXO+/8xd2bNkRvbtf4rDr1DzsQMh3UibqHmkfPQLwh2k415TMy/
/n6lI9tHtI91g083Qi8UyWI1UJnIvfda3/IZwmfrLmczqlzvQO1Wr9yE0nntIocfV6CtUFEz1m/v
Stpma72dxXnCDH5igGMxgWe63G4wrXghFVwAcx/7BI+BNAw4l0TDz4q5xMYupRX7eWd1uySQVrcY
BlBKmHrj984OLUEj1R3e6P4l9zh5h4tHZyhd1tZArQHWgupNL61tII20WFARVk8d/KdN70T2IQ+w
7GfEfv3sKhp9m1AOA9u0xtgj5/XOXus6+iabW3WWCCrH1WijTkg8mhCrKKBEY7SS4B30kNoWXm6s
XeSG1h4VAD/LblSKJTw5p2IUyXxw4VKVI4wAzrIx2sJadjXaWTggHF5Z2ka7mKucLcqrR/TQLT3Z
79GMR2GBg3XcNLUjGEzM025M6frSTgqDfdAw0IUu2r/VBCPiZk5bb9h13uSsG8q3tdUkxYUqFdYJ
SoJsXyaEWTBEGc5ZntZ7Owiic1EmAZqF1nh0ck2m+yTLsc92tIHPblt7GyPxYMZo1oMU5bQzA9Ni
AhKk3j7lZAKtYxq2TjIq+6aoA0+daAdwkMFKnjh6uaynEXyPp0UOAQszmva6Cm4wY8ynSbEw284t
10rJHBoTs2FoF/kea6BJfVcg4o0AeZxiGu4MSVpbfoMMzNk4iKP8I0AOyvR2bL6FZpv53hUa4hd1
5rxSB8gVncJ5iVlbXeqomRApyECEvtTaTq5CIxGkzBpRehxQa21KHWCXqC31MmIiFruEhylnya5a
dpW0tubQNRUK3qx1l6WTagAvMnuFQv45szD82bJ+zvVKniVwHfAQ87ApvNl66GKhfpAw29w0tlfs
WBvlvTnPxn0UQV/isSnsaUHwhBMvatJ18HenCe8zY/JJL9ttLDSK+Q9s49PBUOMA6pFSZ8Fikuyq
k6H3PjY5qEwTIIQzgqne8dHpufu8r0e6J9DnOPq5Y/Pg6WO+5jhEq6FKB/W9BP9yBA0A66MdpntL
Qqv0VcUTrXfafqPSudqp0fTuZ62wL4AFrHsKeu1I29k8SJTh2D640cVetOg2a6Mq0g2udAcg7phm
hwKhsvRHWivx0cyy6q1uGrk10RZQcoZjv0lAvmzwNvHknxrMgYQ+dos5bodtRC/p4BbBsHTZ9H5Y
EI8fXLsYaYkUOMQNWspLYu9aP8p7nsjDhMMtSbytTjwLDpMA+E0fJeWrsmpU0DWGjIWFNnNjNS6r
LxBONa1MT/Th1i3T+sFp9PRRYHZFBFRoa12rsEUp/LzLBt1BtegV7c9S4bycC6HuoM5ZR1f+PnQe
9JqmFi3BBbMvnbqWvMlz4hotIh4LMEEwI8uNkh5uCaR8dHpm0B7GhAllURnePgNv8UiGLAgKnQnH
JaxseRw7Z3hRtXifZiN+kbaM7pw2Si+2HdXLUKf2E2mXbZn02ifmUWpNCI4N/dQNqm2VmNDSAlAq
TK7q675F6xsxWfgtiITerlrqagCACUJ1lErX1jqLklHeq5CT9TyoTltro5mcaC9gPJVdtnIMpGxh
6faAryDOvPPgdX7YGsLsiU/qhaaGRDJvdcM50prprdPG8NDNbbLCeC/xEpQ0Neot9EvaiX4eA6A0
d5kO0mdaewDPE0zrMbjj70lS6tUx4WEV4e4YrFqRPIFkOVsMaZ0PdBA1xwrOIkpL+gcZMRrdHaK1
2Ex88BJ59uxS9rAdspw9eocigr7E6kJhkd9QRc0WXIwgajEiUT3P6szYM83YCXSqggvPV9yii9LO
0KydGFcS9reeQTaEnH5Jbl27M+qhOw3JTvnxvyMo/wlt9HPccRsOiBoc0kP1QD97SNRq/MFfe+kr
gvQfoKoI9GUaxpHcI8N7V7JxFpxZ5eprL/6Jgq3VvxMsG31vdvY3SqlMtX8BqP4n0NnPiceGFqZY
NvCYMpgZ0c1A4xQC779zPbA2Ar/g1/4FVyLoP1weZAN2DA1RhzmbGj469E3hyP4v2Mj/7LZ+glXD
JMidYar0PR/M11qN+6IRfwHl/Wcvbfz5fVMgSyfLCrnH7oe9aaOy9ov5JvIToFqTKC3StLH2tJdu
1XUQo8RQffET84lZH2oBTdom1feh6i70GZ45Y/wFP/ifXZJPENcpQOSDxIxbOWgYj8N7LUW8/KWP
ifD+fLntQaB70JH8l3nw3Wynbw7bzBdf+9MKZYKHZsNwOtpRAGiMUu5i7YsU//+WeGxgMdSRX+4j
9OFLI9YNcCpu87WbKT4Bm5GCuzijsPVzTMewk64R8nyNwS4+rcu8roAMxFZFWwP01YuRTH9xta8v
8D9ApsWnNdnIUkQicaq9jY5Ao9tHHCpH8HYdw0L9YmKF+LQ6TYirFoob/ohMfxpVfsHXuvzaJ/HT
6hzTzk2ULKp95rnf0qa8Qa/082sv/Xlt1kab5vSo9pxnLoLyuey/lpsiPi3Nse5gyRnxtBdwvd3x
xprSL3G65efIYwBqMa7fcNqHpMMtTXnNqfDC4UsfcPk59dippKiZUYwse9e4MPmvd6gHuy/dSvk5
+DhS6GSV2w17e+gPSoYbUSa3X7mV0vu0MrmTc81Tst8XnPMIwnlVTvvFK/5pZboGMLtWqn4fECq4
QjRirZx60r94xT8tz7iXOLcRouzllATnZqRtAIE9/tJTU3qf1mUKiKC2DHSX6up5rjr7IwisL77z
TwszoeOENQr6qRVhHPK0krosN9O/2Lau//7/vm1J79PabLS84iA/txASkVsMiHgQt8kv3tJPy9P1
VJRC4MxJ63AQnofHxizfvvRB/JyArIXKTfuwqfc1hqaVkaXOopbAqb726p8enWY4WuCUgXCzgQM8
0MLHZEyGLz2CuK5/fuaTSTjrVtpV+0DKq7XKoZBIwQJ97a1/WqGudCxesiz3YTG7QB/6M8PC8kun
Wul+WqMFPJ9E0qvYY2xIMZ0Ha4lh84sv/mmJdpmK867n4RaL7AFSCRV80f1VEKr1e8rK//BJdz+t
UexIwpgSiwuD3/NB15JNaXZPyB0QdFQk1kmplVfxrbOrnHk/lgx/VDEfLdfL5zVshPAJc166SyxG
lk6gPOrM65yCItNvPfVujYLgRfSNV3h648+uvA0a1CjwBh6hReKTbCb0dR2KOWvSrX09QSof+h/O
SB8HJ96Cvot7MxReeskESjxUWOMZZ0G8dwAjLaJI22WdeR833iUh8Kcb+udximgSzikaMcrsueDP
Vk6hDQ9uUaTr1hbhqp09b5023rUlX92mWCVWWdjJ06xF/U6iQ7JsYwEHfDqMoxOuZ2ps9QjLfmtk
zVAusChp7+BsHQIGrH6PMmrv9gA+UNYZmwqq4hFXZUm3LwGKGsUXrw6CC2zHlQhV/5pMOm691l5O
xGyu0KYfpNu8zOhKdmaXXbSiV2tGJRq9kXJ8Gz1OBrY45HR4ahFUzlZqwGXwB9Kbc+MrtZYKCkjB
2CMm1NSISaEwyEqAuo/ZxFzkUXCMww7xYXmQVbajaVDcj24QbCwNGZGNJPsMhgub1oRcrYduZ+o3
vWXc9K41rCnAcwyQzogzCXOzXzAKXDF663w78bLnJDbjZdxqG2mJ8SYF1gRP7Fx5IEHzMnmcs9z1
OZ0V05pB/Bb2xkN1TaofC+yAnDeXXuam0xJW8I2Jo8RH4Ai4pxmnbWslYNnTyD1CGBxWiZyOGr5B
fFyWL8Mg8F3ufmoYDf42ZhD4ge1xE4DK3NqGRDVfOGsc2+qJnm68qHpG0ojTOokJh0HDA9qzGEMe
NCkfUodY2wOTXR+rKOYqW28OrqGcESmBWYMMRlTQGtDFq3pqj4HXnks+kVfa6sr14M5t3IajFmCY
wfLzftrS5DsOYfE4tNNGpm5XrEqGXbbp2dmdQld0nCxxSkArrhT4Wz9yPDw4EhZkDzj1gF2n9dta
PEodnAm5Vqg7s4SZh+XmKRI2pCMOQnHbxbpqhhsI8BuG51cVistVrbqfHlqCZe5gMHZoAu46PD7L
mjHzIrRR4nEVAN124mM259u2JcrnxgsdBZdbNcBy5Hhk4D4BKC5Yx8y3dXDHCzmNp4n8KuAeUz1j
+GNWybS37Y19OGbWi9l12PoaV9zDWbCP1lAycAbGmj8P4Eu4CObgM372pntoLCeLxpL+GJQd5P5y
lxq2OMYwSum6KbHudO+m1hKmXUNyhFGF7lDubAMVkjf2a3VVxuDXkqvaahadmSbcggnVXxwCfMGA
DwCAD7Z/9apg6hhvU9A263yI921qHJhxfHfC3j3DbAVH1DYs72mu5pc5zjJ8/nFsbWDZ6345kD/c
19E+F4b9E1z/BDMBZiupCR6KaNty4nld97FxtHRUFku9G8UaAPHJij3dXQLTRqMHXmqFBizQlsVU
XY9X36KIkAakkmRlo674kEGhJQBI6qc4FulWqoIZLQbGYz8HT1lsXw1PM8I7k97bWs/LPYohFgg0
Wa+7NhJLc0RTJqG+1Tjb4sDcIpt/w/EnnzyNSg4NNgGbqBTqpQaBi4zkOMn4uhcXC3LDahwmDdVQ
FXTXnRnVpIu94zHC/rNyVeMs3bQB/uKEDfciwi02xaI4qim7wP0KTuQQXDT28aqgC2sYGmpjPcTE
iTPtSMjCUsLEfpV2tS3SZssHTLuEeFDWgRNB8Q0YxoyV4ZdNjpbJqsFC4VxjTQf1/F4VZrlOlZHe
90jSFxzYwxeJWuE+Eab90hSddhKlZyh/6FrUDJlXdj80pDsNmJiifgia7sPNO+0g6JUf1MStZD7V
7UMNxtrEHV3WrTPfcbKY1whpqnmpIXldYGDof/RmQ1Hd22RcaTgqRI6lZTKzb3JqJxIiSa6nw62v
vBklTuQ1BQjy5qYdcJalLelohtmGqOKakTtjlrYH69r7Rl833Iq2jp8zYbTlvtfMfvJb8MTHZOg9
xze89rVRWnE0IGPv+3wInX2q3Ik5md2+dRA1/MJrZ0RkpvWAvxY9W4ujjsF+voTXgUUK6C52Bpgq
UrrgI+AUbT2kNZs5LcNjnw273pLNHmNrhFm4Nm9SR5C8nWZqpxXiqMh0WRmW6hx/ysMbGr8E7sxm
N6AXS4xobRNi0Zee7Rw0MNj1N4eoDT8dm3BjVQ58Kq956KNMPgtuKdr0HPsQfIXSrKzqERjR3C1d
psfG0k105yXrryzzWgj3XOfzFsDwtDUtlIojeQabGr2tAeM4fQvTCKUN4MKC0bTxE06Ee1c2jKXb
LH43BDNQP4cm+tJNhThUZFS/9E2br2oMq8uMDRlwQhk5yYKDTeZHcdfiY4gBOSSZ7C9ah2ajC3Jw
S07rGszy9AcsR3IXAkLDN+lEj05doaBOcmblhZWDuTRHufJ0XFVG3jLTg153Sdp+vjHFTPXBvJEN
LZwXuFKZlgrAJ+XarAgL8N0C7ZNPmkm2IJwkP+Yia3iClYY8YjbyUEZXhTqE0QiJicih7nbAz/dQ
MrY4Is4vHvEBdavWMsKnlMMx54WuGto1eTfTFp3XWO5TSb6NkEZkkaOkmIx2UcFulGTlYqiopbXZ
xJtgRhriD28VBzWYeHsylkNpngYYsAgfUNynQ/ZoqmCAwh/cMtrSJL6cJtvoPFM55oFhMTr+Aoow
pIZx/RhwLvPRwBY3U5hwD3NH+3ug4b/+GP8t/Chv/n72VH/7d77+USIowjHQfvrybw9lzn//fv2d
//yZP//G3zYf5fkt/1Cff+hPv8Pr/vF3l2/t25++WBUM4afb7qOZ7j5Ul7W/vz7v8PqT/6/f/JeP
31/lYao+fvvlR9kV7fXVwrgsfvnjW7v33365zhn+9R9f/o/vXd//b78sylYNbwWF3t9f7D9+4+NN
tb/9onu/Go7hup6nG6BXnWuPa/i4fkd6v3qeJzCoORipiOjgO3DT2+i3XzTp/Oo4rg7T0EQwKiyX
skeV3e/f0+1fWWtCePwSylGXYO3/eG9/ujn/dbP+pejymzIuWsVfNX7Phf2vCgI5ueV5jjR1y7Cl
xdv8VKgMbovlvc2hFDfz2C8bgwS37/h20XOYGS4/37TTUKHNtQz3ok2CHRIbBB2ZmwE6VYytTpvk
spRhAu6Ui4BCP0cUjl4ejPO6N6RnraJcR0Udct7wGH2qzF24Y6/aR4fUCrEzCFR6jjswz1sbPyIM
lSHM3gRBGaiNeoAS8MZ7980w8pz8H6+7CUbXfHPY5VYp7ZWX2CkBvww2FMQ0Sl9NqIjF0gry7x52
CX8eYxc7WkYiTOjFL8EYyIUQ4mcTD8xWu4itsi+cn7HKipWJmPOmyeLCd6RsV6YYc67CNarQQBNw
A5syiIEmY2hBhKlpnO7sFGqswyO5w3P6QGe9vjQMAvNlVmNX7UbyLIj4tTazTQHkAPHzFRZmMmw6
5bCt98ZZDq3qfQJA7XfAkq8exlkgDiBlA/okcPgGp8QrTHJ6ac7Fiv49KQdmVxMXQB+y59AZYE0D
M9vjrCrdi4Kk+l0WQi4CJ8MzU0S7gnPAgxdW0AS02g23hj24qyvT9DHuBb/X5GgyLDf42bjVa96k
qT91Mx7ECkqxgkJwdYD16C89dOG2zDYEFKSPtjGstQFTRWmiNDKIhVqXWqYtI7uA1BF09QHHVb7h
pmnMqTEwAe6WlyiQJ5jej7FhYSLFmeShC4vDp3lqgkMettdqLOjz96aP4iV2EuSNRs5QWFOc0zju
4xbXYb/6TkLMWsR7I4uH48pFke6wV2ArUAHMM9gKHHdYIhowHaau3Xs24XIecM2lBBW5qgoeXV4U
cRzEI+t3k+BBkIECZr4+IZ/RV1kfe/w9BqohUIjOiDijptearZI7ZaDlcnvjhPhbW9pEhR292j5b
dWEcRIQRNIFr60eq0TdtpoenQB+qBxLH8nNQtsk7R3gb96Hq8h0BKP1mJJd8FZhR/WRjs7+bC4g2
tedGPxSe3aWajWQDLcdatoVIzrXNgHjS9AN0jPgmNlyFs1d3fFCQ9R6hd4xEMz/Oac4JLpQgId2O
wXU4AGRO9BQZdqpX3IQcdZ2r24oH7dSt7AZzANgj9WBarryrtYF0qCsKS4+nRz1GYWSyeaAXKKOJ
x3SxR1MoDxTdFTh8+W0wzGTX5kZ4F2A3mvChZZZfVna6BBwxXlycUzDEjWQpNHwHsDg2M6SbS6tZ
PPDqxDhB7wloA8z9+aopPc0xD2fKeM98L0PT8CehCJ2oSX+r48jBdqheZAO/vaxTdzE5U3GC5o7M
zbCfQt21x0MYeoypB/zo7nrkru9DoaG88+qp2k2h+VAENRZmL2qcNaDMEajrlYQSTwTw4GlYRHGQ
fXNHnYSYhF9rm6LhY4OXsZxDlhXxNctAWBc3YpSLahrmKEJmPwgLaD8aLuFd0HB4twnFeR7sztjj
PTAP6ailPvIlY1/KYCWc5p1zKdCPyrkBBhoBYUeohWbdAvlalOppzBOCdJh4zY3ncz+32oCkDQ9H
qg3ddyXTqL+uLasl8AgQBnZLiNzmUoWW5BQpirfUnGCAt6aHd8i0T0EPowe2qkAcFwHBunPUFaxY
cdWadIUYUR5ni/PPQjeUiXoh567djioc3YUMs3BhDLJcFkjGjbI7jX20VaWo0EBX4ALTizZTOgZ8
1rY6JoINHvJlGk9PVdiDygb1zd84iriHu+V8N81qn5jAmxxznbQCDJA5bYG2nkM9D/y+zO5box0X
JCJcDypLQQua726UFJSEAV8TWmZTPjnTDzO+FwGbmmu91jgJRmgkuIM3Za+fXL1ZF8nsu0iCDGTG
ZeICUwSjaWaHPjcOBBxuypw3PTebOWJgkZBxpIqzi0HaaRKfw+kKyMQabsFlMuAN0TrxcPF2U6/7
Gi5NqOEQLokNQF6v9qiYIaEboNJTLbhDcspOoG9TnjxdERyHrOR4PN2AH18ABjAf2M08if68DxY8
trCA0ZWKYHWTl+KD+ZpuSd8w4E1xcMTodVsPRUH0THGpDeNYhsl9ShBSg8OoIXORjBGhby2RmWeE
JtG7piOV2oOplrey4ekaaalaAv+xH2s9bLxVKtNHx3GiLT0xdjysVtQN9tT6PTvnuhli2mheBtYe
HSJaXgewAgQrvahznIue8OdCkogX/qgIHcBtO1yFQ4Hp9/ipd4xqvgdj0p6Qzih/7BpjByUxuNhj
WSxrxwBKaJT70cUVNEJBWumWba29xNyzB0bI5mt9EaMmX1IE4quOtldWeek0aK3bLsIM66KKAxK5
KgMQgoN7Xbtt/x7M5YmUrJ3jpt33uTBYEd4lpy+9DQavWYdmeQ+25x4FKyf6WntrExuPRYPlx8ps
GCGgdNgw13A/1kOiIVcU8ylzcBsl2XDb8xD0rMKgTcP2kY3hc9ITtzH2zr6b1D4M1K0IjWNNbOSs
9WiMOgNJYCPoogCbWXJkGLZtnRanupict8H0LGaSdbEJ2gCYjeeNSFjrDGUm8rrXyEx4irNjK4Pe
38rJPc4+1IQ/laz0o51jWLPqOH3BsK+9XpWAPDYySJwuLGnqe/Mj5i3ZhdB3bU0Hi11vAAMJD9ex
zW9BD3c6FKj4LJBiBJc6WbEZIvdVjnTnNCe4RrNDtUjY78iSZSgzAWValg14jMG8aoJ0xEKiazGI
8hQix+Q58PLB95rsArKHdp2lfWtnxa5n0OZpjGM/zMk+U82uH7RXiYPYFXXnR65aR8gF/UQZt9ac
6+c8MaBKxjQ9dalttGRmp9C1n6oaTLBuYEZEetehq+dIIvn8Voc2s9daV4KY8NKfNBjQpMxkBQaM
ZhdhPG+S3iu314SGZcS5FEP6RJlP/b2gRTc9qrgGVpBx6qomciRaaby6Mv+JTU1f13nibkm6PNhO
BRI7r5/tJCZSoSfGo0kcfFlB3qztKr3iDU1R82+KmupUBWO2n7NRgjEfHnSd85Kdm28BrTm4r4oY
lx4autPXBAjJO9iBF7SB4BCDmg5pgwcb7b7TrFOQEeQhtRkoYA03l5uW76E+NxmCxWh6lAKJqo9F
K3yz6DstejczkPLjd0Ecp8EIG8f2tuSKLbzYBKeojeKJSCMP89ZgYPrXZ0JW8Agu8ATO2lZCmaMr
HprpFmkb0aUd2aRE1+UDesS6n8Q+g5dJryCPMB1FNTmvSVEatwUw7W+YjviDdDsvQZI2p9YyK9yn
pN1C7Jtv2gpK0RbZ/zz4FSGpJzWBWhHjENHLDK/oZdHxNKL5XUdw1yfa3guYjO4RMaQFmH3ms+2g
Ndrk0BLXnLKd/egkL0ne4pcmGFBuFFq56zjYfFHYJTlzZTamBqsGY5irlRvFNyQOlQtCYL+PQye3
aTKOBVSplgwMSDFu/ySJAko2AAEgy2uaPeznplHjRvRJeW6mbjp0DFEYRUgI+7BhVFk4UF1HkjLf
x2vYjubF0XiSwP1tuubuXWDGOS6yOJsYsXdj8xi5V3Wd1RbyrfdIbM3wVfe+luGNqpxIG5yF2bfD
Bklb2LyTBm/bCPc0bj4s/gia0WQmxl50dHRPZYl99sBe3WgbtvGYICOE7vSU4pJiYkIelPlz3woA
DoLeWbtpbDMRax2ANFbb2K6952Kko3GXRbgdMak1o3Y3qqSpgAFj54GCVugAvMrGxoMyhqTX7ecu
rvQXMGDS3FY2vgy/sQDm094p1LdxxJS1cMAMNkvQvbhC6RnNTCDMuWVznZk2YUyDfEpRNttJt5pt
6VYsWLwNAGgs67spgvyh1rUGg7jNTnNfX92t+ERRbsB2smHJkP3A3MxzphQPs1BN/1Z0ZQHvKujM
+JbM4bzaYwuzyh3wXbfZ9nEm6WD38bhP+7TqDkPA2RrtCv8uQ5oA3yZcN+Sl4jG7BuPRoI4/pqIP
d0Yr0+9ZROZKNOv9LdMSa0cOo30T5S5Y0m6O19wfzU8cgroYpgIG0chRIB1ci25GvQfkFLrLjExF
PpY710JBDekUhKKmxBLH0GORaRcjh6mDk3dHF4aea+osjUSVFx4bdOAKytc8al6SzCXNoqtB5OZ8
elKvWztK1new6FuIEqV3TqGPvZSl+xYo5eIQ7Z+KEUx8rjnNsjNLeXO1+98Hwr7Pct5nU+WPQOXg
mDOiQNe7Bzvp0W4abtrYXA5VJddGph3wWgW8XeNB6XgyTXRbUmVkpFXVeorHlOigmsS70rydSuMV
2tWekoDWr0d8qlaVZOe1H21pr8ZyeiKX5TxMyXPQTciuQTS2NAySJ271K1LVG9Ktqe20+i2j3dSm
O6tof5Advs3t6TjjrN/2WDnxoCOBYSzZzksTBXxvD8xCIKcmdcU2FGlPeiHurrOHiMyLziPFCrQE
AJzhQ3jAMLA2lWcMnvdmBqOLnvBNaA536VyfZK2PPg5IpppVfxoDdQgc/abFZ0QuYPuTkEda2+k+
Je/oiDKWU2jP8b0cGQvADAzr/nYusxeCjL9Rig9bIw12NmGovmNTDrEMbVFtrg/Bgqzx+mcS5Aub
BPnM5VFmQD2A5szm2/uDsL8BRjtEXTYuaq9fEkfJ+CNINjMFRpi531v43LM17VzdeJ28aEHUU/w6
RTTwgiHeTXPwmrnJD7Ms9IMUxTcaHruJEJKQTXJJqO+80sv8aQx1serMfoMH5Y1EzmwJbiNaNPRt
170AfDQZ5ZYwIC5Ye3YqzLF+r89vLfF0i7hIeN9MwYaiM3fdqLOWhe13Nt3eUvGWdV6JGPdXKaD/
TFSpC2zf702srcs2EguDDZ2RcnIYM0FXVAOXKyHgzJULCUCijhbG3eAkj0Vq3UKLYCpmNbdxr1Pe
u1xll9RiL97pnG7dGRIO/z8lZmjjttl9paltCxWfCTEmGP0evsZZ0E9P0hGb7xA8kla+yuJgSQj2
2fDSR0P0y6p1yRcWu7LSNvHMfGO2t5AAs2VDduLoZAR+qmIj9OHQt8G2CZB40YGOVPqY6eJqN1pJ
M9wVXnGvuxUoqSHbS1jasjfjoyfknqhZ7EHmzlDadVBW+FUXf4wm2TnQMYwNiN59MBErqnt3wOfV
NppY4Dznr9E05goFMlxf2hFkhd+gtXMvvV1faJrs6M+8MDp/DzgYzjyiIdSmwRkrbHcUQy+hppav
TTQZB6/Si63Q8eRF7BhJX4Bgi6ZhmTSadzMMcEX6hKYyBmB7RR31NI4gmU1QLtinYRZhEshvYSUz
vdExUjU8fps2I95CZJcsF/e2unqU4MLY6uTGwYOVWut58Ly7LoxoUmgkgkwVeZyypqkBPZHgSYeW
DuB/E7Q4JM0+XZlpq23p5ggSk/SVblr3RKrsJhMOjmxCPG/1Ya5dk/QZmkf0OG4Do9vTyaLupiW5
nTUaMTjUcWrimMsLZuvOmogUwMil9R3G/IsC+YTsdEVziYUSO6BD0gKTh3HVQ+9q0kioh4iFtp39
Nc3LJcEJrN0ucb1V6OKeHYVGxtW5KetjPpCmToDQIm2JhzYlbl7P8wsToiKSWYEH3qhGQnEjwhGD
qX9qQhCkdfiscAPCzdooHtklNaNjmTfs11c7Hh5A8Ckt53ji7bQTypk7EGLrrLBXU3uXVc6O1JvH
qyuwn/M7nQtues2u06nWCs7okiOpnjLb6TpGlWg+ndLwFv01ggI74LCmBGd8kNZvoA5X4QQYaqAU
j7PEXktIEwvI6FgERb3tS/2jyLXtLCG9NDFz3jQGaGpnrOng+gfKbgEe5CF2SLCQvHWFORE/4F3E
SGDhJhCo4OOvNSZkC5AD731d7IcUD3wSnTAfrlu8WHY2PzdV9gocHPjVFehQ2bRiSLXstOHGDY1V
YbWHqahPYNlXTkeCQ2k+EcIBfVHGzwkmA7yhvtmRSFqb5zjRnJOVs3dYAU2Mhsg8CIzhyp6sVxjz
l9RqzsVEFILUyQpCddL6TSt3HCSewEWsEeCORBa80jzbjYQIBF2Mw5agh10QDEfhkXZYM8ZdQPRJ
qVz1xzAoYcoASnV5GQKKx1MyA41B/nrvivyVQFxvGTNBVoOaFliwcpDO1h5wp1xLnCkb7JRvmczD
hYWVpSOBwt3B/KWPKk0s9hwoEe8OUA/paeNTbCi2qmZf5SaXJSJcjV7e945bsIR+TgizrbacB19T
paHtISTLzupgyZG0AnXl3eZJ9lgEnTe8eJRRHGVjNMZzu56zbMhqXpV8dvuKEK+5mfD5Q6Ad97mK
8kyuNLcap07zMX4aBkEEOOTXMzHKFVCclITcQZPBnYrcyVjHLkHvUJDnNNrg9zAf59xmGmAR0+ms
zMHGK19lEWYoiLQRJVxZvTac1TMC3RW5wCmfjHfSosGfpGlr/WRk4dyVcz/cAWbAq0cu4Mg65/SE
XdIl9A9OlNnRzqy0Wa3ssKleMQbCiqoa3PlUUvipQaUPeO0TUtXrwarArlpoKDDk1rWPz2x6IWG+
p85W0JvWZEbbIKUj9gkf9kj8qI+BjSE6UAZ+VmNwbD8cSaPYpnXNbfTGpOATUQEuqjdFNDuQhbAF
S/I3hTHik1Md3fuCQNFxKvNvemK2t4PbzBe4FCFUdMDZ8u9qsj+mXH8a4Pzn5OzzdO0U/2jA9fxs
P8/O/jRuu1QfxX3bfHy0p7fq80/+fzhl+1+HbP+nCMvsTyM2fvyPCZv5q3Cd/8vemWxXiqRd9l1q
TiwwMMCmwO11dSVX6z5hueQSfd/z9LXJzFoZ+deqQc5rGOERLglxzb7mnH1sdmzSUi5aAv7kXxs2
4y/bEY6tpGVL/ptNVfl/NmzWXxucmgWcEMDbDUOiQ+3+tWEz3L8At+m6TuPmbn9k/jcbNntTEf57
v+ZCvtn2fMLke9RN/f/SL4MY6FnKOXsnFb1+YKWhGDsWlAZDfnDNXEchMMqnpUtS0ijmtT/NGgkW
vmjU8ifCNDb4AB2K3yx3TdbfBMm8E2Y03RY5Mm0hn6oKxBRPbwwnGsvv+nS6R6QWu5d86Fs812q0
LcjTrfY5WhqEdKWhwfWI3AGl1NBsg50hsKkmlG5QwAuY2XmOcHUSv61qARIIlBTuO7M2BeMQ0hY8
/8F6rmSmt3tCG8LvKNMj6BoRCOedkQ+TolMj12RZ0qaiZk74Cg7QsmdHlpBx0LjIiohc4p+5yIna
CsZWhw8+y8wlQtXEhuHT8uuEL5dG/4plPJrP9QQne9fBviNYl1wXQtadGdLXFYJefmBZNgJCnBYX
TjRmU9htu6I20/K/Evzzi5SMI/nRFZovaUr1Pxeldb0K0CsnBDXODVDLBP0TZvo/P+H/sT7/+0b2
f74uyiUdXLjKsExpsC7lpf271UrlZT+MwriB2DYRVVRWUxxbAOXxcQQzlTz8bVf9r+Pk71/NtjZJ
9N9eT0OXvJu8lXxBqaCHbn/+N2tXiQM9DJPhg4McQGxjZvl7qZzid6JUVx1XjIbxWdFjcEN3Nvoy
YROT680LjBKQX0l9qaLZZILcx9PPtHVxgMb80prui07HReoRRYsqD6A9yZshEpSyIupdnSJ+Cd2L
uRjATu2uI6Fd2CHvXjSr1vTMxqTuBL8zn812LtllFnnMPcnm8aqIK+wfaNgrXFEk7XjuyNEdrIS1
7NY1sgw/BwKhAlaYqGyiKTHc53Aya2qClmC9HaMls93rbt0ypYFQ5M11zxgkb81pQZ1qM/LU6sKE
1JZWwx9A1s47tA+XGqZ1gWRxC2/bj0S3j3BalhrtlNTcg5SQCLGOyjO30BQHU0Z6owd4MBlVv8PV
ts5LIBoWBkA9K7KASu4hQ97AHFDStqvAMlpna/FBq8D+Mmr6DYo029oYWFSZzkHphXyAJdapc2In
5sTKlUdAJ5xlH300RpCSCPUAUyGcTA8c4F8gDJjaNph3TfHbiCMEnENWIMGBx8estYtZU+/zJSvF
jxVaOLonYJATj6Ma7jvkc/LO7oux8/WRfFkgXpHyYupExe4xd4W/Kmt4i018mN7SOvj5KwoJ52zV
5poiCk6bOwRoeXGi+RieW/zeEaNGtrEUJZn5to6CdRmqL23xReraINVgW9LhkSey/VTI2Ly5a6b+
3Gsuj8KWan6qAYwkPgmmrOWYQ+tb91q682E2LAQx05iGnd+4zcReDnmyczbLzLljQFaUQWyas3aK
ewrUIFrrpKY+s6FvOiXRHH46IUPcgdzSYa1WifGaQdn4gvubfcWsUFlxaKgz+DSuNtVU1BanFvAd
uhq3I1GJo2899rp07lyVjBNjJj1nzS/vRSrK8lwnUGz2rplm57WZLd3HXi7fTHedXyaKL+SKU7+r
5376mh0xvCU8RRE4VgtDUJLSuFl7WUl7+VoMhV9Ly+p2AMTbBxsNrutPzDdKyKNLKjxjIKQv6DH9
33pjtT5tnvEb+W7VDxlH7XrkXGG1JVr0rYBAllEjIqXF7SybAW5XmGBD8HKRuE6g46/eAjLL6Yn1
azHsa3OToYL0SAYgbGXJCnSYgKbCvkWcjev41Ntr8w3BF7JbWpWTgWBPti9ohJFggQttn404m79w
PZvCm0y7O8nZ0KIDohn8+guX4he/SmZi4UIbDs6Y9fKO7Um1Wfbt8BEiqZkeU2Y2IPqLVev8asnZ
1gLk79uAoYH74Yohv8I4nA3s1CxNYkH2sUUY9lcMj7PdwUlBGKK3ea7xAWvZOFEdA2CyTTN7ideh
vTr1On8PBScf3JkifK8hAqQe7wiLvMioOatWYxJPyurqHwsBAKDHEwvZqBjIIgyWpHZukZ6JKMij
ie1y3jsaCUYEPX6WkVW/gU1YCLd3UG74hEPkJDzjeyd1fSRpCZF9kRzB1Y0oKZBK/gjJkEMmCPCV
BzYSUAXygI1DUIY6Qi7uyIxW1gq/7BXgKfpnU9geySw6oWT56N71wqzc4bOcmRP7WtOkBbOGgXk2
XNXCvYuFXT3qJBvBH21mUhsULf5gevi+QSubFfm76yXESwMybejRnKy61FjnDoasgCIj/AykUKCC
OSOgdVkkFl2yHC4bIkTE+WKpUUDCJ0gJ1GG0fFsdOdU+dN7oipk/coiCkfYv4jag2mtLXn4lMKSR
8UTsOVpUpczdwc8KtkVtcuzLbpMU2rB7Avafwm0JbDUhiS7j4AR2V2Ky8MCGGYc8i2oGVk1l1+fY
pCAIQuzvUQAQB4TGwEj+FWqs8UUSpvsHaS5PFc59fAN6TPjymDLjskIt+U4josm8kDZrOCcdPRUg
uBIwFTP0IvGFO0h0myaJs1j8IQhwBiBwZsgdRy56a0UhAoYGywLOL4ZLbpI0W/QIMz5vmps59Qzi
lQWdux0u3qgIYvQSOFfPcR1pny3krJ+0b/2Nv895Q0Cpf5ZhCJJBxR19tAPmH/6F2JyYkBUmcsla
nQg4olaJN3N58B0q8jB9Sx1Ng2quIgau1jhOBPDpaUhccFXIZgeJ2PxArymEJ8UyUcixo/Eaevpb
yCFc+hHIgB4JYmrpF1lU8jViv/DU88K3frjI7BGHMqc/jVp4ExbTE7bJloTvGSf8nmLaPYAio9yo
MCuEgmUK1ziwCvjObGXIDnJVbEUBV2H2AL1v4OpZFMGEaCp6ggeoKAPgQvlnYZZ16xkUS9/NOJTv
OKXCPy5DKdbPaeS+w8Tgt2+UUEECpC1R7wmnsv9sqePUknO9WB5iXUI482y2n1mm2b97pGg/C/DP
CZONbbijZ10DLV1Pt4lmtJIAlmiaDmp98woEwLXH96IM7XcEhCsb6zhTDiGChNHM+SWbphp3SZJE
QKfkqFffhYFym6usE/czH7NfFTKLT/pS0qZxvqAQcuw1xhRDwHoWFLi9xrsahVrLzT7F7UPnqvR9
pBUAzJhkKWFZwCzvtDaD5+ls/bk/N2Pe7Z1wIIsZ58C4+l2YOSVgHehB/gYPQydVJ6txJ815dQ5O
n2v9RcGKrt+WyGRdT/YfgQ8zG4/RjxgNsh032b5MOFEa5sFrzxtZWmKGhDBUawiCdpRWb7AytVtp
fCChiUZYR8g9ZOkjc9Qpz1gWlnI4ZE0qlsYbhKPYCYpaj9a3jBALWFKyLpaQe508IebZ0cQIifx3
mgavYNSQfCSQCzfud05QNVjtUN7lNWk1UBkROQFBodAJiwfNXqZ68TWKCeGbuZQxE/48y9LJL6hd
NaiYeSI0IJHDmt25g9KgK896t8Z/RCtzrAUExjoP0Lel/QdNKD+PG4Kxt3b5wtF40t1RR0xtxHOm
M3fGxUTCiWL2sa+JSmAj3sz8FDJxFxqaLBkXwALO0CQvnVpjmQdpA8kJSVuzVi/JgPZxn3eZHj4D
aJIEtWbmmth7ChLRHiPVpQ1zuaJ1xWOCDFo4Hp631v6RrLQgkc+KkQrcm1KHa1Qr+W4DGEZZTOIE
pNjuZSFXG+ZrhwWBAxK6M6pCkgG6K9lucXnHyJH4AeY+To9aRXMzxNUx0wv3FFptowNqtQA7F4Y0
p8e6HkPxJLrata9FG+GoQPgy4kpYdT5+WWgRqLsUFDnutJJEyvzHfMNisCBOaDt0eBgPXFq9RuRo
z0x4LEY9hDtAyeOlsVEbel0WThQpZst1WLqd9qxRYc+EB+urjcK5gPUH4FhEd6ntdOTL0GSwe1MZ
K1Kigk2/difxzn6ONDzmSZZxbGK2Ozu3WmV9UpIgt7MxsU+G44iZDQwLD5/3axvx1L3T0boCkSWs
APn1cGv6HP1oDws327E2qckqL7RNmmQWUUKuWh19VwZ9PRjeLc66Krv2hy4Jaz0unSzEzgp1CvzF
yPsH4tT4zqpLOhaRxd3toDClcE9oFiaLYrgJQVsF0rXyH5Mhh0+RKvPPSvcbvWsoCN7zuo0e4SPD
5otIf+892+wgj67jPP0R+ijSB0KuOLCliNHt8YoPCz96NewK2+D6Lnm1v1peidgzyPU9MoFaQRJC
mKKlIA2M/tuV7XwaY2d4mS2zf5VcgylcRcT1HkpH0jWqpJse3arqCJ2ebV2ghTJz19foeRNvIoXm
Bo42cwNdRdGz3trFz5V6iUhubggtmFMCotBSaqwx2B+sH0Sd4POqZyQ1XgXkn9NDn9mMCFCmn03o
RI+hncwhC6GVOxV1WEF3pkydSyktsJVkpkFS3j9a3f8/OvtfDjOE/7dA3V+/PuPkP4Zn2//wz+kZ
sy4U5CjNDRq8bUrFUONf0zPxF1rtzd+mW45CBvhvfbo0/tI3Kqfj2K5kuOZiKP7X8Mxy/5ISQLtj
6SbNiSX/q9mZcMzND/7v8YTDd2Qr15L8RXwdyV/7n+OJJcpcjdEEwZ1t5T5VZXqjlVZHW5kv8Ae7
U7MwjSCWluTHBKpeOzi/m4xtpLa0b22pNwR+mtkp11QatO4HoqbHpEl20UyN2OKe1K1N3aonFGd1
ZXpke1zxhpIeZ6mLQxaI37K8ENpSHmSHyoDdqzUyK466+ZIDbaxp4b1V7bDRAoivriCrr1qJfwXY
t5LFL7vQP6spPFp9+81i6upgOdVr50dMus4ABTR/jdVXNV9G9Qrf7yjDczSdS3CUhvsCN+S+S3VK
TguEb7l4IQa/Gg6fKT9V/ZHNkz9GV90GzRca665IigecnoFO/I+bUk42r/lIhBAsQXfYm2F06bAt
OhaqNhL1csIaiT7kQGYn9Jlm+guT8dOk1nsXmdXMzElTzxMdny3kLW1/rmyftoF8zcW+4sKLYjyE
1XWxfDbJB8f+oEpahlfMsgce40RVrZLrbN6L/tzoq9+77IY7+aVF2jMSrI6oAIJTtO65jX4z1/WM
kGLzKaxiH8770WhmUgBEULI3n1hkYV4JUNRdYwuDIZebhzRYXjmrsErNn2k7s2okc2qcCeecpztH
n7DnM0oyXWCK45+MaNPsd4Vki01mAT4dO52WBEIckqh+XMpNMKv5pnazelruaCr6E36N9DHiy8YR
2kDzbI4PrXhNFVI7ktLq6SHvtyhOVvLjHpwX5Qfy6VM8VHdjht4101h2hu2PKIfmZTzA49vFjhnA
7n6I7PGpRafoNRIUuQm9v075J20pfs5VxEIP8WdUMRkbqWnxSnulu+51jM8UMNa+nvQf3dazrFn2
bs6INgWGZWs1vg39yzJ6JxDVeF3SV3r2QzQyhXAKvx3farwfpx49ZyqzQE+zyYNF8dKFRHEqREcF
MeSLw4VwUtgBECxdkI/BeEWcYi9X0x6+KT/uO5UjdZZsn6tte+bJ7GfBEG0cpqBzi0vChodokyV+
apspaEQfDPL3MuQvbaSOZCd4rOQD8icfurSuvcq96/rBd01jZ3ckWsV/CEvaW0b+1ovhKUzKk8hH
OiYA8SbE5xQ+f4JKAB7kZobOLe04mdN1qfRPlcuf8WLwHrwr4KREDoTU2apoT1b12lftZaRnJOA4
qqhQXXEZxczoGT1FoVsPiz0e3Sx8xHPwHUcAMpt+SQCVGojG5yEAbXA/oKv67Yj2U7XVOf7Hb6Pf
MzVqvQSq8axZDKdiDMdL+pPa/g2S2uhp0vzulP5lcH3TQ6Alzg0OiDDZxWt6EVq+G1h2p1HxQMW4
02f3EYB/sy/I9EPsrZd7Y5qfKHh/Kji8QYRUCOcNcxNtdU8YLlZ/gVMaLK4W7bljb7OjKmQI7cvC
B6mdORX0/KjTk5TlzxVFn5TvWfaQTckRRzvpN+ZT0n+SDrDSvK+BXW4z0PjDcJv7mLAVMTGijJE8
sbBjIkcjxPkTWustH+T8g5N0CgxnuTM2vUcbu7bnVtADHXERudM8AYC8w7KHCsJW1qFZXgb6ldUS
40MTOe+A0ImxqKynzEFnzTx7Z+F+8dwc4Yoedk9LzG7EXsRj0ZW3dLajE5DXgalAvR7D1inIDdds
4kv4TDoE3+2mLPmVie5CHsBuqMKbO4L/1Cj6K2t5loX+1uYLwfTpJXXkvUFfHFqXQYvWoB6Trz7W
fqxTiPpB2QwESJjA4+FuVG5S8RZBeiMCm3NrFXNA3scD8XnaT7NXkLfZr2CSkQIy/TJgAW/TZm83
dgB/mVGIFt6F09reJ00zI9+NKMOs/A4UX3MM+2VyOUXL/r5vrASrVCg2jdfOTXBY6CbpiIIyDHGB
+eLUEdNTdFwnt1f2k9bC23baOebE1q/ga8P3fii7PTD45LXt62kvAfE/8mKku66PkjsH6M8lQnAc
wEKvjjYRKH7JbgVmgkYZycn6j8kal2EKSs9AcNmqfYMevlk0PnZDfIhMkhAM8Sn1CXB72mKXl+jn
ye+jUsX1u2uHFkkxEcknY8VdJKo/BHs/GZp2NMF97xfxo0sq8y7EYRvQOQ07mPDVAxcvn5lR2eV9
i/l2b8b9+BGTIO2tOenrp8VhpEZRIjltRXnvAGEmPHNsbgzHht1iP2tyrk9z6nA6LkOL7v/b3G69
SPyySl0PYlcEajKJ1617MkVdjPQJnEmrCb1lzrJT75QWEjtmQ8SH/uznGBFZippRU3BJoScuunkX
zfVwshbnKckwmFhOmn3CqdTooab0HGbASJihgNJNZyC5BLt6Fp4dMM+5cdiGT3sePtWALT6AgGLD
iQzeWmg6e63qHqSljTtyWkLfqsEy0BT3e4J2+NvMAcokdxmxR+K3aYCulbXAERLHaMncZ0anNzad
k29WsrkbdOoD55U2WzHHXRC4sD70iW7/EGk9cETgmIEFga8eW/Ixs1frOBjoi7TmuiBzXamY1u+o
T4xAaa3u5zZg5bL8M9rRI2Ez+o6tI+eAyK+44F/MpDt10XKNC+Nx1Zy9aZbAHoZngbjSsLhPwvVz
drJfVUOpptXsOV2s+fkB0+DBdgdW5vvQuptnG13/VipJpmryoDICE1jqpaRcwIzzpy4+r4WLXaMd
UBi4XFPNlV3jGWzQLVLkNk+3ppNMRLT7qq4P4Hh22oh0JaRUA/a3I+GDAZ5R3/PsqR+eSDNV5zov
nZ8VOoDLOq5R5EM5JvNMRzeYa8SvdMXEXqdwcCyQybs5HHQrPDm64R6ySBCIUo5z0MeVZnr9ZJXJ
Dg43TmyUTzlBcF3deGY3ymNEII6vJRVZPrI11LmpTedCpWx/ZAxV/FgPq8tIAAv7C/bAVb3Gj7bh
cC/Gosr33YhPTltD/WBHQMlFgRl9HHu5Mzc9Jpkl3JEKisMYW1B0yfo+DNMqj+QpG3djW6W/lmRt
ftDAVTu8YNRIXbKGT1Y5VeQO20ic6fgg3hKbPd4kK6JTU0v9iAK7eWstxugWI3n8yGMyYi8rscjr
9fKMBQlIupLYAC30GoVBphlp3f2j0gkNn6AfoxNPe1jH9KUzHawkMAr2cVrE2R5TQvLMkgB/Jz86
JhHdeWQD7wTpGMFAMZz6OKtN5grV319D3Hc6LrHAJszHn4ypOLeJ4Opw0FbuOT9M82jW5nHO7eg8
4uMUHaBd8iF0+Qb8gen5aMQBY5j0QdnILygAOnPgoCbnNK3d8MUeB3WytHLll4pIKiIzkeOvnHyj
6LRLmWFcW+nL38yUuX8B2fZsmszF/KJYKRRrvBvrSD2sNf9MJuqGw+QUWKGgQby38FBOM9lbTIOn
QlFf5vX4Z81r6zgDDvC1uP8l7Z5QCWFqgaMN1pV9xY9EyYOE3cXMPQla2903rQhwdpyZrcHVSebi
wJPUtrHONSwrvEnzq5Vtm26ySObK4lUa5/lC1d6Rm8QiI4VF7g1Z+Mu0UBYZNhLMrLxLdONOxVyD
i5uf9KF6dqfihZBF3FcYwCzSTSyiY1vWZZ27Y5fekwo0E94bpT9JstpGGQaiepwBjV6tOya1D+xZ
kC8hcMSgjK+O8xLXSHjNRXWtjfikut+8gxWSAoCYyo5eq4z4SCKYu0YTlH96d6qqOD6ngBa8TJDp
3mtExDA8eVsnXezYf/Pw4f9kwv1Q8xaGs434mCEl5xSp4LMQjY4sf7WeSXEd2JI5CvMQ7R9kGLGv
UqMN6pTdE1qLHxlSI0aNhNr3uX0uHBbDCWwgQuOrW9OSwlhnvPgMJEN8vGG9m2vtHGFNE7X6sRi/
KswfZt0z120PpAX63CjYcjrOEGyxlrZDNnsnHB5SSlW5aYcHjX3kQvqWIb9L1OdIe8H3u+dt8ai3
6bUx3mqjaf4oY/wzdCRCutTbQZwjp8gTXn1D6trEpyxp+Yl5AHQEU3bRSRQK5pFFhu5kQzBQlHJv
QLso+wgQobiPNHhtpT48EA2LQMmR7oGBSu8lXXyotTYgTxG9WGrHLDUgT2BwJRGejbhTEpFXO9cM
ksJhxVlwlIlpvuktRwRDRfAHRkb4rlXo8j7vkSkWXd7cyMQYd4aRJ8AJcDh3gyCuywgFeXtRnjIC
y62jK834TIhu+TJrmtpZrhE/5ARF+31sOm9mPhA2qLftoSdFkJiHdVZvmJPXB9bY40sK4P8JM6g4
6nLs9wNpZAn7aSXfhOzzK9HH6TUvNfWErj72yT5nmdK5RMDorHJPhp5gv0Kp+BzlZfEbaW//MVJv
nPt1ILXCjo1uPzRG/6JGZ7gNWZmetdjNf9lRNuf+mI3jwSrbcQGBXah7Ndn9ey9F+EQcSfTDGBIu
prHbkNkiTIrnwVzMX6ttxVng2g5uulmgzTNVPR+HNAthkZfOMxIysXcx+N1nstYvKyHK1CG8qLZT
GE/htk6rkla74qxbTkXrNPchKeIC833N0U+eYa8H0AptrMbrelkJV5h4c9ryDRN4yEuzkMyrt9aT
Yg76PiuHCA4zXrq3QTFR3VvrLF6ZI8wnsjssRK9ZtdNketrG/Kc5SsC5qL4VP9jIbmlZVLqB+Eds
FK/FOXHBgwk3wcCSkhjV2CWxPWKMv5GV42Ls8A8Blq8YtmM5j8FhSNwaIJqNPXpJ+kSHuKtLBq+I
/VXmnjuQGR5+wF1JetAuncq7mLc2UfPJmFPfRJCBiqoLspnZhNXbz4XWAmvBk4oihr2TxKUAOQxd
Bs1MFgY5YvijwTrJp+Qkl7rEnqOKcfN7hQGjoMQf57T4WghUvgevcWLOPKKwVPFukDgKSHHcZSp7
r0IBNcOJ9xPgrtTkDHey5DGVZJDH7kQZlv0sqxmq0yLesVjf19i9+azr0TNpQThUZRjDXyaMqXBI
FKvLdbzk0+bo+GYPQDErCZHQ34Y4JBU8302WwYKmI8UUq9PZ1cMwYBx9nksEx8mE+7nIJ8xV+X4k
oZjUWtKP6iKgNd2ayUeXED7+JZE2SGZUsIyP9vqSSqbRzOwzxkqulQXVQAZU0jMqMKsqoGI9oQM4
SoDyuL8MmCe9UV9F/dULEoKovOQ8eXla0GqDhzEyGywJYZw+sKATU+fas91AKdKu9qZocj5DSQ/w
OPpKjXLPyParnhMkqIV2hbff7pymo8wCfXM0REfVLWiyyMi50V6deJR/NJOYIHNAyB11PbLM+bct
7AcOOc589OD8tH+Wsdzp9XuorYtvMzxJwxEv4xa+2Ddbp5aOLgdCJg/2qvPtGwQZ2Zr22kfdDt88
3amqL0O7Dhc9sw1m0ziIQ1vtWkyjAX7qMcgKJocS+7DeRnvLvWOCHaUAqG3jFmX1pxarKUgG7tBI
I/Y610I3KMrKOnALuV6bl9muxaGzj2NGKjjLzV2B2OZI/IzmF6LqHqMVs0PTuRwtKJuN7hkPyV04
QJXJsgqteBOo2v1N6CoMh7JMDoaeXcfsqAbnaSAdgAje9cpe14vJE4xTdSVMDHlu0WfHJm0iv8ay
t2MHzvBFLR8hDotBhfY9Z/a0i0DTWIQ8eQZO2B3rK/bN6HtwB9/pTIWQ0lrpbzJ5eQntpnpbq/mb
LTJi/q0bRR+RIoUX9xnSfRXhcVrS33lC8IEV2XcDyCPGaAaem9JW13ky51vWtSiUKwTD8XKBTLVD
2yi4leS3bhP6mDugFHgPPMd5Um1dvZpEoe+sLRpwAkLIY8CMyuq99fQYTX2/+eM05k9PprktJxtw
VX3X37cZeSZJ9Lg50z1zFCgMSQhvVnVviojnhZJNZz7TZTQC5b4YCQCqopesMvODKgf7YouQAh4c
RrdWexe4xq6N5wcjL+Qz66Ugcck9j4p1RT0RO4eqajAWVEt6SEk086jr3UegKJ/NFD2I1Trznbxy
J141zLGF4/5Gt8eUaxEchSl3YxglJ5lYuF+sxJ/rUt9JrXog5INhI2s9z80SGD05OL6yb3aL5V6I
7QF2NMPMzombLVWyY2Xi3g2ZwSxV6Gkw6fhCRogBN0oDbIfdxd4+F+NkAWma0sdM4dnrwO8bY0wW
u71+gvon5cGI3CegGHzss+qRYRqHZDsP+yhvq0c7YwEd5xv4rTKIeCfAQpxrWcs71kbRrdIEihRD
JftkGhjQLGj3G8y2XFwPuQ0OLKntV5M0CvRxfSCcun7g4jmUja6OxurKWy8R2ZDrS6GY3gy7eCKl
hPPK/DOipdxuJX4j4YKkRYnMzyltgjJtXqQzZ8fI4kRd+r1u0VSkAnNq82ravxC8ylvEBpO8+NMm
0XfEIxyrXa7/1hjKPbkkttDwuA3WnLWFaWNYT4tYMgSH6wj5AcnO6s7DLS1NbQeC6dSGq36V8bCw
enJ/Dm5DoZi0rw3DMabtHLxDWSK2m2Ag5Ig964a0MeHM5C7oWGZUyB9iz8guMcGmpX4bhZzPKVFn
GBRoupxxJ0ZYcm2z0+0KI1DMByK1MW30iF4oVBjRDs0pU+FJN7QN7OSNbC9qvCsieaEIJsq6FccG
o/9Oyn6XrjTIDGHBdmHCiTtSpGE4Sb9Dl+Nl3XhoN6BcatRkqrso4On+TfSjPUOSLSG6eyfhDQNF
U8kLlIkhQPlpHUtLxUwQKLtgHXXIcwqJqHLhHkzr71hrAtK02My5eowBa033+MDZE+axJs96xoIi
hHu07/riE5TcJWvKO+Z2GP+H7B0Vnn4ZB7s9Z9l0KpBvHlOdXd+AETZDBJ2TjIhzfBo648vFsXGY
xMDKn8euFXxKTNIH8XSSRrcsu1EAQxjbD8Xmmf0OHB8fC8rd5PKSJyH+4AlQXeFaY2C2IjoXRvc5
5E73nIb2V0xiEAGV54F58hQTWDIOUBeyCDf1kKLs88peN1isF91HQzBPVpP9nakR7KU7PfMaPAwE
IAS1GX1R/Yi7WvXE1dryMkvtgg6C5TcMJRqhKUHqVkeUHDA+cnSYRmp5MXaXE5pFtLNoCfyqIDUs
nR/oGm6kbLxpA/C3wioOZPyksNTEmQV06bUNtQAGzrvc0s9w8yZfE4gSXEpbj/Enk2rMdeY674Ai
UVNVyjPNazycneLoZM9ldu3r9kbbuiWx7cPFsbn77XzvND3nIlwlRwPo1lYi2FymDBL3CGKvlh7f
Rst4HCAZeMTl7XoQNxQ36mY6MDfWaZ73Kv/SwI0UvPjI1DS/gpHksz8+mjqr8D59krhmTnKYbgZA
Y7ir6NHEcj9kbI9IaGHxy0mfgERqttzqlP/gRn43KD/Upv4qCZjMTTAzzi+91b8ptY+O5pKtpw17
bXGfVJNiC05ufTj8KS1Yjm5nKS+poLSKSCKL16JLu2wbf2d960EIooequLjvCy1/VGiDGB36yarO
mrkcy95KCdbuDvaszpPqVMDjT3w8HV7XLI+jq99q7rxJf2mIGhpx5aQFYoSsw/SVR7ui7Z74tW6C
igJTMEVSF6qHZVs/1oqTGR5yBE7pRkrjZVjQdPLbjCIGZOXKreGEyFHi6GqUdMGYHJkK59UpkurN
4dr0eraQDiF5Lmy/bVJvaG+DTDDYgi20wWcGrsmHn6Df9ZYYfKQmswqDbHDkiRnLO7HGj2BQuHtm
dSoHVlNAR0m75HvVDoVUP03+yoF3GmkpW8/hzxhvpms9aCVZavdKFfvIjvfKEVcYBb5NVnFO11hD
MM6Nn4TRzH5hE7FVXAYMmXSOmL6XDRpS8RQWImpLUtzn4cyi2Hd17TiMzi1JwksVug3XcZpSBhJM
hgdjh3ZkeiLToT9YFRjOuAER0RE+ioVrfUJ5nj6jnpZPtbMAXMX+82xWEyFQIRxOFkQGhiQa5rO1
IZylCiH32QP0RnRkQ85ibrHkFJi80ulm3uLj2KHC7jXPWLVThBjx2Bjulyo5Jw0Wul4p1jzIKyCe
6bhMXtq0vp0VxL9byPTq1PUBccpzPZT5CVJEoMaBtCuijAx9wUiRI0kLK+0xG9qzlkePbYoLyLVu
sZZn5zYuDlpGepal+gspGcjqLW3az270ltXxbWmzkxEhwa/z2dkx23M8CK8DkIx85EHN0LEc54VA
9G9dZ94KhNj10pUvoE3qyeE4DEABMAErc+ugmVZ90UR//N/cncly5MqVbf/lzXENnaMZ1OBFH8EI
9mQyOYGRSRIOR+cAHO3X1wpJVlbSsxpo+Goik+xeZSYzEI7j++y9tvILYJPL49XjF3FteRg6Xz1I
UIgDQRB+Jp0xWbmxdday25U5jkMQLHImpQtFw8x/aCS7s8VjVSeHHtiYKAsudS1b4qLeuZ279+fq
McIp7MLWiPOvzsgdM/7BRHhOcetnx0ypXdUPezuOdhlaXJM2bL4DoC8eI0e7qrRNJvKscJaF9Y2p
NPGB5yDvMGSO51Q2txi5NhOMg9Ab9fVTwxnpVd2273IfHGfuwrEO0jW1sVxsxjFJruXL/HR27O6y
4BnX+zpvX/1i3iUiv8VvuEvbI57UYjqLUO7h2MTcyftZrBtGA9qKWObghyx+XH199VL+nsdbkWdv
gaGu0PyR/s729Fuh2g842NSxXd0H3iaFL7ZI5KG83LbmXNCAbGcflSzWmrun4kzGXkhudmsU7z0U
miL4XZa0OMsho+zqyhwFjY13TIc2KQzK0Z51Q1gicZD1ct8J1wGP83GJuHevEh3Yj4pK+ac27Zr7
qkQt1EszHDtyvnvMHtjVvDb7tKnw21c9T7TVcyitKbyDLlIOgCcbdAY2k5kd3eQRdkD8Bfyos5wv
WvfdKfGqcW8GAWkHr9xrlbnc5KaOc1+5iI00mObbSeo7X1XObxHyVRZ6BplQFOlP54fp0c45r/GN
1r96xwwzwytw71ZF+nEqkmDtDSSyWcLDSvOj+Yr2KPmVu/ucseB5Yrhfp1Wx8ZyOLZ94a+LkEJb1
E0mCl9AkDNxx8TuZ9VbXUETCgsO0dvuHzvYjXlqvrNFhO80+2eqxSlYl14UKeEUQQf1Bs05OePma
TZ4Uf1wF4CHKX90Ba5KUPyNeONPhozIQVwwleYwujyaKToQI6V2DbR6HaLx0x90B00RxiuN0Sxhx
pZM3TvuMjuEerdjblNxjBsGOkLAj6X6bL8ooD5rtBnktemw98zCP03VzWt5DYTossXdL1vGuEeG7
5YpHb7QwopnzAuNJiZGqs27M+RSBttD4dF/UAZ2AWfo02epUeubN5y3LsUsBtPGlOGg8juimYGB8
+dRM3n1pS9i4qNU1NrpxYhnZs75xclrNaxu1sP8U+U/rkAK1GfLX3FYxliD9ejmxFG6kP3BpsJmM
HO6pV+BpIIMe81/miSG1GMQK69et7/UPkYFAkizJ3pvy9z7OwRml+psy30/Prhmzg+zUTm6158M/
JKkwKwyEh8py9iCmd+GSnuKAdVAC0UPW6Y1K4lcGxFvPoRNWtdn9ZNM0K+db34b8lgjYOtDulMdr
tfYivngtiG3oXZiFSwBscpOM84zDF6WkbvhB8yR/09hhI0lzhj9dF40JWP54A0+52GvB1SUx7zNN
NCRJmAEi+WRLqB9NE7GvTB57b1nbhfte+ZQ5mv7OVGqXolkkUv+4vmXviPY/ZzWOiq5B9A23re3a
pIyafVRF3gFU3bwz5eRtF+XGNJH7vLbBdk1MjPDz7oeyOwaqbNdcKgnslNHKDqx3p8fAPHTOj3Jm
0ucqOrESTzGi9/dycu4oLr517RSqc4IR3rzBvLirhnZnhfNjGH+CD8kK+5Y1IlkXk29FQHamgFxS
wD033IFyeziAVf8WrEnJE0EhWKkr7sYdGDmcS8H2GkrzmkDwUSGyTU7xOPdPUXicM7gMVfkwlU9u
DjzIBFdzAJBzggLUkM10885JDpx3umnmMN/K0RWE+AX7mCq7CZeu2DYO3D9orOz/UK+WpWa9xA0X
ZZkhF07otNNNuFdh3AIuDG5ozpbrCQ/zmjr3L2spz3hCnkSfba0FFm7dDx5G7uzBdOTDLTVDmUI/
H3idQe412CznUxH6X2lrTrDyHtmzb8YmuKB1nLi2zitvZt/JPXNVByAm06EM9x5tiFA797MW+z4m
HrOoFqiC6d195bgI7bBbeOTYTDKOFWSHhnMf2V++wvPvey+NLj+TsLwB//3dF82XZdGJ3CfpJsBj
sHb79o+J1IMlfDSpvn2MBFP3QMJQX3n26TlWHeupgji6YtP3Y1tm2Prhd5dHL+2U3wq8FmuTT+6t
U7s3kw3ZccQxC9kMewPsecoC12m/1De1RIqspwIdShVvDLtHu2k/il6+jV1CI24Z3kyj8zoPzQ81
5DRzI+Qhg1vPpAqI0yO8eMCkcXyu8ppTMqVDto+CD2Rk0BWZ328z2dzzGj650XwfRddeF39/tWzA
bdix7B9x/YOOXK6RuIhPlMqIs6rKO6Q70JU5ga941GerxM8kc5Ld0pl/sp59VsvEasao3xRYQ2XR
acpU6V3pNH3pKGerzjUzh1y9cN5bx6gZbBzE/CaNM53AYtXQeBBvMao4Ox3Ed/Bv7XOSSyg9cVm+
0KJKFM/6JGmBQ0o+91a4dzJ4J+GgQFbmkbzJJIGdWrMoo9O85lF0bip2D+u2Seu1aTWSN19T3gzW
XuP1Abs0+GtCaj9CxU+z36NPKxfprtzH6fBuAqja/rnSbGHmlr9jSZdjOLTvVTudfa4Kcqd9rOW+
xqoRiFdY8Bv2pgKhoxu25LXAzlbyg+7MFzH58qaaYneTu4X49Cz7J4AINkrnYxy5apVa/3Yzdc5m
Gk0nN70upj5N5/6u8UQKlqmKxJcVxA7uoobD7W2JcU6MBaOT55bnZGrwNmRHP3Lv+aRurBhvGlul
e1X4G00sSbusJQpsEEXCwC/v+u4Sy1vsQiYB72+C4KhcfUqhrDTN8BgVhT7amm8VucRnYQL8Ej3m
mNnB3hhT7eRNb0IBUbUn6CUsdZ8WDUg0Lm8cKl9MFj43Ln+FnrsLJbFjRLHVWAbW3ljMNqn3O6kf
6LoEWBAvO3IMOMB7VlqlfGyQp1HlCLHEDw4OR5NOv9KgeG8W6e1ptnzqrPwPyQY2F98eE0PH3pea
blYg4uSavTXudX6chcbAwCI2Ly7Xb4SqdwVcoFS99G6/i/vHDElg3Ob+Zm652trX5nK1WhBFvBnv
4YxsZMrMPRGOsE/RmJ8lHDkrsrcvMl47NCOwdC8rVOeHRgbyOYOY+Nja/KDa7+yTO5vsO8yr5VD2
nvWdh0WOyXqonhb8kD+ejHi5uGYHEVT/0Jkgb7NSjGRNheOzfZ3NrxzH1i3u2nJfRfaMyaBXN7Nl
IhBCzbV2uerOM9PPuRS5/EwqMuLS4urqgTHlwgThokzs9mBhIl+NrEnfxiD9SGLsLUJ9hMBFt66p
YWkRREC2CV2qcWt9HuTSXgrSqbehV9pHmrBeO3oumJ0QQrf0sb+GOgd26roQUp0iStlp5l8tySKO
261M6RKF1jv1RHoq567u5K85gq5oB6+EsSQFqBWkN+7GYeW6VAFwtHns258bFVgPfYz26X3UzBRr
nUF36+2L0vl9A2An7ZMDyYnsgJRk7VkyQ5/3QdVlg7lvsvARQ1v2OIJywqWMj8qtplOLgXpDubBc
hUV/C//hDRTXTe3+Ub29zgbuHSxnMO2PhhW9yvf5nK5oXCJ3m71F9mVM4tUwnp0g3YWsXdLgvg6H
A3tycHn5JnS+rZH1orQOqrc2FAW9e+qTnhtk5Fe+t2sk4Rj/0PLOtDzvegvBL+0sTCMQuFfRvHx4
YXJjbK668PgD0Goj+eWeLoIw3SKW3KZKH4XLHpfcj0tY7RfF3uCHlddwqqSbRXVb/5pHI7HlttZ9
HXFP4OBzSYy5x7os75vQH3ZR1lNLZSdvOX5HGLDM1Bbmx7GQm2mpf8lqP+jsps7mB3XVk0Yeia2k
dec0dzH32olYVTs8FX18TiAKrFITV2QfYXa6iyIkF7a/2zL84OzAANzmn4ltRa9XlsjOW2KGfi3B
dI60dVTXZQCONtikXP59L9yQpt86RMKItVIrT/IGD/FEogHyCbw6SUk7fUeT82sx7U1nsOtWYp9B
AcYtFX/FLockGov1O3QmZz1LkV5UAHMuspYbqx73QzHvcytYuA/n0SpT8FiC7ppHIr6xCuPkS7qs
AQ3WVyseLk0vz6H5zjrSnIhT7sEXNEn3EzDzhrM5HbHE1dNbtdRb8iQstHmfsy8HMhSDlxwaprLS
+ROqP62G6Ijed6FVAJQm/0NgIl0JJmzCImatbZgzCXU4HCWwvDNPy1vsdVAQeSnSIoM82tfbNE6f
Z5NSDBJ54XfZasKviG7XJOsJD8ClzexX1txAbf1ixIQtynkLFhN2+ZUP/e+nL/5/Q5KQePifYxX/
9yeVH4B5zMc/lQXw//l7siL0/4qiGPO6/ze8yN+4+39PVgT2X4IMVxzSlOhHgecSn/gHl8SL/qJE
O7gi/0ExXGMa/8hV/K1HIHSjKHIicl/Xf/TvUP9h8f1TroJMBaUXApaFAzMSpTn8F+xDT1a0E4yj
W6eisod97PeM131jLyNDtQzYFY6nxihJQcaQnqxB/s59gJIRBG/bpcfQadv6UgcTLBP2qmJn0Xzd
r/q0z8N1ndg+34qoje+JyYJoogwc/XQ06VhgxhXMMiS3rhZDFGK8aO1KTTnnqei0334BgZtulolF
4y8NQij9pZUp3wYTDhfjh58hHsYHXB02DqAYZv8qkuVIUZOdb9M+gPAVxIBZOUk2tpVGD9KfLYg9
9WRX+jLWKTf51Vi3XCNNNJpzHGXRcsj8ct1zBdx4ke5POhLDqmsL5zRwG1gLqKZrfBL34TLZ1Apg
V+byj57Mj06i/EYm/Ttl7PWmL338P86UtSd/KM+dqCBMwcUPEZtqBSq9DfZ4rXNupyQ1O+/Gkb0i
sGw3HRx0CktWsc3Xllxj5ZRboF71a0deGKbVpuucmjuMSi0OvZnGgcUreaNk9KPUJcJKGW+6Ji2o
nEetWNml8wNX4aIot3pKm/IWm1OX3upynMuVgD3+2rb+ijinunT8kiyBl4AaFbKj/L6zLeWdm8Oj
pv5B0uAxDz7iWJNjMG7dK7YacjPJCBYiV5t4J15hnrPUHgmOS/LF48JuntWM647RriYuMbKodeRT
jxvpppXjK11DOgd0x3vE0bba9TZipeCv7d7mVdU3+N0HfV9XvdnOsBo3hQsOIW0hmA3dR16TOhVO
Z7MtwYbtxjks4aJv90M8mqs2jZQeCYfKp74X2xyxBRQkjwxtb0bI+zQCP4o/HGffkZqX+QW0JqYh
gvu3nQhxZ6tTneK/4E2d+nA6GCmSrWwXYmx5X0n8vciWSkUjwklxbE1uupX0aVd/YFPDao48UFai
zEdjuxPFCJBTKMCka7QBIOboy74qxKoh/SvWLjibfWelgBXH5B1DzTXsCZN4aPsh2Cxi2pLKxOhA
VQ37WxKiK2sa7U1f9M9OsoR3qh9Sip4oLv5it5ftOsINmDoq/86LAPwkVUVUIrgZl7TfGB3ZlN9g
9Wuz+Z0rzg9L2b12rvWBqEyL2pR5/Bnk3rTLdUj1RBufQydL4O9I7Bu90jsbWhlhocrkHd+jTGcb
FdSAZusB7823y5dpxzM9T6ceowfhxSU/BaKqdjKvqifQsHhXwqmH7j8xpDNhWkl+qodmuqczhbiS
hZ+DG7gCYwdfAuVzSn2b2UJ1J8u1y8eqxT2QDvY5QJhFiqKP7tS3w02SjuqmRhHm1t7ElOfIPijR
hYJBeDu6cmhH6uBr0wVYdxSOGaTSLLRlsacPt+W1TOIL7Skmv7p0k0esEw/eibE+f7CpcMR63UF3
RlBkydghjWF9bJhvwLhIbh9QVj6H1KHsPmzHiWL3sGYXG8RsvFI/ommzTH8WNQecc/OVVOZdV2h5
8GBBHPBY4BU/8eirtyLu+2Q/ZBKjo+wR2oq2pG5JVsO8xYnZHlq2jlv6uoO7JEet5pGNz3khx1No
Dd3e7lw4yVnabpQTjSzkGtDAW2s27XEp6tg+EAVtV82QvgDDYm1F6bfBWjUVam/0VUQjCUyZRyOK
mMPOoHm7JfniRLcUP4/jhymQwj0iBTv+KnmwsuLaeQywbpnq4cbSbY/alBMHWXEzaBfEc2c51T19
F+AA9JsKkZ3J0XX7vJcAEHGbHSgqeaa7Aqb7JJ6tIAEdkHYpikUCNjn13btC44wE8HYIVAPxT07R
Poy9N07U9tQBJTzHYlz79pB3mC70JSwhgNEKSUEVWqS2J2tetYZyvU2JP3nXTgEmrE7gIghEf5ZL
2N5Y1ngnYslcFqkCQ+fsuxkbKXBhwUFnWfCQUyaLJTarfg94N0HocoVaNa7724sbFqSYviqJTsNY
9cJzjc40hA8ubATghf5D0DozsE7ZXJJYfKs5/3LDq7ocWnYEkzOxbwul4D3HKeldDuya4I9btiBl
xgZnvYr8R15K0SmrCmieqT9dGluXz8TgueT7EZ0GJIfPmnI+Htyi4j2DgRdlrYfdCupkMxiYx53T
bwQLe+Rs6tzQSrvTWLNDdrNm3uLIKfEoDGhFbQs+2PLTigoZa6GJK1n8bRmzpk26qw3Nu9iTfkxA
ypjdiLmGMzULkuRXU8HK2pDYdfEMBvEusap9sQgaJ1wWa1iG6MaxMqd/X5yhejZZZB0z41bXHRN7
Y2V5uG+DNmthyfdxAYelrZ6TMCMvwfWaczKu8g7LirNMSJJe7tGx0XTqJHlxfcxG44sqjSfbvZ+F
8xPULzTATAVld71U/hlg6TQ7UhnwCaKgsV+XPsogAvFNmoVithgcrzkhV9/GsJt4BdKitQq7Yk2e
wj7TSaO23ijPE9xaBm8pqUpQggAI0XTzOw+FhIbsuw6eGZaO98Hce/4WF1ZxwZAZmBssjBNVlPhE
4sYdfodp3rrnCSCE0yLgdwVaEsEoEOjVH/Lvm2wYkNNBlTTETavGPC9ZTgNr4MTnICEZcd3Be/mW
yN+yCkqV7nMVqpPbefGz10/YhiMkUd6HBW48Xo6VHqbsTK3aY5bAKmGzU8oGr10Z30ubD2eHYQIu
WwL/5jN1DAHEKHAACGXL9XaR0ShG1Z9OgHZkccnPkbtU7G2CgIaLvZmCvifRaftwR2xZpc+pmcPv
ogKbrWx2+K5nQvRxzSy14RM0LkjuGduXr0k0rdXU1e0uLqPww81G+6L7icpgnzE0uZVg+dp1BnG/
hypCmpUaQQstd3Sxth1YAGBvt/vsujVtgdHuIdqNyOL0ZlC8Yr1mUNhJocYFgFnbpREqTcF0m2rw
dp2oA7w5fGkjD8fTpNLzDJL1RBaRTvt6+NXKq97iELGbOUevpXy0v24oRPXJxpXw7SY8BYXS7KB9
cOZ8VLX+BR8CssQc2HD/fd++75zkXAH32ulaJDc0UQ8AnSNLbqqozyls0hhGN6ksuaxPpUTsTLJZ
b8itEjpqSO0fAyATJ7bbrnUtVTwgM5PqsvnKO1nxXWQQGFTuubcZ9mwSYMPYrJc5ve4tK+3e2rw8
PwWe4i1SCAscEkM0r3QbFWp2vlNJ/DcK5vTke/6NINaFIVIzpnulf5k9Ifdxbz21k52lmyHMuhPk
twkHUPvipgG9HTAn/iySppYcmpY9dd1rOF6deIOKvM/eTcZDH9XODx+sPnCnDfbxaD1wyaBtIKuy
KmLqTn4ZTSNtbnnxe9M49oBATyNwOozR+MLJHfUnIxP3NAvYcnU5Ri+SNzMVlbbugo3K0/FzsGw2
TklRvo/4X8EJeWafDAVCEgYb6xjj9vuQHg1W5m8LCLdz9J+lrhy19bEjCo+5ZYvF7MR6ErVvTltA
YMsk5uLceyEnJc7KYCE8hkxOGVr5VXjhMJ+GhUX6ngqYJT5St4lxLLGcZqMh5JNZq/v8GW2R+/kc
Ui+zj9ySaMQ4Ol2JYoQXijKaRYiLFH5Pa1FeZd4BIzmNLtRCjmsAuH5162MInQhwcFytZEACMBmj
zmz49wbvKUC9UvehU1bfFQejw7BNvs29+n0b7NKxcWfWvsFVZsS4VFm8ntdWMqqNG03BJ1iK4Z6t
GWwKOTLi4Q/lK0agPMW6gMVi6IR+b4uQgdpv2iMHwUg0IG50/7FUxnEOfQYI7dwtWQ03UrEj7C0g
RK3Im4fCzqavPIS0RRIoZu6cE+oujU94ZXc1o7CjbQreu/M0X8oGdNkzr5Gy501NAGdrUfbDxxrS
hlhBHd9OJRUa6B0zqvU2aU33Bc2DDdY46js2BPvQk+WL3c7dWyCIkbEnk9Ev4Q4c7KotGvwadofp
KazzG5iG4hO/LsxMAHz+78EHrMgOiuzRLi+bisRdh6hUtu19W8Omnj0Zf2QF9yE8buHDtDTOisnN
mG2XcqKQchbw7wDKsRBVInEZNGPqrLYl8g1lVTUZhh11zBhTHJuPfm+PtG0lvFQlrRS5Sg9AdLwA
B5gJwl0zKoWG1NNKm1pj7u8M18TgfRq6Botg0RR6Y2vjvyZWSfilgUoDo4SlDIGEIBAPuPd5tcl0
yvpzJtN8HQwmDVh9Z9cvKiUxP20i8HrVsXIoO6naFkvscJ2S0vxAZL26hZJUf05zGFFaZGX2r8Aa
Cy5WsIXiM4yE+j6PtSj2mUoqhjiv3lWO7Q27hF5OdRFczeKjMmRtYOfiRXiL40I2eJy1dSmyNDgM
9ZDctraV4XKSWf1SAfXKdnNqhociccxnGzg2jgUv+emqBhiwQz1LGEsQfLqZmGNp9/boDR8HvZsc
evT4TyRAwlypYkPgNeOjGIEipGwNvZVeBGx39tgm2posqdSlj2d86hYvaQzYsqsn+iIirkPe4GBq
lFESpVuRGD/Z9XRv/Zq0bh/jJekD8uaECbyBM+CNtlw7OVVc5ToGefwuGyRXvyVB79JMsviPfj6c
Cmhve7hw3EiCZnLvh1iDtZ+Tue/2UjAUrOYZ6tSlinEtOMs1xOEAK/ulFjOVp3jILFI2jm0z88qZ
yoiCeCIQQfZ+p7Gdrr1VQJUphl6A1T1FxVzPm6lxA654fjZfl7VjMB6twQ6nw5W2bC7Ey4P6vksV
vAsrVm576rle/UkrbHa7nAzijjGXN1k3avM79pPcwvtnBTeTityt4mllUi+U9UAOmwU4BSkBL8L5
MWi5TbHYzDaJj2FM0R9+C5ApOCK9dPctHCwUU+LghRVUb6HXp+y4hugYs5t5auk4fS/SCbtOVERX
T4GLAYUuFDwfA0EexNaaVpd15E4jy6zSPQ/aYY9XlvUW4Gh3suMZj5vP5wBv9NZIG8s4rSGbhONg
M1XJzN7Jg718cFlYz0+FLvwf6U3Kw4s6FOUhVhZ24qyhnINuQXj5PY95Szo0Dar7yGAGRHWuIQ8R
LQinKv60vLEErsecn78PY6nPbcP37i7UligPY2bFMXuMqj/4CXk5j707stWT0vWTHfHRxuLL6hP7
11iEfCed5nkiqbqySbFUgl/KLh5GOz2UEa1MUaJmfPSNecLNjy0kFJdElwcRRVbDsPtqcl57lTjR
jPLJzPphqeYhBj3Yus536aizS6nDOoeNUHfThyuBWvihQdZfHmMF9oeizY+mrGYyY+IXXVApnhTS
11H9QN3Rb0FaKLOtOxwIglKxRKKhUbYXyPqunLo7pBqShTxkrbN8iLr+XZNRo0czEzt2i/TFTI4h
myD+NKTUvsAbXOt3oCoYkB4TaWwAgmfrugfD5w+5MJzWosfdbGKgbJ4NaC6y2N3m3KFXFI0k6xK6
Y6lJjJZtg/DC0MnT/j0Sx1w5g/soFZkJwhSZICA0B2jdnZ0oyp4IHxwtLOvLAXgbzSI8TVgbXuIK
R9S20nPPHyEMWp8owOLhwl7aM+/n22QmXxd7M8GnZboTTXygruURFedSO9VxJOhGDc1lBFsKioQr
hZgJ0Sz5AQtrdxytwdvAC9iF+PIsqic8Rnj2ngFFagNrQnq+g0Kex8AqL5WmtWEO6zt7KBhLAvO7
mLxlR5V3v8ubLD66auJPMuk75q2OqOiwkpCStyUb9q1tzEs8h/etE9d32I/PNRcp3BnBCuTD1LyA
2Pxxi8A7c7BFp3HglotK09xYUGRvnWC6ZdSiUTMMgUKRRhHGXqsg+U4rTPU0Hn94gUPbdy4hHeTH
GljzuavT+4FuvBFXwWBm/xHo/8jtA56Ktvv4VPE0H7vaqg5+xbspgEiyCfsIHz8Vajdu17AzVlDX
KXDXmj8gb/8Vc+tJMq2uk4Voo4MBYCqK29YR0zGQ6rEWXbjhDpnw8DXZubYEuTA8YI/MguWVNkOl
nPFX1NrxTGT8bYKb0BuQ99SPF5OheKi6wyD0tJQEGXBpzndxPsyfnR8dgzR5xbTzntU9PqkAP0c+
3yEmNCuv9h4dhnd70dlhHlS2LytufNoRB+X4zlk6JM5meG1ruHE9z9mw3InJ1Ycx1HvsxqzJm5HH
idOblVXZPfHbwCtd+Hpc79OHsHU+moLh1wlCvM0a/HBllfYhAJaGuOxeKnfs7yIktFWv8+c2KB+F
SsgfSDokeIMzbaAL2Ml3gQqTx/YlKBlMEzaP/L1mvIb6+IHy9OpUS79iGqHXKS64R3fbMZzTTSc9
8ZbO9gRYQN0ZGb17SXNTO+Kd5eO4DR2WcMxFBOqp6aXTwPvdWRiP6E67ja7stdnpzmmQm/dYXks7
/OzYFD7VvRihYCYY6vXScOQaqUjVbLPGZ33Z9Wkhrkg2lNFKBGn1x6uIin21sTPuIXbE50w7y1NX
Y8RqtHQfWLV6z8GilvNQpe661fYvTGsYhURBRYSqrU06W6zz6FcYDzgTul+T4NNHFQu3lBWEu941
82OXyOXkaRp3k2Wydo4HkWmo7eQTxDkyPs22SQv3QyrNm2aYmicFg2TX+lOKp0nehLgljmnV4FOh
+G5FZy0tptmpzolJl8uDF3rPKWP+qumb8AYyw3xQc38oGEhd38X2HFwqb8LuxNdqIzMMjSKeg12g
5MgrLnx2coPdIia9jIfSuWkYUqhf0FskSHApCEC0x/IwLqTw7UUd8y4rD6VhTex2ig4QDfHEATnn
leYSkklfl3l2R6Pry9wEBxsn1MZHPbth9d98g/6bDmlPlt9wdwKY5J+zqhOYMyY6a/rjGE6nriyT
p1T3Mz50Rfg0zL1jGnCBTLy8e9Oisg/Nom6B2R+ULPOLV4AmbmkqPbMfD35nTfHHjxaq2kgkQZUz
L+Bw5TO7H6Abjc53tB+cJjW1+1R2z+BaqrVs3VOLpKmzoUEYL6tfbhbS7tnXn1h5PnVXgWblQl+K
yWziYvzJ+ZLU8N+oxyzqcgde9/rBbnNukx7yBjdSflVC43yV+i7dFanPZnUMgbjY7Rc1EO/hbO6L
1tkLzpFj5hdfXHB4wVv23gVrBaL7bYoSfCjzS1pSEoE8/hL4OvidLtR98uzxh4+6FKjlkF8iO/xc
olF8jWLZyyl8B0xEiHM6Ro7Dn7lpXLLe+ujnwXHKk8uQLN+4gOS6bMaSpEnmhWzVpz49sgErSfrE
7I5Qyf1d1uT1DoxkthE1MbUN67Tk1HNMvXp2/6YMUR+SSK9hon5zO/nxFnzmU0ZfsWtumQsJ+3oA
AdPeWztoI5tKXsNYTf4ESJsLT8JH17YL4UIOoF41IUv8fNfQHD94kbmyVH33o1ARLg9ChVOyS9lE
U5rcpAx9w0D6pOzDbuO3XG+zKaDUKstrDGWlCe9GecWSRtwW3E6KM+S4aDsZWhsx4ICCieu3IqqD
S8yn/EXrZvfhWOLNXrqRJG0bgiyi20p1d4LFE6ADI5JswzIvvmXiqrzDMiSJe2VTTuVWj9cwFhnf
9nVqUiQMrOQ1cOgTsHMNdi0Kl5fIszGrj8XoGC7FVgANYCp0XPLiK4b6bkBUgK0gBMnGCMxBbdTj
sDSTgPXd9grHez3KxxLLbbEWhv0MrQrRqeXo+MnR7C82jKFvNwAXiw2NitEXkReDzYkQVoeo8boT
1NKxWPXgmkR+4acL5Z2ENkPHJwLtrkTaSknrGG+PaAYUoMgrKL0gBZIsep/L8pL7BHhiGhoCzA7Y
htx5XSvIX63AX1/l0W7MbET3oen0LTW3l5LUwx/q2JJ7BwdABEZ707rzsIvHBKXZ8FojBEkTfHLt
+/niuLmtFkrHQiM2QFchYMpm2gxw1uAJE00i5Zdv1WDcL0GJBPgig+cGq+xbw82GvQ+0lQSW3QpL
NdbHONprr9TM3zxhRu9cusoFO5JWWMhLPzKwF0udSak7bsBlk5wGM4WXkghICtrk9YDnU6wAN+Pd
sK6VWiLEnNGjiqZYnQZw22DNPpVV+RChBvDgrEColOux6UXQC/59Q8L/ziaVK0Pxf/YtrNqPJStw
KVQmM/Px6z/+z/Xf/7tnwXLBQfp0wUaBawc2aMf/KlOxQu+vmG8TjVwYF3C0Xv/RP1wL4i+XkpUw
jqLQo+eMOeq/fAuW5/3FFszhDksRC4J4HP47xoV/LscQyN38BihZnrBdF2vFv5Rj1L6mtixt5hXg
YX0VDqj/OvV95ddkLu2hP/y3v5n7v2Mm/3s7xv/72/leFAcRPzMdGW74L40fif5P0s5syW1jScNP
hIjCVkDdkiDZm6RuqdVS9w1Ci4V93/H080G+GBHkkCHPhR0n7GMlq1BLVua/xEhH1HTt0Lat/DcK
LpP1JtEkan9qsoUU9S9I5v/0/lj+vP8Vu1yGZ9mobeIAotsEtZnHP704kKFM6ikFF1lpIv/YIsr5
XFGqO1we1XEUiVMORjmG7kg49Q5cstWowPGqQKActnEN3CVopEC9QYZrdznKCmDybxTTgOBFLmkY
+jK3f/iKILdU+tz3EKLyWO38BbhW52PKJM6VF0FWfn853umobMEqE67Qrd+wmuN49BzpaIw0Orta
cb+6wwgwgMf+30cxbcdxwOFImDQrOVKdHlJcCx/EihUaGOJUGbKK4+xdjnI6d7YwaTtxdy7ip3I1
d3WVirAF9b4Zk8X7MlQjD5ukttEnLHiSNxsdUvzz5ZjHa31ZFTZeMLbhCnfZsIpD4c/vpXITsHrP
Mw8FL+NOaBWM2SaJuQJdeWV4Z0JxxFgEsSEwy/XSMMpMoJxAR7JIcT7tVT7vy6jDmC7O0rvLozoz
k0jYWhZ7d9GrtYBn/Tkqu5TYc+VgJ/qoiW+Bb8gbacftg4Vv3oeByu9fnRi/ZxGvM/iX2D7RsXCW
3/PHqk+wbBf50mwe7BIgdRI+NDDp3vNis/56F7MuwO2hCA7yVuqrSHrWUxvrqKOoFtr8XNQTUEje
0Jfn79yn+jPK6kQC3A5wA7G5jUqrsEd9ReBzkRja9GbikHJl8pY/7H+Pv38nT2LW7bC1dESbwMX9
OXn97JR1ozMkey4+hKETwCydqpfJ1ZOHMc31t9rtvv79+P4MubpQMkqyhW0AHQCNM+/8bJDvJV41
m6FEnPv/FcpdHR0AGiBImzpg+0UibqQZiY5CE+ym0fzncqQzRyGtWOAI0rZMAZTweB4bVQJZWry+
UNXpHpNiaVryxP/wH6JwBLK7JF5qzmo8CPFYVagAihY4YmzMEdFDBFHlf1jmXPckHqYrl011PBYV
ZaLvEf7B3wH9LqzHrbC5Dc0ua64svrOTRsOeMwJZBVKf40BTW8yF7Dkpanz7yptMB2JEagxS/PK0
nTuRpFRcvrrBzOnucZxaUbqIKjxftVrREHIV1OBUZv6vDHrgs+JEbK9EPLeHWQscuIo/kWP3OGKs
hSmdIbOCG+jIQ9p3r2RW3w2Ql7vLQzs3hY6wBKgHabhoJB8HAoITBoPNYRH6mrOlM+B6VkqV+HKU
37/3+JiAeqgsfPUQOFmuquMwIX5QXWrTFK9MrMKa3MRAZw7jXVmWAU3agpaQtA8+UKmDabeDBvQp
7zaIOoZXDkd9uT3WvwRhdGNZnLaty9XtMjaBG+pjAWEiCpM7mIH9vkL28Rl01LtAalAHmrLY1UlB
14Mlu0UXDr62s211GmjdpFVXcqDTtaX4vK5pCTJIB6jS8cwAPfCTxmkBKwZKfizcqYLFhEw2ULb4
O6om8/7ypzg9sIlnuFzmsD0N/n4cD8dSNQcVpye0o96j/mcAX/IRGEDEYVKvRTxU3uWIp0vsOOLq
26OfOGadzv06Ym60RfcSbWEUWq582LNR+KxLHunoYv1dLZudi6QQIrkaYD/bsTNAuTSwLo9lmZ3j
1cNYIGNLi0R++fvx7KGZY7kaFUkK6+6AaDp0JwmRfgCGTYcIKHFWh9HbUPrxU9NBG72yj859vN+H
KmhzHB3s1S0hu2CsKAkBtsry+j4eigJIbDe/g4ZS33cA23H0iPUrR8S1oKtTNq/ncZ4UVzxJtqSO
ULnaveELarFu1rwz+km1Hs0fP7oy2HM7Y8k1hSn4k8E5Hs/1WLpZldY5OyPS7a+t1o3dzlB9fMDc
RaCKkWvtl8tf9/TUVcu7l7vEIq/GJfM4YmcGQ05xBLVrqMSerPB+NrOYwkc+Xks6zyxXAP4G548t
BHf+alIT0LXJQA1zMw1oy2FL0u3H1v77VFrZCA3ovMBdQ9jrKcwnKvcIuQDpc8qBRgq654DQnsTC
qkprceVoObM5HAfdoOWj8cwSq6PFaoF6huFc4k8iGmS9tOxQUCe8W1SXd6Uj++dx0DS0FKaBUvvl
T3dmsRCRWgVrcHklrzamk4zuTM0OpwOtVZ+MsMh+loZd3RY13YpNGfr2lV1xZq1QMOfhSiw+IjWS
o8SXTEOSGSIlATsS5NuiPljqQEki0WtXDp0zG1D9fruSYP921jgO5ZbN1FhBSfoRAt6VoJlvERBA
5JGD6qb1HbSQ0qrprszoma9JyYE6ANc270xrtRnqsAL40hLV7CR61kBDl+p40dzZhdm9Hy2EhHNX
Yd4Y9dd2/snm+F0wskyU1gydS2o1tzYaEGUFeHYToD6Bzk5u7kkC+3eXl8zZKNRVfi9XdOmM42mF
Ei2bEWg6sjFghrYy6DUaUkY9T3+7VBgOEt+4xAp6DEqucqxspn84tuyLCHeMra53yUfVIJdpQLV8
+vsxca6QFLpLP1CsQiVWRCF7oT4nKh9LOmDa/NbjWuhcWZInq38ZElk3S4OKALv9eO6iOS7dQXQl
qz+ZvKacrHuBV8RtBQfoyqlyLhTC3ZjT8GDm2luFagdklOE0EopWB9L8kwaIb3oNCzHd/P3kkRSx
1RDsVQjOHQ+qytwwol2MhybuMrtaIwOFhF9dWQ0n+0qJ5YLhMmbyQHGsPhGg3wRXvZAiinAfXCxm
UYyAp4ptPBYtlX6DTv1NVlu3l8d2ZhZx41nqesR0jfU7fdKD0ogbNL0Hu19gX0g2FyM6BnjCza+X
Q53ZV7AvGB93DzVp0zyexryYEJaf4nKjZP/iOrm5yw2//PtVcRRk+RF/FG0cI8O6Cs1P4I+dv19I
PXi+9Bil6ur+8nDOfS/KlAyIogKjWT3F9HasMhwsyCkjG4c7CYuisZLuyegyFOjNobjFq9GaNwVC
a4fLoU8fK6wVWyf1gYqoL6+V41HOVRqnA64M8IcVo6yQSx9zBNZ9tPZ/kPi1Xj72lCMiWx248vQP
Vg2LL+rJXqCylRjWDcnHy7/p3Nflu0rb1CnbksAc/ySUDULdHVlIIEjfnE7T4AXK/koJ8FwQB+Nu
C74jRdV1BUFWwxw1pQ1bOaoRRJuGWLZeI1Qpr5xjy689yueZYCwNKWAZiuNlXXbxrSQX5sQyyuMc
KG+4GHoMIBLsHqE5bI7/fu5cyjzKdSx0PtdJCl0zyJc9tGF6eyAAgP7clhyy3n+IgoGERRbGDapW
x5gDM9uccHXaxE1WP6ApnO1GUNR//4mYNh5bHJh8qPXMJXmhJSriGMNQMXyfIsG81bGC/NuCFf0n
JKCoiJkwbF1jtdrcuddabdkAmFFm77JpNLzSz90rR/JpeWIJ4xg8M2ixLMvheFED0ylskTmYWEOV
esClysK+ZrjDCheLimLARiZ/KDXhs9Zh7lMGv5OqLG8uf7eTNI8foeMfT/eAEgn14eMfMVdgtdog
LRdAmqHvEmCF5i1+QxlSQN0wmNsR94rotu6Vce1Ze2Yb8EygF4h1G0hFc3XH4lZpCyyUQddnsYlF
gZDIf5XRgwknbtshUHst4JkNzl1kUG8n8aI3uVqjHWqsSP9yilhhCGC2wd3dobB7ZSecXnr68nKk
rAUBm1bmKoqe8l6Gg1iAQo6Cbeo6xe2Uz86t5SMlfvnjnc4goVyTbJUXEJfe6uNxVkpR28xgkdgR
mhBFCuxKzKH+WTWm/TMcMjCnl0MuH+X47KJtCzsNyz6OL8tZfTR4R5hXVItwJdI/nqUq+6XCYOR7
1TmpB1/Z+E65ZLwvQ7MgoTCat8vhT5erblJoMSS1f5Ile3UvZigGwwKh1gJJFvNs6fzEmeDNzimI
VCrPNh08zssRTxfNEpHXLE22pTS6muNmiGIAWRUWWZrBa7bquhu2Sn7lSy6LYjWtNKlNbjjWJ3fP
KooRt6ZtFViv1rFWz1scUaKv1TxllleXvoUgSb+4bLkLpMYB4HbtjjizZm36u1xLFm093GSOT4F6
LtGNcXAp01K/2tsYPLdQLPXwuWhqqMWXZ/TMwafzYLaUQ++BaV3vENPAjXxoBRtfNo9UvmDF+CqB
jF+n0KMAC31KzIzHOsL+iL4bGFqjU9E01eeQRKP82xen4sfwbGHg6neh/XjoRtogXVthgZZUIdu1
79rvgyTdzwWQqBRhsneN+6JXQfjXVxlx6a5TUgMwgDvmcVyBNKENc4YMb7KAMcJBNeeDQqa0uTLd
574t7zKcO00TLZ8FxPFn0prleeyDfMDJpun8zz2CLg58eYUWDIJczpXk8VwwnCOo61P9oVG3/Ps/
MuTWMkCXtwna2ZYUd/DGu/cDCsJeL4vh+fIyOnP4SUJgGU3tdVm4x6Fw9WrnGLdxGOHW9Cluwelh
L9QfkjxNb3gZlz8vxzsztEWCY8kOfze/V0PDSTDKOriAtOUcXM9CXtV1Dd4LLdprF9WZUC6daJJ/
hsayXJ1ykczKoGkRr1YTdK8N+rgdNtJzbt7q9HJz7/LAzpypLjmVtZxyAgCOeTyRoMplGnSo9eso
RJPlh2h2a9U4kPG7jfGznepeHCrumitvnHNxqUMS0lwwJuv2TAdQLgVASlx86OHxdwtXZEIhuc6j
8DOU/OLB7UPtSnJ3bm55/9IQJ/lyeC4ej7Z3eitrNUTKWKaT56OMhrFPVWwdp5FXjpYzK9TlnLNd
HOdNOi2riZ3NoQNDzQr1G9wC0m42DpOEqo5JDSr9eaA9XP6Q54bmoklKmwWWr3JWQ6sGB2qgC2+7
aCx5a2gz4huBXXxEPym9cqgsp9PqviJjM03QWsC5SEKOZ9GS4EuDyc83IohSOIlgkGPLDveXB3Q2
Cveubdi08ECMHUcRGSq5yPTBX4rTalf5iNCiHzpcKcmdnTZJgQIYBuVquTogm5DGnIR3DH/OHpFL
FTKdbuAmoGc/oYxTXTkiz60KCljLO4akgl23GhQe5nUXcR5rbfupb+enrICQKMmnNoikVVc+1Llo
5KALsopCtWWs1mCZY+VklmzueqqCuzyqoThDpLwV41jez8PcXRndmU/GiSyXc9kh5rq1i1tnOYyA
0jZw8uDezLDIey8okOK/MrAzX40QS92MUjEyrssP+eOmGUtLD1sEQDAE6Z3My0AwgFIvsAREPrz+
dHkhnplFJpEWJu1xpUgWjoP5oz7in4W+hFRwbjzaqtWPvLYW7TaN1zC9B0QWL4c8czpyYytyXYtL
m9v7OORcuOgRo4BLoTjyF6Ngz8JEatN0toalPNob8KoG73LMc3NKQsLbhSSdQuFqmLIEw1VLhll2
bdTfcoC26Q57J6RLkWhggv9DOFLepfBOlctYFSXDNtbKTKN2hJrCnUFLepdmiyyGhV3q5UjnJtPh
sIIRSWWLNPt4MrO2dtOwgV3QjnN7mCdbe5ylj4q/3VQ7bVTTnVNF/pf/EBRwEo9qSSltXUZAawkk
uIvsfzMwqgj8xudskp9D5Df3QqKoiImldSXmmeeZAgnIiSl41ZOvHA+0cWfqCCaMNV5KmFaF+R3u
YumXyQ/jH/hJZG9Y3aI1pIn61kCI5sqePH3FLM0pXCHJqMH9rje/sApnNFNYAZ0z6k+dAXUculHw
TfMr9HxcRMQav2reaWVz5eZbFubxdbRUSdkpdAUoKKybHRPyToVPkRIBCLt60vwAFfsJjsTlD3o6
vAVxhuAab+6l47ia3LDNNNycuc+zFqnaDeo59qPqZjwka3oge9tEmcvJA5ycfXrx1xANp2cQ0Re8
ETA+avnr27138i6K6DFuSOfDNzS0+tBDT7PI95Y/Fm8tvPNvl8d7ehxQpmQhcUvx1iejOF5McOwi
0lSOA2OE/sNf+J1Yw8EIXXd/OdK5mQUeplML4jlEunQcqdcKEekWCa8oUdvC+JLDhqYBcsSoOaYR
8sm5Pw9eiXRxckNtWv/ncvwzIyXZ5r76F5Pprr4sbwdDzSm3ZO4rmDjjJJRJWtpgq4o+FEY+l8Od
7lKTL0l/kxKjYrOusqcGnnE8tlBo0GGpfnKBeMkQJ56e+PqubVGRDrKpei0XBmE8mdaVZXy6WYhO
Kd0l+XaQgFoOyz9uzraTMukaogP3iu+R/hIbO8as5vIYz0dxQQDQ/Fng6sdRWKMu4G0MUihtq8WN
833vjtrtfwiCQiG7HnwrBYXjIA24OQ0oGRM5zOUjWHV/ohe+EKsuxzmz91y2AsvTQSaUwv1xHEXe
mA05znEBLlOeqoDaKx3zGkB6453rttpfp6TArMXS7ED7ESLieoEExlRUyyfStBhWTu+m723qXrsM
dvzj5aGdW4vgP8W/BUsqIcdDy+JI8N6auISdobkVcWVtKSZknjEN6W3Z1OKuou3/ZNdx+YpHbnll
K5zezEumyHuFer40TnDQdpr0YEJIvv0x0IxNRUXx0XJTHLvLKkHopO2zAKc1hEXqKwM/F1lnapeO
skuXcvVNC20u6TYjBKfPhXjlQ0QSVxc24rYLA/xZQnCBHwF32dcOuzOHDU96IA58YIrR67p/G0VI
MPY8AFAthMfNL7zt3Tn8qjtd8unyx12NkRoLd5VNQ4a7mGzg5F7UGyPSxmBp4BXdvDfTJH5jnK7z
Pp+C1P3c4JMT39JVn65VwVfbf4m8dOvAxFEkBhKy/Ps/DhkfhZBMWdAWxdDYnu6mzUFHkvHv7o1/
ozBChsdLAF7RcRRYPkNLbhl5UV1nm9F26kPXVuPBtXMLPWh0JmUDgtYGJre7PLPrIuZJ6NXlCGkq
E5Fpom5IT6ZVaYdv2KztCoHuTSUb8Z4man6XmNojBmTjvqLZ++R37bXtu1pMv38G0EOgOgCSydtX
q7guFh9xzFOxfwq6O7uS004EXb8vIpQHLg/53Cf9M9Tqk8rZdCY7w4amU5gOtibG7QYaXVc+6eqo
XQbEaSrd5eHDy2cNcYJZjLgDDiweRtIC2wwkM6Yo3MK3NVO4LVwiKZcylrD29q+H53DVLmchQDx6
f8dryZzQNLILFUAzxmyrHTX63KzgK1HODW+pmnDe8JQ8YYqVdmb61mCQurVwkb9T8EUSuzUxg73R
iyaf78upceSVxXry5ejmsw3oyoL157ZcrdW6bx1L83Nra1dtcCNqH6dU8LdXhnayFCmfK3IKCl48
PagAHE9gOFup4WtIQE4JvMx0wEIvjw34st1cX1mKZ0IBDlMUtEEDcUOuvlUJ7alODKWjrtaHO7/K
Z2/klvIShQ/X5WVx8sF0g8cU9AiHRgGJ/ypUl0aA/QtDR/JgCvC8N7EDj6tR7fQppB9kzMGVe+nc
2GDrcHKikmdSJzqeRhWjSYBUC4RtUYT6o2GXffUSta2hWZsGp6/2SkttlQDALGBFwMs0+cuhsr1K
B+NEYoLRDXy2RhSIFOflQfNn1Pk0J/jI9YvA59DhqoMdzcNg2sOV4Z6bX7JuHskLbgfxu+PhGojk
kPKGxpal6R60GRVAS9bUoYWG8qlViKe//Z5MKi1n7l4eHGA3j+MlEEc13J79La11ZxsgrIEMPH42
OsYPaCvaVyoPp1vvKNz6ZVMGULBj38LcO00w3ET8cFdFKPpdHtS5KGB2eHyTcFPVXk3i0IPlx29A
207G6H/CQH3YGJ1h/V3LipXCocXZyPm19HbWiUtaTGko+cfbibP4VYki92gelFcKX6djWSq9JPML
0m+pfx1/oHhOUQIfkaUqnSADTBjgrgEk6QoD4myUpTRDykm9Ys2uaQo0O0tXi70JJ5wDrHXUHQUi
GJe/y+le5owHtwQMGpImsN3jsVAh9zFqcJHY6hFICkMB4XTQ45vRp0f+H0K57CNO+oXSsUqFalx0
ZVAxoBiPHZqmoLwxpXA2o6YPV1bbSVaJbDBVeVIu4VC1OwlVLPRaRFu9Cq3fH3PSZc+2jV1fFduj
17iFdhdQJv0PUyk5Di3FM4F0ffmgfySUtEsrq+9onKi5qr/Mvm7fFq6t3ZJl+VdCna4N2v0kIgvf
gWqauXzVP0KJuUJts3MTrxzm4oCw5K/aRA328vc6nUQQKEA2aNdwtcj1wdCYKL5Y8EzRBHOmz10x
z15b5uPDQInpHf7W6bt81jBWuRz13NCIx/DoSnHHrA4KX04F9CakNEy9n28GC7RZWGbuX69FeonA
bIC3wb0iGziewMIRWa63YeyJDrW8A7LnjbHHECvJbqrMaNvby4NalvYf1T/OJcKBByEdgH+O6NJx
OBt1lKRCtszT3C56zJIO4S/02baZVRpo58c+cr+Db95YYet/uxz63Hyy53i/wlyHEL3a4OPclJo2
jovGuRw92RnJQ9LiofcfolC65jjUl37i8iv+WJB23FE6820soIy+35tlkez1Sr9WvT29iXlHgD2h
cwidnPficRTEUqyqmjG69ecKVy6UwZ5yO0q9gPcq0k8D1reXh3V6OgJaor39u1xNNrfaZ60GBlOv
+hifEdfZ23k832IzTRG1gJhzjUt+Zr8dBVuNLmwtS+sdpE5dhxSjbXX6Uo5WuDe8R9p9D7T8oXea
Jruyzc9MKgeyRIRikWoA5nY8qSoXk6OCKvaaFoMVbMYclMJo+rsS+WLVhDeJVeBhd3liz42VWji1
t6XOQKZ8HLTwsQxGgSLyMnwffWCmZRfNWwdtHTTFktEZ1RZ5o344BF0FsPdy8DNfVUIzB0dE5YGv
ahwHt5xhaJquyxbjNX1LPcl/xvEIxR6z6H9cDnVm99E9+g2hhR0n1u8aoZcB8DoUzEPYG7swx5gs
H9R85TS7EmXNX247B/vnsM88APzOttdxNkln9fPyUE5mjW9FZ5EXL41aSrOrWRt5t9FQjAvPTjTU
cimAe0jUDodw0uWXy6FOjks62AvkQtGiAZqwnrW8zmtMU7PKiwvbfPZBY/m30TzBlPYKvxbK4y4f
8OazBkpwb/GAIceV9Unb9GS8HGPAI0mOl59CO+N4ldCrTqBn4hY/2SKBga7NZmqkj32K4zU6tZnV
AHSXETq/qCW7dROnG+FmQiZbnXadX+1UJPRMR8vPnMJvUQL+wrodUrfUXkInd8r2iz8lcR5jCt43
2s8cOWLf3SJh62vxJkr6HPM5MQQ4tG7DCac+4eH40OKr3iJnbz73mE/gLyjDcFj+/yEGaK/ogmbt
LzznyuHLbMzSfI8VVZ39rBILfTwDMWJ9F2tFVKEOrbdxdoeiZISxdSxjGmJxP30dw7ylKc7rVSTO
nsvX77aTnvQD6n+8zLj308lA6x2HSPeFAoth3UMQasRPhZeZ+pzwH5rxpoCRpeNO4fZGsGtyoFi4
AaMtr+7Dyua9Tfs0Hz7p2NnA2UTIyvcx7SjwmI2nVtWfR8us4w91YWvmDf6ePuU5xlLYr8gHo03o
0Seho461wQDze7fIyaMiJhFpqcRNHTY43bVZHPNxUn6Ag6UabSlnm6lKZYjYlr7witA3p48UHPX8
Z1rm0ogOLeo0X6qGRzuOynVRau/ByBY+jn3o6e6qTsfkKrT7hp8qQZN81bsADUH07vJ8/lQiHonE
eoAD8G5sBMb0HQ7I8VOzSNJknmZqnfpiY13fvJVdnaLJTokn71AQjCm2YscepzUmmpqv9JvQNNrx
o4zGNuEJE8wI+6LWLjQL/VGj7uYvEiWf4HOEjValYQXtD316m3Z9Fz45YVdCl3FCyixPw+AgH7pp
02BYXEMhR5HgR5Mciy+1wyuXilVeqvZlntB9xWakt2ftyW3MAGE87m/82jJNc4PGm4c6xnw07oXd
fSokVId/jHm2cGzJjQZV620Y9A7ihnzuWsd9oquKGmcuVeAStmnZyOo59heFsKwrpTsfpgAzldfW
yPQE/V3W7cB9mnbO8MYp1hsCGV8rmR+rzgX6eNAatXh1GHFeY8iK34fZ4f/gzob/T1PnBrrIsS+b
xZ4Bbx7x1bWmuYHFbo1z3eNrqFXTaxmqWb8bjNKaP1t53QWfTIzj8mfYi2Pq4bSOlCf1ldnZuKL1
c0TFokm8y9zAh5lPEX5+STUQI9B5O0nweqichyIsKsTcJhqe+wKlS8PeArVrQuHBJkKw7KaaUvqd
GxTRp+k1tzI26j4Tk0Rf1EnEDCwkRx6sFvdmbWSl2s6+3abDIQ8120m3AmlnDZ0yDEvJEDsN/ij+
in3WzT/tUKNz5flhA/JnoxeTKKw9sKDcxfNR1+YJtW8x58MrqEotDhCFZRwPhhGgrI+pRA0UGT1a
N0i+2VU94nftBGIWHyVZNqawxTD5CsdHtInBOHDA2t2PLMbiFZc8I1B1t13QFk1z5+g8d9r3SSHQ
GcQ/KA3L7lCP8ISbbc+LxJFeaUrffsjNWGZY97pRmIe3Lad1DC5aV7DxTORscA+yNK1MEPwc3NK4
xQ6K4+uzn9pT133ME7PCtbzJlTPon2u/AK5Ehu5iJ7T0ITXnHQzCcbx3AQo1xq4MZgzl0frt9F3T
TCgEoa88xPVjFiN1dVOhJBJhEJi1BXbOCqE49RM3YHod+xaF9F9IZg7OvS6SRrw5kdEUz7jHiQqk
HwAlwIZwWIufhsmZvDF6soXtMOJ2cS9k6fjPE6/z7kW0RZ0eMA+Xxj1JCFhZMYbad6fN0DqKOhQW
a39OD4Pt66g5DFWgb6BUBO+kb4QfFGyDvYGQ3Qd6aSV9nsxRjf3sRnaGcqms69HY0H4uwg+y7Aco
w6VZWdpXw2ym8gdjisyvrYzRwLQhIKkDP4vGgx4m3bRtxzw1D0CsRXrfTLlve3IgaUdyWRnVV7Mz
XHydtCyrMK+1E5V+NJIorR50bmD/ERnAEZ1N0ZZfZ4uq4kuQYynxw5kjN3uKE811ntpKzOor+J+q
2KOpGzleqJf9dCB3RZi4R4savfJKy/x/Ckie9SNQ1Sjbj0E0qu8sWfTdMYgH4vJUSyPPf2L3Hku4
hjXzsCvmvjb/iayeXBGvxtpgVbNGxPiE5qCdf1mE6+NPOR6g810I1rZJAKT6afLiIwYpkPcdGtk4
e2HXwajfjDz2fFydBjeuf+HUNIh/+sSq8mETtrqFb3jTapbx3ajHsTOh0+cjarWwMno0S5FWWYw4
lAoj5JmHIlyQqHVoVsgdS9wP8n+cDju3dFO4VQNRNwyMVn2rsJsrX3AXziIupYKFHm5Ag83S2CYF
fhWgUfQua1EYDdyxPri4g0JIV9h2vIs0Gz0FwDGdhRr0yHkO3KHpXjOwoBDuJLr5HI16om8T0Bfg
KvUCQwN7LCKgRBhIW+7LGNAsffEHLfuJ2GSM8Y+V9gk171J/0TXqdVuTtWhunSqosx9NN7sfAXV1
Odq9IhyfZD6gxcr+8h+S0AzzLadP9RXJ737YNGafvDYAeT6i5x7/lJHdZjdlMZpP5TDIJ7ioARYs
XAuvgQvXFxZiI+/yoQq7T2QKLoX30FbZoZqR1zigiuO3O+H41rg1C1XbN3MjAJMA8c1eCt3hY02z
dlvXk9A9Kpah2IQl8gdbwHdoE9gVHpL7WNr+g7AF7nBlls7fIo37+7ZsDdwIyrAZbuK4bbNdjTf4
XrqTbu0tkQcHXj6IUpRTUgqAbH4VeiWGC2LbAxRHlZJ85TAwjlcT/GW6rXzumK2d9HyUaErRJOpB
srbbqR46RPCj3sETuHdBppGTqADtonHovWjSmvEuQMBkQnU+d26SrG5HtGUGV8fgj2tooy+hsO8z
EnAeeufj7KkXUvPM0UBBElXi8CPHnfGlMQsEgY1JNZ+t2Ak+28Ho/wohrT/pNeoazIiGZCd2BQBw
hFMjAA8tXQ0b5TYkq6gPlfIBmeExeSqKOW8OhoV5zO1YwMvZd2ZrjJ8TSO6VZ1WOFuER0eDcmRQs
TdmoDG+gyRXFNua/+bB8B8rhE2Z22CX7hoGCNFJknjWTi4BFnDDI4CeiMS3zzvimBju7D1D2HD3Q
zEgMw8RBURQznApC+xzFbwWfBhOlIdX2ZvRbYxP5hD21yzIHe5clxpYXVbbHxIT/SQ2YHDxIXGTZ
zVgPXjAkiv0bK/AHA6V0XBg2MnZVsVV6Wn5IUulih2fEqNyoppMt5q+NgI6k5kRtirkpKDX1oHk3
mq2HFls/E/Zu7rLy4+A0mf0pS1Aa3iKFHrcb9FBRjk/QIB3f2U5Qwr4OTIXHbTA4ulfwPcv31SyM
myKIMwqBZorLajZqFtklJn5YncAG6lHpbznM8COx0n2e9doHAwBX8V0vkglbZc7MTSUR3fXCoOKP
NRMHkdOe7De9lcjXB6DDc+depbiTHdyUM5zUHaupf9CHH4d/JBI6XzM0ZJMPMYLOppc3StWLQ4dg
LLg3oEUKtWOTDzSw7vArs18Me0KZPvfB/m9D3CM+zk6QC7y0qvF+7LEc2PQDbjDbfsbQ0pOFFYzY
xWNtg3cltodTZRhvjaXChwjFY2vTCjNoOQxVjIus33MwDrNufa4NMb1pRYKdsNZbkf7R6LBN2NhA
G7KvSV31VMqSpu3y92xLbKLAwHPzSR+N/8eQvPZ57jQLY5HCwKhXtzu1LVCbnDdNUiSBFwSocd/w
qex+P3fh0LBUc/Wxh2KCgvYYtf4moEsc3kSDVkmsJIIh2fRQl5y93/oUiGfNz8JNWIz6V2tAE59X
nh3i7sgS2SmzB2vqj6F/mI1eoHVjB0F20Minyy9hbA6b0nWSaIvVCmcXPWEnyTYDtMjspobj+kgl
zsDoe257/bZyWmSLK403C/tLRlp/AKU0xje55dblPbkKr7aEzxLfUGTgzxFxZzdeMy7y8ZBWwi80
1jEs1OfgZ1gWw0+0YMJvGFunD7kNAhA0hVY+zjGmPrmvpaOH/YT1tTNzgdNeYubPdaLhWhln2Hns
nVGmJAXCV5pnk1CYB6mPenJr4ij37Eck3zP68XXWbuc2Nz/W8OqmHayj0gv9WHIXaNxamDTZCFn5
qeVGJIPY92z71JSP5hSjizFDYFJ7cPkClz2ndsbPca7c5La1EtLhthfObk577qENTi9mu0P8GJsF
qWnhaxzAa99A+hPZc9xNQ+P1WeWbB47iYtHn9aH1mrMsNg5ONBsLr0WstkSgfonaGH+JVlO/Gsvm
ZdvHfjVtO9FhPcTNwn0GqC6NcO3KjJ1v8zwH77JoR456Vn0bhgF2Cw6HGT4jajbx4nZ4A7VKT0iR
tfqz6zsF3jyTZt6hfJ4e6Jm60ZYed10hA0JNeA9bJSmxWvHBX4Rhpb/0OHewXYo5eJN5ObyXs+V/
U+2E2bdpdE9KU0NyKMl4AGli9AkrOqPjtYviuNoPVtZEO6Uj+407ZDS9GxDmF/vUGsbvDuqkycbG
LPEHjthFhr5MbkrPHw3nkAoYMhRugvlbI6w+5eZ08/EGz0Hz+zBYnQOPZyq+lRwe887p3PidERvi
F1z+4X2v4Ye9N6tGfuvRu34ObYQzoDGmzV0nke1m23ac7xNoif4mBXg7edUQZb/GSmjf8WaOsZvE
Ne1TVLQowjQYkYYfYnT26Z1mff6Pnjb1tB0mlWAMpFkplYIx7e61bCxrHghT9SuQlv82mWXw1HGF
P2JH0b6Gre3iucKs/XCqtr4fM0y4PJXzzTdgfTDAThONPDBNw4WqazUUEYU1pSNd1LB7r2qe4YtV
b8uragqXZ4JrR4+6kY35vhSRTX1eR95o3+MZixd1FdnOAcyH/irbxMYbI2o0RAVstrsB1dKhUMUb
Ho/3kZ1sOaPDq5TGu0v/SZvUbjBHaBvJOBZ3M41fa48LXDDvjKoFMNJabXtwYuYa/cusldsCz84A
p2yHReb3lvXBr9zwhTpo+jwYHXUgHn4dLvWlqsTGR4RBbjLpjh+T/+HszJbjRpKl/URphiWx3QJV
xV1cRFGkbmAkpca+JRJAJp7+fHX+m2lNW8vOfzdmPd3FQiUiI9w93Nsi+LUOSXu3zdVcXDN3EOSX
xDQxJ2W6WGfNcqZznNwtrtwpavXJmCR55k4fqsMaVP1NHTqrvlJDG/4YVl/cmVrswcmNy/J7QcO6
XEeFSp7KJLek0c2kQ9ICkg9P2vg0HWPXRM3l5Mq+zgo5yp/YihtkOH3e3shd7SSwLqPOVDCHfZZ7
Vmyp5Ze56GBbt9O6lvsrtKo1t1SLoDslXuMdOxnrLZtQGNDOjgXDXc6X5+nYxL4C+/nPQeMXXxvF
cm9aadCltBD0AAevsc5fLYGON6z4nUs46FV4Ums1RhmbM/oh0nbFxxeFGA9g38IM013nHgc230A4
7SHu8UQGYUxP2x5kopXOVbBufM2ExQdcKLuNbHLeZ/kJp5l/c0Y5f5dI6H/AUdibol1qpIFlm3yP
t3X4CRLYPqhl7D7qYPevBr6myiDfGH8NnBE2Gej8UaFtSX5FAmwb87mL5USJXG9HnO1XL3VlPvFk
qRngIF4wP7U4iTDse0gjqJ7R9LAypZJwkqvaRaUjgh+rnYO7KKzVe1s18rsfCVli09HqD+IZ8DE3
BK742dwNIbZwQd16qVrm+J0kWprkpUyK2z2YDPmoPMS7fGmcinUqs9xiKUqT4riLe7B51A6sck0i
TC1zx5sIyuotrkLJ3+2NrIGg3hgu5FjnTWpXRagDJvTUa58Qtuki7wQJxLF7jkCGnNWkXHlkmM3l
EC9HuibbZ3Le61ek+fmDt4TbmnbMR3uG6JKuDcZ1uOzDc4brOobRkBU+S/rXsbLqHQs2SShHIqnd
Yu8fh14TsVb4rr1KmqJ5HnU9fGpk1XdsRgz2VIUVMY0DzhevzOydTj1uYBb+q8l9ateeKyAv8bik
xIbRo+md6Pvij4xyKIflS7muXB3bQG7eIVSNaa+1Q2xTixcrV1jvD8vB713xWsUDlnHMDDkDaSzx
kZrpWm474unmdJTtRHDu5IQfghiz4lhOW3vp10zEWVs0zX3vM0+AA8GiX7T42d+qHXOEi1wk7lU8
N9GvopP9NZp5uph2pcVwdWyeQZaj6YD0ON8yE4u4PMTBiJS9BRDD15Jd+bsK8ulzI6cyPGk9eKcg
XOnoe13vVeYpNb8505Y8hMjrUL332JCkTdC1KktwhLyB2ByCFPK0+oqLjx6zUfdee6rmld4rxrOK
SB2/6MjNFtGWddvo75mWrrmVcWETrkJdPcW1naK0G3UVnfx4cU/8xuNO58Z6c+fN4g0JFSvuLLp7
8yFog/m2ZSNuu2ygqJ4jsanyGgt4LseStrpMqUXikhg2s144xRgRPBvEbKYHBUVGApZd526738+a
pL/jbsrmxvZWEd+kAuunibDzfbWF3Gp9VEBqksrdX1YRRNFxb4LyNcjH/X1KjDMd+A2b28VozyVq
ceZwt03efdeiGT+SrpVFFtKhfEIykGEebbo8MDP3X7Sxon1wsF/QxRPJUroiq8DXyhLvVqk317eE
LVAB5PJF5oRWHuI+nuxHswuHFPVG8xaIWPMrOLTqTIbkEPikLicRa82VSj7DoFL9cVLzvr1t+eJ+
jSESyQZySl6cfV1eiVVJPrtlaMtTTNzxCz7q8vsyiFplmy+6N6IzSXJwmLi/EYRAFtYUJsPJVSGn
NAmXrT0KIkCIy1hyQocUWDdRtb1099uiTehZdsbir6GcgRdd4+EG4ANgt4dqbAhWxPOWPM44rglP
Q+3UfW0MZgk4qe+E0hpVmjcta9pQL3L7iFjCc47nsE58NHFHhHk4uyVEGEERs6xt7ZR1IHrVkY38
DjkOnNC7sGsYF5/tfoYUrDNNj3Et4vjoxchdsm2b7JaRb9SDTEULSVLCmp1ESDuqMRtguP/ybORg
OszvUHmXAYGNPyby7N00j5bJz8CYGWss6XAgPSIcxutZeqLFKNTHYZ8lAMqRUmPZkTW6Bw9LvTW3
qyM29jb0xihU7GHIfGUUnvKl0sTRex49BvKbwme0HDsFMM5C31OtFrIlin0dvrh+Td9m693pTjuo
r8zCvgofuxYNQWrsMoK4NV30BUc8giL1GC4/0RSZJQUMccYDctaepCklSgCrMSkeVosZTgpQ0jgX
K7rZ7RAYvFazoEtixdHx5F2b5/NTIpneM21JHj2X7/a9MnKhTMPP869XdNOpyN312dtlcj92RpsL
JPr1w9wXrncI8IV41Alujthuawzg+3DzoKvccqETcGZy7k5LAmT00pV1sR92QkLdbBj6aidQpGFU
C7gGuzRmecgcx11gqilagkpuKhW7l2ocNUnPaDieS06VRkvUxiVYhRwKinHFC1WxL1GkZpgbBtEw
KC6Wwo/3Ay7CI1RmXhOVF+MNnmfhkpt32bfauSiZUq/AVP37IdpCEvgSuVC3Cm2zmQMUpUHb7s6p
2YtmP6jcW5+3QHSCMJrKkmJCGY/OaZFRl43diOzbTrUxMRIMf0dYe48UtvlCqk4ZZJDB20S3v8V3
kETqW464+BxNBxSSVmrbQf1cDRFQbdOOdi6fkVu6FXdT68r2Q5TVDigpk+Y5R5UwHrtIkNgumA8e
ElPTOYWer8rUceYdnJn8xqvc95BKaAMtkwasVPWHiM5VZQscX8cvuQ8MAEYGKgvqUX5NCP/eU5fN
xycoHxcIY3IXGqFlaYhJi+GkbKTHh6Wi5T2QYdFcdU1Jj7EWgpCkdSvXDy+3DnnQ3jbe1k3Xulee
zsWz2qX/iOx379JA5wkIK9nA6tjB9t3tQwAAVhaB/va/JEOaEEb5y1uUuRd9rl9EPkztMVFT/Ssg
ghHfttXsH5sV6t63fflrGrDtYDjw8/vR9iElKB+8l7WVuOuuoE+XkTd4n/lCyeOrcsbgRfflsJhe
/Yh6ATC/78QLpiSYtawhY9+Cm1odHLnn5D0M2vzEqErKuV8E9hXJgvjRw0xwkSWEAKft4or6DvtS
+KRCT+vX0calvYj8nRSE0YvUL+Xg00K3Hv4SeEg6GcNo/MXzthqkV5n5mzAdnXWpF+eurc+VxpRl
/kjGqiAZSLvrDeQIG7eofSOR5tXshncm2GUINdO1j8a19Lt8ZH/vGRHidrhy38XRSrFSLCY+kUJf
TzdzHnkGgqlbg0MRkZ0GkoFe43KZJPZYAa4qwUG7vf2LJ3QuVrSaTTYCp76QkwVY2ixMW2kggT2K
LbTBJZegC67d5RDh3t4Nj83ZXeCU9J69pez5RF3hO0RMeiyGv4iDlTIjdHliFF794ak2yUygXoe7
yCmRPUYvnqncR0UL4mQhSq2HmfZfUQ7iEvKJ5Y2FbXhDxrYmPTYgBbwb17Sh1rGStJKifiXZzfsV
BzXZQJ27yC7jkNjXdanFc+ESwA0VrNR73+SgtSsW/k26mHV8CHFG/VTcPPcgze4DxsGDR+YUmepA
dl1DEseZITZ176rvOcifc1H7dnnoHDKSb/JQ73s68XqF5Bids5xrcbavNnDkx26e6eX9uErIjtSE
KWSoecuPvgGbZVVTMdAK1TTQRGNTPnhswC5HpVd1LPIZit/Ihvzwzno0Fap1wscG/hS3/72gVxg8
b/hwGojpYz9TijNbG05sPDjRX5pgqSdpl3W+GeNzprxl48XNojUw7+DgkcxmlMgXIT64JSljaMjP
15wZoZoGn/ZvKMDtsJ7x8gxYd3+tzeq+2eYcgLp6jbhh0X34FUYbwDOW3Xi9Eis3fV/aaI0QEnRw
+EERTVfdLPgvd2qdaGll1AbZ1MTBX/AeAWwHKoIzWdyxZ9XLmTELh3fnE+wEWLynqK1ZA33o3VrV
Od9aISH+RbEHVbZVsPzgyDlkfFSC/x7wjxuems23HwYh8htfiMAWhg0S1yJbE1Qsp3XWFxsm/NcA
Ps6WDhyhr3RLPVIyPxdONsS78C+sq/03J+irFySy5Y8FbPYNh0+3vICn7l6mugp+qX0oTUrT44D5
w819jMMk70wST5s6BmvifqIeHwnBy2sW/0nbkM2V07Tb934vVHDtlX2uDho1CAcZ5+a/eB/NBHo4
wRNXa2tp8VDeTMewEeV4nFUlb2YcJqCbTC9/5X4HEuAOMYl9igDdU1TtaAurJXAEE8Mg5uKuCOqO
7wwzIDLDebWnYVl88vf47a57d3DgklnC/NWMm34c+52mVuRzHmQWuNo/Bn1g6mx0Wt+52fNW5Slm
RMGb8AyMUF/Enj7VDLBPUSPcMUsCIexVpUrvmVAY3AAct6Q3iAZ8Wwbtgs4U5z4gLfJ8vG97f2wp
7lv/VSjoMW7pGlfi3R2jR2cO1+K0Cd39iEa6o4zcdYkQQhQB95nXjs96MsFP1PPgM32zDFGqNNsw
8lXiXuje+dZ6+22jZCWI6SXqlyspiO4RdI/NIeYe3g+ljieKkggW1upIY+9PBVku7UXeTlF941E+
QJ7LSbtHmajqmXRvC9wTbKI6DuiSWN8qPWDlUYd75tkFPbHb7A2pd0wOaYeHRcG/rvZD2Hu7Trki
4TgWbppfZBrH8gDj416HW5c37L4l4XXYxMIA6G/ma8mjfBn3ncVmUyfVkImG2petpVfidtwP03gC
Eioe5vLsydFuofsinHL5zlYLr1+/5AhQbDea+VDKeJYkc49IMcj49a7mmvfvHZ0ABVJGPUSX51Ns
G9osXs7eU2PqVkAMGJogcMUrcWaIrcJJExPUuf5Fq/Fv4jaI8qM0DBGpbGxy6ldNXFqAgWuYxsYx
VVqsuBFlbQ+gehnbMPg1BlP5vaeklDyEaLkaXFqiQ4wGSj7tTbvcWukM1S3dWXi7jU7UXwRrT5Zy
EHSIaugcQGtcdyXpkbgYAQCzFxyeMgiGt9UufJGJVODHjqHru2EmYA9GDJga7PGYf2viYrRsUe4R
MiCujvoI1atuxpE25dSBqRNnN1q1sDLrqy/usg2fohVBdWNYx75k43r5DFeWuhyvXKYvQPdwXppl
SEtRmsK/krWrflq41V8t6OuLHEOkE/mIi0/mNwXdm55ozQ/VOsp7jdwDhRgcLN5JqzVQDqts2IrA
kxyjzU29R/VAEVxK0HJuEh0RkNpUJOTVW8TR1/HYy7QvZ/mSID16L1vXvDhTFC9p5/Xmvcef2j3U
5Soe6Sf2F11P/PFR3H2TclEvjRmcJKVWuzWLQuhOUI5JwgJbW4wV++RhvzO77TNhiZi+ADVgJw/M
NUYqTt3FyPfA1fIbq0jLoxQMqOkcr/On5xQ9/QhD0Eh2cKeuOr4gLV2++DcVLWmYtZivkjpcYpmN
waePC+46IrLg1e/GC+7C8iOSW6BxtrbkoItpqsKDRAlDSjcP0M3QBEe8qznnIKs8v0LEjE8Y/PmI
YCs912T2Y/iBZapImLrtY+BOGLlmfMHepv3ZmFUN7B3s7X3f0nke7VqM0FrQu90hqVdpTqaG1p5M
2E2ZjRrJN8vZlDzuORcM3HhsfoyN07wzELC7XXVif/Zc6yxkP0/bsyxs/UR4IQkhnrvBwnF9DGOG
XgNmuo018Y06n7500vO/qZ5J/xHYyZfZhPLqh0Xn+lYMtvs6hw0tNnrwGk1YlfsvJVnNbN3byv8i
oLnLy6EvpvdyHc4KRGaQJt2wbtMXi9MTf76e0+LRQS01dBJk4nMYImqpSzS/6Tb1+tfKtsePkBG0
oN/weT+JFkdUZXx3t2kZG4n2KmmWMPPKOXisoj1gfupwoU6XxXMfjb+Zx45sshG4UtbvqOgYPKxe
fxpiaLqUfHpO7jzLarjcx6Z/HSCBOcRJa6pMAAY4KXxBmRByCfSGn2dT3pWsFESZkp7i7t34l07E
7i4lsRElgHjrCNteyi5HLDQXRj8Wc46soj5L7VMpt9KiQVvEK/N4e+8HwNs87Vrcj0oXDyzuYJKb
u7288lwN7qvOsiResiDACLIZlvgQAaS9ACSOb06BMccxclqw2FVV7hd0kn2YsV0CWMWMFpL2WLuR
zaitCDZot/pHu5DfchCTz49caujjA8eeXZYCld6rKP3RHPzSOpebgHKnbhfmPR6D/Dmgc+E5hWL5
cP0dZh+nzooMGDewDOdiK1/cvArya6xXt/t+whnmxPGnmCHH434cAoTcsK7kzdOt+wqMqRtDrgc7
qFshqSdppAvdHHQrpz0Voc3vybdcn1Yv1h+r1FJdurhz3PQEVxq6tSGHipTBO9jdRsmLVHE5+GzS
g79Ww4WzTah5jBTjDV91Rs4QeWWZWYS7v6pwQ9IicoNnk9OFf42ybMOjUGv/fi4JTGbwHAQf0D1c
RbnpsC+EI32b4s1l46H0i55bScRAMuASX1rFegGSmDD/skctgX474Bv6g3If1kOSD8VIGySr6z3o
Qa3HHD0+oAWKj9MkbPOlSQYuzG7qNo/jo/zrJoBnwtvGGVrmprB5crSpP7dhj36UaMARYZa+833e
JwahoMVdR5oShU3hOSwXFguJrymrlf53TiFZoK73afK5JfK9H+nwooqePNpjD+fHvnUua29Ew2R2
iE2KdD2VxzqmTU9XwfSZ1lB0CIySzSNxvSvjI452rH2HvfDfewRwVCifq7fuV+eynCdeCcD+5GH2
Rv9hBHXuD/nmb2+Tx03J4ZPbh9eTBZQifApv1hm9V9onQ/WyWSgycKgtuGPzeeOEI6gsjwtiPoUH
1CiZ4KMG5iJUrnPND6fQZzRGPDeJKRCvnUWHQ0BU1cU6rRVFNu/fFOuxr5s/D196pzL+Zd2OzqkX
RssLCurUZJEedClRSgADEgoEhtCu100P5+me2UN0dHHKBr6/Xpok6OAYuiqcMyU8AF4SWlh2wDIf
Snv1G94nfoRcoV3SQQjZscZ3DcGxLbgpkPgdW2wgBr1pwohkIIUmFygChIK7otTHdYxa/0QCDTB2
vfjqdai97RfrV2WI8xYs86HWdvrKHq1obxH3Vjc11aLLou08ScEr80cgkamKNKLfesVvVNyw4w11
He1b/S5Luf2C1+NTVTM3yQGsqo3vlewAgQk43JkB8LmFae3jQH1n8W4MbspgqL4hNNCaJmsdF2Qy
lUAnYlhBajJFlLe6LIDR5lsWhee7FXH5ksVAXPslAYljVd7DrxrvGVXF/kGztaKBN5HM5xddNKyD
HBVWW9GVgL5/x817ezWFb5YLePh4OCRMwugqFoELJDM1gHYR7eItwfoMe644TL6US5OUKMDKmIZ6
GL7OUPeIqZzK+RBIIvrDXjVBfkQQkiCHYhztDnJGFwS7fX4B5GIxJfT6eJ2yWIk5pKuOUJfB7iXP
epjix33xNweCcudrsns9XaCu3e72dd6B3HYqwwEyZHkqEEovcEJuM4Fjxs1LNUBNHZZhUHjuoPyj
sWw6Cz48B5Qc5TYM+jFiEBeZmNYaLYooG2gFwbGBs8WusRn3KL+cwJMr7I9oarPB8aAJod368ITf
11gcayzT4hNofcPd5HvQcRLpOC5NinSKrFerB1Hli+IrDeO2HkvWQq8xjXFBVZxeCAbimeO7GQcv
g6nubJ42lvIOdwjIc4X7NwM0IpMIPddeu+9B4zUsDvfYZeKqujbm0Pmr/FnuPTVQVMTRpMLvwGWT
Gt1vulCsn1Q7td8QI/rjkUnevKxF2ZVXgmYbPqMa/ceo8HDSMu7IidRhr12YQte922ho3qd6jb9i
C5wgOCImKT+2yc4O6e4Tvq3iyvtRDl4UHOraOFd7UAzjvUoG9bjZPnDQa8So1odzO9/lfqMy6Swo
wejCBSvXfTh/78uW2bbG/pMij3AzP4CGy0fKAbwRW2bIcP2+FQLBm1geKFP7mvl1g65xrIU+bdP/
3gNSEyY+OIO+ozTCDaMdyl/ZvmgvrQysOSBygBJE2jO9WTbk5sOEyG26JqbF+aswfexfOAJcLwMa
cLlKnLC2B4qLiI/u5jNyYjCuf3aFN2800U3xgpfu+mhLtXLDjGHxXk7V/pebw5acGpU0HwmXtDqG
vFiwD1MdT1jN1BFaUEubmXHiIbhlKXhv2Fyg2WPcbj7B5fv3YYyqLXWxgH+BuQWX2WZt74ZhS97Z
vULBA0scTCD/e41M2Rfxz7bu9o+KeYpv5bbo2JYuWmVWV3WgzxResGZOFbU/KjxciQhyd4wEJOgc
TGd13uOY1wSBaD/sHYITx+HHL6DqrufNejp1Ig9tPZZYokRZVBfqGI8JUmvuFjKV4kLuRQYJO30h
78yxh8gJndug6AkVqNytHS7oGZvv00BVpolDbrR4I6UfkWP3icS0fmB7V6MtrLxOHFGB5w+a+lRm
tPYuoxkR8F899OHfRvia54AwynfJ7XjbDa3/VLe+7B+neluw1Emq1V568Wq+zuVMuPq4Kx+7n7HV
+YUd/PppGf0ZtGmzLKpYZwdhpHfBHHX34iY+MhmJ8FjJgRHRzFOoDp7mrTkWujLUx2RT/VUvjbew
dLzJOAFPDagPga/5xyUrPJ9jtY8iw9VswKuhdm39EQ+IJS5YUlvzu5W5BhFXlK9PBq3cL8k4wE/t
OhtBTgX4ei5LJGQW1QuSBu20H5sy+XNOd/8T86cztGrNJikE9IBH1m/8N3ZAUHcQFi/fpspwkSvt
JhdTuzUwq2wFdZcGTecT88lIrnHtzUjmAxaCNpdI8mxuWX1MG89rW1QlACOHPGc1hj4yih7Ao+k2
AzYBbmqF5O5QEWgZQxgsXE8IavwXz07Vh4lR82ZtG9HlsuWopmxy4vyhryXaomFraHKhWsvmNPhd
+FV0HuKdhbW9h1m4es+mOF9YuYxDFExj5AzPXhWpH0jNdnEykVUXJavB+yEupvyaIyXbY6M6OtNW
+P2jG+v4iWTF4S32p0CcVoQEvxa3Mh9rCd0EyFLLL/MumqfZbjynjfPwPkKuG+bNbbpSLF2tRxef
d53xdznPck/GSyPqHEEM4OnPuamKNzsW9Y9OW/9bx9D7c5lMV0HHcuZSz++ETQt02YBJAU4d6YwO
/nvbws64TZeD4XbrDiEfxeMFWvvJy5iRioHbEB6Olhlxfrr4uKQdC6WjL7oOhKGAt24ACljXr2ps
quckb5IHCESwly3Pd3GGusyQxqFgycVUkiHAUu/eaSUYQDz0likRrvyOrFjlH2EJaHGak6mWB4sq
IkHxpe213MMO6wvnfO/UztRWR7mWALQt2g7/6HZxdH+eQANKzbJfzcNcqCxfCNU54ODk3c7rLr8V
DbUtxUizIp6IYeUUq5EmB+tm9deGK8xtNXXaO6zKgTmvYvYLUiyMzJoFeiradN2teMWrjl/eWAzR
42p3n30T4dcyocD0+P1o3NKtGTxWcJo+edRNvgcpY3tJK5G7Lq+J44lvW+Xv3/JqXVyk4WfEmWyE
5V3Wsz9l+wYik+3kT+RnH0ML9QZ69NDxqwqEtAzYqfUj947FMfUlTgqkx5Hb0e8XEtvtA4zRZqj/
EPXebCF9d9Ns+QnJqCwuW3dOHkVf4nKRJHD3N/66wWtAjM+HXFs7s2xBB3Dl1TIR6awJWNa9Ekyo
GgL+yAjb1ywk1sPw6FkXgQDqsZl1mpzjBE2yLsfJlHY8KMe4Mot3VqMz4yzL++pvYjtui3LrU1Im
DW9amYT0X0hRd4R0RVEfXMDB6qcpgGiOyy7cNesG9vBp12yD+CKZvOoa97Gku9vWKn4IqqadDv66
tyxsDajt7ln+gd5e2FjgYUx+99Ntenc+2XLPzcEawKtTUdIuH1yeojrslHY6jhq+igfbjsIFH/Ly
p2qK6DAmgi8Eks+V1sTyCv9qe0PKesUGyNOgLY42EyEAd8Qh6FfUsxI6cpjDuymAgc783Y6IjOOx
xh9R5i4aXOoZI7tXP2m3DmmawVTR5G0ItA8tm0Q/h3y034bWre8l+nTnLB0ERQaXjRhPh/GvOF8Z
CUF4QQ3BEenD6gDqRket84M+cNMZg0tPY7qq+N4d/cm9yGW8/yjE5txhH7I6N6yV+T+3wPXPME2L
UBPvjuIKiLjcYUqd/p41A99Fze8vJYQ78QYZciDeqMjUzmNJ5EGTDdLhB1sdJ3heZgXBPC0hRG/j
zMmVFYXeLjZ+768797q5lGAcV7UqYcL9FTQJr7HlFmkEd+eADuULPQOXSOvMw5ruM9DGRVxNCvlF
Ug7Fc7ck0E4I7D2UU30TP4bdgCyWS6i4n1o0xenKU/6OVn29P49/iHKcls0wIYb5gY3J/LMZwZKz
1TfMHdLELYIRAlXekhKHtbQYSxuh1GoBMboan9vj2V7wswV2wxfWG8vnUvaaedhJpjf2x8MWuK1v
Pwt3Uugh8gZwKUkA5FGn9+OzO6AFoNKixJABjsdpNZNUfuAttj8SG+4r3b2PKmQDtA3Q49BMopiW
7ZOs2GrI4KPCjyBW0SM30+yfhryA8eboqqOjC0Xjr0Z/zM7V2Z68GsjnWBsNoB3EOxLJMu7uz2pU
eyjNZO7oZ/o5vCzgtu2xxKFgwuJtEnfzyl162QyDfxWDlGDFir08g/1gRvd+Zi3wp8qd/T6s4lan
GxKL5VIOe1zdxGPVu8DzhY5udx224wsTgngRCbAoJNDooM4Pa/pdvY3uW9vvIGoufX39mRT1KlIG
MRSKucvK1MU4oRn/HhFcmkC4JH1AYfAByVDZFkDwyH8q+w1t6UrCRsLi0skf2eRJh8WSGfvv+9a/
GyyxzI3ZJ9YNbGN5Ei++v686t64NkgnZD3Sw9H4QFJunSzMtF1GzmQch2nOEQV7wc+nl0DaLe/Hv
H//7uvf544ltZRk/xjo2/D2xhQ1WpRGtdCmLVwxGLULm5dJBI+iz2znew1Ak6R7I4kaZFlHwv3+4
+/ue9/9+uuc4cI5smofOb3ve0h3prqCP06Zda0x5NdzHAtOs2PU6tnoL8AiL7UXfM2t7W4Hw2jLc
o9ZI0mKQ1EYIxkODsiQDQY3/8Nf94x9HkqCHhYCLK/RvnhCToRIukoG07wrATrbVCqQULVhgMw/h
cPjDs/D4of/Tp+T8LCJikHkxMH6V7vmf/4eNR++Ac0Ji9mmT03IclZtTSDoyE48Ns1aFwAtssWBH
HSVBxZzJtuyx6dHd0NsB/U+hfv33v+h3c4r/9wclHAtcTT3v9yCWcZP9Bs/dU4eD+ENWkY9EjpWp
KK1MYD5yWow/mEP802GMIAXCgLDIs/PHb48AzdPQzHDxrAR6DyFSE9peFz2udswVCrrkYuzZ3x78
8A+xD//9wTJEbRyezyHcdvLbs7ehYFlkHFkG7J3tbG5q7ywc2g0aCR/99qQPUzxNT0nQFqd/f8j/
fcj+/sm/feV4YP8R9Q1kIw58LHwBRFfjt04qb70Ck4JY//fP+92ughc9DLCjCRxcuDGsPf89/3HK
ZhsMbiUpNyQjOdcF+lau3HH4g+fOfx8dPoWEQI4NWxn8r79/Ch9d+cnEWfY3V18HZ/lb3LnXEPPb
1wjN9R/OzT89RBy3z5ZgkILYP/394whUzZNOcFKV5h7TQMUZCOR3Fmzcy//746NcS4ccUyx/fy+X
GzEJEmoT6BwjiC2rN6vjbIzmtf/DufinJxiTwO6w/M5Wwu8GUOyNKWUqrqJ88qYrmiQWv9hVrjLU
pKxAK3DkP3ie/ekTf/NJchntp26h3I2l2D5zC8KW6PoMYaqyecAV8k8+UP/4gRIZCN+Q9z3+7ebb
IlS0TclX1PD3CNjLeb/G3GJh1X8LvqC0WP5gJvhPZ5+sI/y0XMxDMZ79+zGplnCjeeED9ymaEFjr
BKGTmf4/frkEZ12CIFAuUU3+/inhoILCxnyKnxfgeGtSXm09TguZKYpIHJeWnuYPL/X5mvz71YG+
2qNQY+12fu3OT/o/XmocT4q6P5/K3Gtcg3C6mesLJOjJdGLDBfsAFg5ZqyndpU6O//5C/ONH+xEv
Q8gDlcFvHz0kS0v3zfYz0I/74zyGatD1rOb/fRnP/TmRWej15f/8oZhRcXQ4NgG2kL8d1RzButFE
V4H4r84ra0INLESTV/ecIfeDfgeR5sYKYv6Ht//8ZX57zpjAwneToEBp+92SavWqoYwn6sycL/Gb
x+p3Tb/irpdEpC2ngg3tPzzdfzix56aQQBjf5UL8r2q9JRqVXwuzhkD1EGCweVqE/38MST/n/nIT
8EEkzBNN+PuJ3fN49wN0vyk2ESzpulF+MVvgdL+rT1Obx4BM/v9Qd17NcSRJtv4rY/2es6nF2s4+
pCqFQkGRBPGSxibBSq31r79fomd3iAQu6nLebncbG2CJyIjw8IhwP36OulEVMKwXDPcdx23Qs6V5
nDdF0q8Nt6b23aDUlP4l5biv2s5wQO5pwPLV7gJP0zuGiiSggpwIZKZwma62+CoV5XnQMmyGIkBX
qMGYjVpNBW5EVum2BK/8mEjWJemJdzpoLcTwiAdpaDivRRKonIYOuWdoI1agK9bgkqhxCTZnkXKF
jxfFO7ZiLTy0SGygeYOA1euxjKk+J5xEBwOYgVyrBdA0VNolGri3rUDbBV0SJFQW++BaV03sTSQ8
KlRZBJgETsmQAOwL4/7CeeydVhbKPP7FhUJEtboXdBSuZLlmsc0agEVLKdeA7YS/S3xsIgjCeQFm
bDYEdBaWyfvFbY5i2I/cNFCrBD2SnWpYdgq3qIU2vOA33ukO/k6Cyl7ERaJY9boh0kzqOdcQkJgH
+FGjTK4dkIsXmHrfOqeFjxJ2T4hEDFPVVk5RpmJjGHNinLKoJXt8WDR5UQMopBwp//cotS6nr79r
clDzQqSMSgQFZ/Ttdb9Ib3eGQQCEDL7QkD5DdRMoYDoHgv9vNIQkJKB4pgvbe90QIvVojaSckhWl
5GoUmqVfTuPoftzKOyOIggsnLpGtDL3LVXe6gjrWIq7Yy3qjcajPgWrIGBswlgl5G7D/jx+3945Z
0J6+CEuymaBz8LpXhS4HfbLI8QhA0GwwHJLf4H29324FSh6iYZqCHxLN1XmEkHsitCWHA7Js5i0k
FPBEUByw+biV5Vlfb42sH/w4O6MK3/z6HBDoIWxTC5emgpodQG1IWSiaGe45uFZXFJz2jlpHSz1N
3J8vaIm89ezIQ3AgXzIs7GBrNfSkoZBDHKmI6Yam3yaxtgS3wEw9pQL5witB5vp+w5GhTC/Yyzvz
Z8JLDa0u/lbW1tzY6E7GoQzBoN2HrXAda2pmN2U5XDi1Lra9HlnUksioss7gPV7tkUU5UldvAsiy
UjPfUGMYtCTTO130VBBB/YWV9t48QvxHPG4ZUWkdhegUJKnAjHI/NMdoQzyPKsko0SfnbMjyDbdH
4VbX9MpXOOQ+fGxC7w3ncn5F7cNEnkpZLQcjInp81jWQ+ICMbiT4l7wCfsMLd8V3Fjn7MYdkjuca
f662FviXSgWydFDCemLYDUCCJ2WEVRQsbEUaS2+2H/fqvelbrrRQ0OIpzTXv/Qy1SUG5HqU2WaiB
U1TP5Ap10qZgsGCtunAIeLd3XLmXQ8ByKl9dvKGKAqcJZQKUKgGgfuR5yVs0hTWm2yTTxOZuphTH
+v1GF7USmltG9A1H/CyDGy5nCl8mZNNIFVFTNeE0C4hmkAq/sOjeGU/Ob+jQsd9wKl5fjLMhoewV
nhtqlFqqfZxoHqv0kWIsoxop2Z4G+dLt6o2YB4aChIguL0djiXP4agWOmRWedTIEtsXay7yob8Xj
MELpZUVtvg1MMjhSVDWkXUlJA50lS2SfJ4O8XAZp3QX7fWeVWDCRmJAnMwTGOtYRDsAmkWgqAL7U
Zw81W/B1Z/nSxeP9Pv/SzDINv5yNYr1NezFAhiaY51G3625hu0KvUdWcTLHaE9Ys7MSBNJeZwl9b
ppABQWNuIo8Tixcc/DtGTZeXC8LC+S6qq6N7AbtbYKh0+QyYm33Eap4b4Eenjtzrtm+48X68ZN8b
YuLRbChMtkaE+3XfVX1GWwGeRNvQlAoiNEp6jCkbLvTqPUM2UPPmWgCaCn7a160A21XTseO8zoku
es5DPfQ0cDaUXg7TBSrl9wbQACVGVJm07Ju7Tx+JUVWh4mUXunp+pEZWe5w7S238tIDXytYT8Lf+
vzGGXLcWinSRrMZqzmBMBiggceqoEQ93gxqEIOma8ELH3p0pCkvwdVRMcBh9PYbUNgWljFwq8sDn
yPShKlI7l0sWVdAfd+e9yWI3ZEsnFbBsHq8bqjn7mhS20pDQir4AOt01it64Lakavv93mkKugfsV
u8Y6CJ41Y9NaAnZRjm15MoM2JD1iAusFXTTEn/6NxtAR5QIkEkMyVkYIpU0IPTUn+J7Ug991LYKX
IMbdvk2zf8MiOBcydvCwL2P5egjBNKl6kxE8URQtu4XOwrzWzd684B6Xb1mdlhaiZGMJ0LApmatW
8rTXp2jG7vIGHKXdgR3d4Y+HzyEhDb/sqPj5/REk2AdkEW1JDr6r84RCeO2c6STQ4NTKnXimRK6O
EQhD/ym8MFlv+0aIT8Uo2GsJYqz7NnDwThsw1ktFNSCfoLotzHoPK52+Feuov9Cxd1ozF9UoBXuX
ubiuOjZ0ioDKOIl1bRD0/TmzhIfYoiqDKOJ8A01fcOGc+3Ytw2ItIRHE0YXD9FpzIxJ1APxCQWE7
2fWv5VIWkSnycPfxdL3bCuqGLGOiGLT02goFodfHGYYmEG6wsKr9ub4G0nmJ5fydsVuOXyRauJQs
weDXrRBFp0LKBGef91N/I0nBApag8nevZoP+Ra6C9OdvdwsTlMlcEcjg7rrqlqKndXQOuYrAMsYl
IZN/RLnxm9rUxAm5hyDihENfcqLrfVEWIJzI5547XqHApNvAH0N0V80dQBgUqYnM2YXV/Ha2lpiy
ZhDWgE/wjS+s+pIqnN4C35dW3ZUxx8FR7AaYnz4evbfenRILDssIp+LdCZS8ni4zA+kD9COBHaMt
vCzJnucFZFbr8SUVrDcdQqSEa7hB9kiS0cBbXcZh+62FTqQYUaqm6GtWCKWXtOGl+Ph7rSyLVlfZ
lhQ0IV73J+V+s5TcghqqUzAqUa2EV2qkZRd23zd3RTpD0h4FLM5IpKxXzYA/BWRu0ExNxW9lJ7kJ
684wDYly7LsSlGDcWKD0KMnHx0CqWf1+Oo7tZFETY2NmZ1bX25cIRXynLhE8SsNM11KG5xzQ8YUb
3DujqZJlEMnPExcCiPp6NGPi+qMe0ojcDcGBihhQM8I5uCDquRwqX21cOPRFpoTzGWcmqKhft1JH
eVO3jf7UUY1cLrfsaJuJhl9Isk1EkWMU5WWoYVyw/Dexk6VVSpyIG6tQE639BlhFeIFH/Wns9lZo
XmW9JxeBk+qxO8+PHy+ytU8kOC3KOozw3Fy4vr1RLYUiZtKrGVgXlvkFXpXA6YasPwgwu3tnNQi9
j9tbL+p1e6tTfF0UqIdpCyowDAYb5iPzju2F/WtsgwsL4d2mkAJCHoUsNKfR13NHqvsM8fAEbyXF
VbRlCUusF74mhwr2S0CRtTm+9OuXxpbXf7mZnSfJMKHHoxwVIa+rMKeAdu6V9MLovdPKEhOnxm6J
670R6dH0IDDmitGjAHKgaiILNjC4/O6ZkL5wHdGQxlDB4Ovr/FbXSSFQfyggwaBom4G8O/m02fA/
toS3fSFeQNkFmRjCaBxnXo8YJQ5zrOlUQwZRWXIzb0IPzOPvuvaXqMQvrazmhRsPxANjDxMCIGYb
cq6vYiJ9/bgnbw2NEAv8rybcMSwhfXUmG1Ohlc8zfG1F0+s/pBHSiJQq4IW8wrgkBiUte9GvHokT
DI0R9iATgw6HvNoVB4gY1KknQ5bN5rS3ziLF8OzVzRUc79kNcquhw3GuPMAwKztjFMs7qHjT33S+
3FnZkVEhFIlGivL6lpxVXd5kofFoRZQcVHA5OqNONP7jYX1jIEsjKpe7l5Pnm2HN4JaBq/j8NZmq
zPKUStH2ea5O1ubjZl6Cp7+MKJgb/mEsOcXrZDvXeSBx1uTaiAXkL+VBcsH9SVdwrnXXWnfWNiFX
S2qiRo0SRiqfhgTJEcqKu/POOkONJaL/fWFdvFy5/vU85Hp1mVMPnWd4weusA1uq2PdEC6Vb99F9
8De253hb90KXFyP5vzZBbmV14Amktoqhtr49uk8POxpw7j9u4CXe91EDKyttqqakXFa69W3ff9zd
3fk727lyaMjZHo7uwXEu5JE/HjR6tDpqt02dyu3SoHv7+OfpbJ9s7+u1I9oXRu5FA/mjjq28VhbX
jQqA6fbon552/oPvMz/fnO3eub/Q0l+JrY+aWtbHL1sK5ytJkOjSYXfyT1uXpmz/cPR91/WPDr8f
Xf50Xcfe8pN7PDDGO95zPPLr3nV5bevuec3b8yPv9ne7k7vl1SMf3vFWx9nxbZgYX8nXL2/xCz6/
e/BPux3fZvN1tre87O9854m38Ai2s/wNP/OLZ9vO1tnSLu/lG282J77+4Lp81RN/s/Nsz+MbH92j
vds92Ngan/G8xeQcZ3mbx+f5vuXLnCt+ONITnuhuaX6zdfafvf3yVm+/Y6CvHZef6fV2U9B5h6fz
vS125e+OTMTLs2345J3zjW/d8tb99f12e78MEwO1fNo9HjN7afbe4a8/tnrgpxfW1bJT/DJlgMMp
iYKk6Xh78A/LYPnHl3/5/+nJZ9xPjMPx6eg/HU+VzaQcn54wIvtqw0Pv7ja7zWbjbTZX9jVPv3cO
W4bq69XVS1evbOd6i6Exqwy569weHJu59/a3zuFAz/bbC07+LxzERxa4dPeX7iS9YfQFxn5gopis
02kZ55394pNsv7JPTNufywzTkePyCm88+nf+3TIX2Bbzw093fGBnX2MGPj8t/my321zz/+09fXT3
zu2LOZ8YqWUhMVHXju/vXoxku9/vmUb3wAiy3E7+0tHQ3jKSjAHj6LuM1IHvYlQej9i3uz25fObj
mb04sastHuGbQjAYCZqkjzydvTm6WBpDYdOFv2zLuWBP2uuDxWonwKmZr8cfPiSqThcP4D+dzh4L
goXGHLyY1R3/0D6Dtqyns838739uIVy1f7rb7fbnYN/eX3Cy3CMv2Pfq9D5DijgNi5d9ZHqP91tn
mRR+cE+uc9jtWLzbJwyctYsDwGlsPK9itfn+lik+utvFKbiP/sb3n9zd6YR50JnT3dm2v9A1n1nF
brw9C+eRRby3Xzz5brM77e6ed2f7+W750j8fTk+R/TDbf57tHa6e7eV0x6/PzwwR7mnrXN/jj/n/
7fbeu9/+xNBwAvYDTmW07bO9YXV9ubq+/nK933qfdvvtj/tbx9s4t3gHx/PuXfvb1WJR2P09q8r2
9vsr/Pt+y/S7ODfWH6th5//k//haWsTVbI+46ePB2XrXWObLGz/f89fLOr53D7ePj6577/z42C61
Zbv5YIW+nBZ/XaGFAFUJDgeffrQfGZ1+GdKvG59Vtyw/jxnhYQ/LCrrF9/L0Hz+B9BJK/egRVlt9
1ppKnC02cdqxPp2f211kM8PLSsQlnOg1C59fWc/8YbMjsbp59eQ/uA+7u6P7WPDIG/vx8OeywDHv
08bePNz0y8PjR+6wIufeww14pe1df4vtPYbHBifb7i0u9MmyP3nXi+Nx7a3r0Ut7v7irCy5AfTXS
xISAuHAbWo5mpokm+8r069zMh7IcB3umRuyqHhOoKhulvZB+ercVAq1Ad2TaWGN3lMCIkpz4KlhG
SAd0vdfdLhWkCzfj91ohnkZ8nCCRyl3ytV/Jsq4HaxJCgJVDYUhN7HTIprq8+9g0Xnuvv0aM2xAM
PhzgCRSujmSRmcswJ8MQRpUqZC/II1zrVTK4EfQGF8I0ywP/ywb/agpAu0bJDHkMcY1EooQVGhQT
HSJRqi3lOYNkP9nnDQiym6FCLtNPojmT7yDejb7PEZIfF1Da65KZF+sA9EosSkJnm6P76xFVVRSX
jIl5C+P6oaO+HMZWZTMHyRaljK1W1E9dNDx1EqqNanCfa93jCN5xItBYtckOOaRLqbF3ppjaGAIf
8pKNp3bl9QNV0iSHE1Qj0PDowi5hlq4IS3b3H0/xpVZW3c76bgBHCldBVbSGrUiF4iUoEF24Eb3f
irXkmAlScUl73ZcaUpMgTzHXbj6HvmyNgl/KsIv+G31ZsqLcrNW3JV8WulopZLtMYRHHT3DiNNdC
L+gXFsU7lkpAhWD9C1rCMFcjBrL2XPYZnDpJJIEGz7gmUfkrnYm1ndsrsYTHS+7Kcq/0cf/p4w6+
17QpL4rHXHahVVyZBMQ6uTRkTJZCKvY4StrwDSUsYQfRj3aTwSMMWa6u31APdqkS5O0EUiBJdB2y
OIKaEES9nkBhAEAk1DGMbaZaHeMkL7ah1VzC9LztnwnODJQSaDo6uPZqoVj1ulhmkw0pwx0362+9
aj4Es77v4eyDpb/dGmp94Ui0itSy7hc0FlxRJNWXTP7qXEid+UCSJZ/gHYGq6tEqkYLZlpIS6Q6i
AmXoSmbUQRc3BIbw/PF0vr5rLD7PlMBdAGEG36Po6yg7KOnQshKaNnUKz5QxiL2iDCsPdUuKWtv6
Up7pva6qWI0kEXInJbi6DCBmI0edBQNisJSvSvAdf0nP58Cn9i+G2sIot3lhRtuPO/l2D1lAZ1Tf
gTHhhryOhYRIW0OLA6M2FJaCk4iF4CKq0/rneegueJn3mtIBHS/BYmB96yIiqHln9LqhFYQrepDx
3WIieoEV5ZkvxbOkX+jZmzVBbQ3FgaSBFJO00xreL4ww55galbbaCHObUMNoWiZI5f7m+C2VkjSx
AD6wzjX8XElhXTARlHJg3ShdSU2eY0Nq3axK+wstvenPS02mRjPI8OHeltd/OYmG8xSKMFJGznmq
uh20cZlDQXbuftyfN0ZPK4qO9REcozZiHWq1Ai5NMyyqUD1nZuNxGYlzN9VD7QecBiZsvmWsXrCL
tx0jiwXxE1PEbsqPrzsGj3wfGxUcNVbSaF4V9nB4BPq8+bhj69XFsYFVBVpTJaPFGlutLirwJVQ+
AWp3QSDeQWoGIRknCFSO8deWpdwJsnHhFPimSdLty16HcjkoLmVd5pEi8TwqDfXcUVNL7ohijeZY
RSvcSHBpniyzXRiKp9b7uKPyKoDNaia+yXnjr0UN5uT1eI56E0KKgPanvAHpaSN45knX8OK5iMQ5
mgc2yT7U9h6NIXv68nHba/zcm7ZXR1JOb51eLW2X7tPn3EWCzf6xv/l2oZXlW349ja57uNrulKiW
1Hhp5Vh5fybOw7O2+fb5/pIg9+u7uP6mL6sFl45D14sJrbR+ZHfO4BUb5Si7lxJ2qzv/23YWv/nL
wuZ6V1phTDu9y6mW+Yq8L7P9/dN1aN807jdOZXZoxxe8yQvg96MxXK2HrMkbA6Lxxq48uDYdskQO
ioSO6erut83Xxv0EK+EF3yIt8/JRm8uC+aWnlHulkxS9tElVkANnlP0ZUvTT7Bif4FnfXTCTS82t
HIsCD5icLs1Nzp+zL24Q2vQaP7yOdoGdbroLx9t14uiNvawusIkKOQO8Bcs8hk7Gv6oNkTgh8vLC
OL7jV35d4NbqnGkacWPmi/mb2mMXbCOEEUokzrU8gYPsErLsknlaK3cSm4KswTT6V7fSE6JMruEj
+Op8itzIJQw24VBE++fF8VxvRatVvsYsDecM4aCKhpV7ed98Lq6rvfJncEPar57s8tv0kO+jk3Kj
PVwwm0vDu/Iu53aM9GKZRwi8XciVsJp+y4boBLbhlF7unV3TMR39gt9+c8Vd93flbyY5T9JmMVeQ
Rn60ldyHzCHoFtglw1v4sn3J86wPZOsGV45HFVDKDAHV2VKO8kwfUKBb1N2+T4yLc3nBY6/PttYY
5uy/NDU4f2JJ9vfc3v907j9/PHXLgv7Av6zr5+Cbi1NhaWX2Ebx0YMN3cufS6rvUyMqrjGkOd2NO
I+ptsKmgwPtMse8+uGQNF3bx9cGcRHqq1ktfhK3qDA5l8PZ342jsL13q3l3fwL+oDlm4EXR55ZSb
xMxycbGCykNdE9eluBYbnupYh8xBtPm2uUHDZFNv1Cvrkod+zyx+bXs1lrAJTqk20HbrDp7+OfVD
f/AnN/Gbnby9hFR4b10D7lC4vYLEAY/zeveJkSaJCcI1do3ejyjBMgI5qTo9d3ntxvPtx6a4XltL
boGyLBm8JdWclIe8bkxvIzkIU3V2BKVVfNgx0dGQ6ghV3Wm+sB0sfuFXq6cp6oeAdXLJMQ3uj6+b
Sk1ZH+UerdQANqJDYeU5AHclvbC9rUdvaYWgjcoFBG4UQAOvW1GlCamnBrLLFlaYEzTjxr7uU7Tm
Jzk7xWWWfaJ0XLr57VEEnK2C0CLwAFZx1bUCQqy6KVHnRmK89GDix02pbXaLQFF6yRbX2w0d5A4n
gdV6uSGsA3roL9azZQiTY+R9bjlwnDWfoP6FQbPWCiV5SKW+heI/M1AqIIjcCDbM2NlNGk/BZ63N
28Kuoffsd1Wmy7dghytUJeuoNO1SRCnz43F5c84G+yZyt5UINYG7wnxWs4FsWt4aBlrespFopSvX
oRU79SLO7o6NHlCKo2v9GPto2vffanhpv58b62y6Eiit2Y9LRb/EarT2i8sj8SQad/sFr70GNQlQ
dEaiVI4OoloJ0hKKbCM/ln1tlAgCqqHszf1UypyIon684CzfLjaFSaMYwVrWG7Ct16MBd78wTJQB
O3VrPlVAdT+1UE+e4Fu/VIb0Tksy2DCdOAZRBW7+r1s6N4vIsSXPkCkvXHIhRe1uMcVwxQMaev54
kt+ua0h5ZGvxyUA8UfVbtWWIY1ZAZOoYUB56bT3+wGmdL9xR31o9GFbiF6QqCCBq4mpZT3M/nIsK
wzYRztC9cxEI92oiUnxhtdAN7tCKgC3vtzu28IRQ4k48H4Ta6qBcwDAI9CfoIFxE6aESmmgb1e3k
ftzKm/M4Bgk7BwAuc5krtpnV+AFrUuK5651ACAN77E0ERbKzYqfnKdtH3Vx4RhqknizG6hG8aPqs
ZZN04SHemUOL6rkl5kVAmMjK6hmGXs7DKe6h80PBHcZLdCWKSbzQylurVEXFAK24FCJTaLKaxGRS
EqMFBuxEQ5kfU7WR3B6N3l3WjZfAU287tMBmKZ1ZqtIAyK12bHkSm3SWW8SA5ui8jwth3gUI8Dkf
z91bX2ICr6ZKleQKhf3rrCv0KpQYT2bjGEKUu6IIxWEKg+OWxJTgmZk2IAkwNv0uEJp/Yu//4/v4
n+fn4uavjbP57//i9+8FfJ5LfcDq1/8+Rt/roil+tv+1fOx/3/b6Q/99Kp/z+7Z+fm6P38r1O199
kO//Z/vut/bbq1+8vI3a6bZ7rqe756ZL25dGeNLlnf+vL/7t+eVbHqby+R9/fC+6vF2+7RwV+R//
fGn34x9/YB5kFkCCcvahrgBGBvb4//i1vX+++fpbxvcgkFKWzxBB5H/bNem3/MfF73r+1rT/+EOg
hOvvQF0W8Olik8RH//jb8Py/L0HrBHydkBrB2QXXmBd1G/7jD0n8O3AISMiWkmFFZiv5429N0f3z
pYVMZElssJIlHPwf//PUr+bzX/P7t7zLbooIAVu++KWu4V8HpjfDsC5gt85N1CF0Gu+67BCiJ2hI
zxm3SpVQvwB5lzRdJ4YrD1DgOoiRVmdfzJH+cxdxs9BBJAMdHbRfVAPqd69Itsb3BP13cYfqWlVB
33Y9Q9gW2Gq6NeYvZncVGz+ivkApD0bS9nul3krqVXB+6INdeEYHzyFDLGnfovDeTK6F7too95V8
aPSbwrxS4xsk1BL+PAjBYY5OzbgxTZR5g4Mk1Y4cXdcCAvTTDF3qtaFuzgLkwsmfBuW5wd1gfdai
UyE8J3AtdOp1TWlRgyBg3vtlesziG7Xfwb3QBwet8PT8AQhmojgyWlzxVq534fBNBtZbo54kwSwG
YX423YfKwyzuhOSLND/1yc4Ij0Gzzdqdjv70sKn5nsHXS/QaNpp1paMsM6efLQ1pbPiRoC06jdNG
j3xVO4XWlTR4cXpoYFEO98pwJJU8Qb6KrFi4n/uvQuGn1FaLva/EN9DEBsrWWBiHHl3tvBXG/fJf
4c/ql3C87ZKHchBtIT5k2THXrmv1vmrug/QYh1tBQ8zIQ/6Ccsmcao3ZbePNpO9rYUt1kpwcS8mX
y00V/sXl8lt+5KHI+O//A9dAzcxHruB+WYd/u+9+fHvlUF4+9deiV7S/w75jLTwNS/KV08T/rHlZ
+ftCOgYkWuUED10d6/p/lrz8d1mhnopoPPwKIqeq/13yfIiyQpyVxA6+XDf031ryZH7YaP+15gn7
8wzgPYBn4z+gHlltkTmxECglus89xVAeaoUmujWB2Rygs55PXT9Agxt2qKmo1uDVWdjsIqTLNlNY
aJvGyORbAWb4vaUUXEAWvceykSDs7tNtFWrRJlKTb1mXjYdzpe6gML6JrbkmJymoXtwH8hZHrW87
A1aiQBOezxBP2ok6Y+zn8dRm2a1RtbskEu7qIkm8IJkzV8jQ5avPX/DRp7NkXPdyqtoVOBJHEoLd
IFaaj8RgcgMySH5o81hkgZTKeBD0KJY28PZPqZ9SV5PYKJzB2V+aaTEjdRU/nSUzPvRtBbd9NEV7
tIi1By7MkT1m2ldNTTmRWVJTfM/VIDI83Qr7K+hqpW0moPrplB253w3hx4SsKKel6ozizjDU/daE
uW8X1nJ+m9SkhpUoCLezVrdbEuLxJ7lrIrSUB1i1sgj2U5dZCjl6NcE2S7WfyFjo+2wW5a+FSpkb
onbnyh+G/KTNlFF3rfHY5dboqGkeQRQeXRczPkINboIxvjabboNw686ouzshlu+lovA0rb+BVP8K
XbNb0+jvcyu8H3MB5xahC52z8I1seBB7RK+iARkrzLTTkP6zph95YR2DiDOvmEZtZ9cA5P0R8YpF
sle4j7vuuQwjpMcHay8XIlzS3E3LUhNsvdeE9GcLuUXwdcx7tMNyqgh8YbbmL6MgxdEphgmGM002
V+1cekCRxK7w8hy9lF0zwt6oboVFn2NGdW38SgVUhexvPqaZhN58QM2lMwRRUj02dS1+ocBNi67S
KcuGO3Uwh/PnQYpHnWk0LfjwwyjQiKLES71HneVIkQ5Tg0CWHfZKCQ+4WiNXW3W9geEITZU0nmEt
/Bn5bJjPgx4jmoHQYxBCLSnoD1I9dg9No5gPfQk/QD+b4xZO6qUSAu0I21DRmOlrubtH/NnyznN7
PphUAJ2EmZunA/eGsZH7tI8oDirS624yUYE0y/KzOBfqY5rkiOgZQYqMsWBhNeoMcmKPct6EfNsw
RSOThZYZ4Al4KBBCRqZDJNg9hYuipJiltlQW/RGdl1CwyaUkMMaVUVbaSDZhcypGv/C6FVtTMAR3
UONxtCtxoUaeFPUMQ1kkOYE6WC71qRl5fiOc94Vqdscoq/SbRBjTxBmMIb0PzKzzEkWqFBtxhuRR
SCTJh+jT2pkSlxhEZdGKY4ORoKPXYT95EucgcLl1y0+dmmqHcRrE/ShZ6D1EyCKbEfKvsLYdW1mT
trLVaTt0D+pbNcykZ4LQ1S3jrPpndOR8hHk5Y4gDiwZlv66/OWuUdLWiCPhLDqmdd5VCzjc9rFTX
U3KOOYuEwn7UxeIRmvlkU0Rn66cBi43Tt2XxPUTtyYecviS/ywQN5y52ecLpMJjnzqU6pvCpNA83
+VzKTjtpyiY05nEbnxGBs7sUrkq9iFWI8SvdEaBrdbW0b6/KoavQ20v769BC9GkMy/m+qc4IADWR
cXuOZu1gUWWLkgDl6t44SZOv9aZJSMVCOTub1K3YJaI7KzMc9UQp3DxTRhfcAzr3IcwDaT7Ji8yN
iDB2MRV2m6O6JTZT7DaDtmjBG9mf1WwixYZ7cpMJ601QrqmRg+8sp1FNjGceMsHNwrOh72GIUm6g
M61xp0G+QYrbctSqQA2sjT2lk9kRgmI+tXL7OQAl4oRgyyBZsgcBMNFsSt/j0iycHuGIzZBXGxxe
9APGrOepEsJtLkCmXp4RVBlTHGiZHqRZ9RtZM/Ayhei1E4IuZaSCQ9TgO+56Kz8Sc0AhNpd98uCk
jgoN4Q6kDfZ9FS+yVHkzuNaI1psacXXOLD41DxGak+PZyzhIxfJMKshATSFwRJgxkZgvM8lBtbvc
VlDjDaGq3FF6hraoFv805WYjn8Ub4EyRW2hiykm4LV0RpQQvqxd1Ci5hLgKTADVG1KkHLfFSU3uw
kPqE8mQOKM3pm1tkdHTOXRJC7WmUf2J12czSDG1dcywSgdxlkN2KiM0uNcYVSnbzNwEpVDuoJ9JI
lvLnGKNLm6BIOOsPehDu4P/W3KmeWL4WXPjA1cZ9ZAbqIe3DCc74M+zr5+oHe/JNQl3RoSiH0pFr
+QY5lW4LgBCJEwMafi1IfdMocRdmSWi5IZeDwjtVcGhAZ7lxi3jhsZbV79CWulrUxN45B/UGTRc6
hnKx41pwHZwzlAREDYX0BCRnVH8fhvaZOrriAAEBK70XXCuFFmMIb9M5o0RbQ4JmwPFnddlC7NpH
XjCx45raMawJvfWa6OSV+r2x2NjG8CY5i09dN+7FsFDcscfiyrS7mwVzr6MzCld/YoODKPwgGDsb
tuTtWH4PlOaHCt1opDVP5YiU5GSdfanMW+4QqoqkuXDTn9t7pR0Epyvr4ZBEBWregdTZRpA/GmOI
SlJKULPQLadCJNdG5fKhYXZ22YT2lhimTqsln6TZUG2UwP0Q1CVqGFnjtfNZcPTyPHojRIUupPPI
h3IRswe4HclRpbpga02c73u91q6MFPdSySiAF/mIBnoLA0ZpPoylxS6RztvWwplm7DOLRq5hJD/m
FEkxS9goUFl4Q11ZntVFmW/U8ucoMW+YjD/LOgptQdW3llAFNmASqO+j41BHuj1E+Y8k0r+i0wzy
z7yXOxU5dSRWLMcaK7J4yfR4jtuT3qKrUwz1V61Rwi8ydNB2MWrVliLtkkXVNhu4hYYvlP41Ryq6
pWul78LPcQHPj94L+8yIxp9RcSbFW6LQkhRoQDVT6UM+JbOFxkQDZ0qyp/icPEhq1XksbNWdu/oh
EdEubtje20EqfT2CQBkZkd6OtBo0j5Esahua6bRdutfFxO9azjtBPysO9cvFsbbaGbkGE1VnqUh8
qcOzlGacurIc4NvkIH+COSLwhKzbx5L8re3TaNNkRb4jv+PXQ6OHMLknCje8OvTjQHpOkc50zULz
JwWpkskyfvZi9GUWtflsi01FR8BnOXovSw953rN+e+MpMqUank3LvDKbREcjAMXovilbr0Sbh3tZ
J1yLWZUfO9E6mgnMSWZR3fSSPHJLlM6HeDKU/WhIN9IcN94Y9fFXyErIjgxVvJPTJD1B25Vft5I4
EIQfvyBVNDiC2SVugz8GrVIP1s8JGA/KcoY4wGVWn5tHYYo0R7RCeMol4d6ySsFTZ3n+2jBm92KQ
4ammbjTcDqVuV0rH6cEANoXGmiG3N13YhRDbq/DMLqdTvfJy9kunbUH8mVlkfW9aBWHdWRJ34PHO
LoH174RWxPu4nJ4aJa2uA0kwbuaqwg0GNXwhAZmeJEUKW0cdZZzUA5q1KVd0wR3L8FOH0tu+78f0
kObSbkhQP89xhx2I7ftwNIv7WSkRcYj7w5hJuaMMGroSlTQdjEAHZG3oww6loz8pkIs3MG7l20gK
vDBHab7Ri6uihY/CDKSNNIJtV4LcR/Q03+tB23Ei6D9b9Tex6++1MHmaVEajRKMaKS1kUStfMxCp
SAI3mi1zJ4bhBuz0XX7uk96lmvE6lcKoc+QZBkVkdVnzkji6vYCCUO2mgRaLqleJclT+5PukeZO1
szE+9mYC6XkSiX2PZheqbs29gLRH5M/TFEnUJFOD3/n/h73z2pEbydLwqwz2ng16c0uTprKyvFPd
ECVHG0Ey6Pn0+2VPY1bSzI4wt4ttQIAgqSuZJCPinPO7AFaWfkbs6ThfIch6zhVZ5F1fUMbNl5++
ESKzJnq2EJkYmop/rqLF1DOnT8TU2zuHwLRTaqrlIyVtmd6rDfRmT14PyTybmnwAfNfCRXVZ3Pks
RYELPPtrQTldOmTRH7xmlf2w01pPWyp28953P7ujtuV71xWFV+1SSMOEbSnqCpo9M3M0J/bIZxfO
Wc9UJ46Nx9vuxZ66GN3aS7dyiGutZQ3mDaz5quA9YFNjKiSEb+SRa62ZYSYtkzL7sNUbnQY4Tt+P
NyIfPbK2qouTL1vS2LhUGviwBVHelaWurj2G8oxK+sCq61Av+959IrUHsII6oHW/GTMJBcIT1bmU
BcFfLZZpnEdrbYrpaeasWXaWQzh77Pm1/zKMRepGeAN1e06S5W2Vhf+BclWlr8oep2T10izpy+17
sflZTNwPC6M3nke7um2s7W2xlwwnQS8a9XE85CoDBPFUd9XNXox9xRBieyDO1D8tyY0eI57KDzWh
iCCWwxtGlQBr5LKEi/KHqO2nuFCNEYrBeyUZoIoD5cw3y7Q1+1pWeqQ4QROE0qSzVZ6Ix0lyjjnB
qzcZh7wyrMSW2rfNHfqjDCgTo3ocxKExunM2pc2TtW1Q3+jXI0+xAG0LD996aw4aCVv7MvBeeMR3
FlmFnZkfrEEvI690n/Mmt3cinT+IQjyllU7WqmfcrtJ+E+7a7tF3dDHanDU2y5FP7P3XytATvaDr
XhtS9Go6CdYa+YOqchMMrCNnIqlQMkG0urdNEydD9G+WVz4QvnndWe4d+VlEjjNGU5fkQH8rXuqm
bUPy0dKrZhrsSLb1Gjme+L5Zxn2pUTIAMpPExYwgdFwMyLXWCXs1PS9FDZOjsOJ56dh4MSQHZSoj
purxuJKhLvxSRYzTy4OmB+KA48wYTwTJESY53JqVBylScMgvZnmNY9ryQaOpJ6vSvsM73TVBRpaZ
l/pXo+5TlY4DE0YSVI6yoCW0xzoKslUy5vOOKhPvUyeJrsF2Uhbpo182lwRVrTvNVnUsyk6dtim/
c1q17clzbKJ17u8yrjMcywaeTx48FLXaERiVx8XYvKvB+YCJvhwyiz6LvOiNPqisE8vtaXiqc76u
U1zlxDBP3vIOMVhB/8eiiqBXGdZNUd63ac+hX7XGflR5keTC+hzI7gFb0Z2lV3nIdcnE5p4lHUnw
9z45r8daEdI9LhbWFnL5rLfrh2e1VkwYYcmsxjOTbjMTa8M1tBTpTUnyKMqi0wY5gE3OU3tvzsX1
2nicKmS5UHL02hVr8jXXCBHLLn1jvoxEg60FfQ188wud+DvWduOOJL1Xy1xv5pEfrjYP6NGu81Np
qaPMy55k+2UvgHrj2lNEnDNCNYn/iSy9+z5N3ZM/NU3MBQahbfRfh8wNMwdjdWvlPYEETHqhP32U
WvE2tgGctdI7BeW4hXOvnSlEnbDIyzPP6E3vaEBVV/vxeAnZI7cspZYV2X5Ws4wtUUcbl5w4Zr1F
dafRAJWYxC++F+W5aYYFNIhkgQPMsEivDmvnAaUXKE60pbRxjRDtgdlQfwRyum0g3pPHWBPEbmcP
1tS9kh1Fu6FvbjgOxXowWjIZC3s4gzIQW0/YL6HEgcMUZ/pkWmJPnHTSzIRot6D3EZnQ471r1XlS
S7uLyfy7qsflZpErtJZpIyBSqLjJ4OGqYdzIiqtpi716O1rrQrVTufqVCb47iLyMptnV9l5jl2ey
aEWYLfktS35f04LlzkZCj3la/Zqu1NfaSHpuyXAIZ1fL0blExndhYK/nqSUwOMh3yCz6Sy0QBibg
wtITtk1sdlqRjjj7+bWuzZ/KbnzVmAKl/kKN5hg3ASoIypEqoqDbMw4kmUY7l8gDb/Fu/OKZ/dWA
/X9zaf7M4ZCuRJHy/u6UyWRfU+MaUsRvkd+btKH955LCGaYw6AEdieibI8spqZgdxPhOHIJe3o4W
E6ogi/UJex5TkC/SRyYDqa/OAlAAeYfp/PeKWn0EZyXdFaKqpsXSHvaeoJz32ysfO4d+ad/8hvS4
VjtUc3OSan32GeOn3vDoBFVJrvL8iczfR1Mw0KCoYDaz1Fm4yq2+sngD037ZtTpFjWyLhKEJ+Gbt
pufaErdtv6kIc5AFBUP6khF7ttmQ/gNXdhF5b2a0WfO92VUb3VOa3+YXRUDWj7fdQoVuSUFeZMA8
VD6qvkr4wEe43CdizHGNDJZzsMznVl8Pm3SJmNXiluIlZ6JHaFozhp3NtKqlWk23/nagJk6qZjBC
N2O7qfPXSTlXhKDHEglp2Pf+OTMDpg89jlslOahHszC+Ctxbwq6XyeYCEREuqXzKLE+cA4FdS+bQ
7m/lC7to7C/6zjbnr/kUsDLIet0vU3Zrp+rLpNzEN8broay/kjf+tA6uGZPMat0X8IJig55Ys+dr
VW3TVeHpr/zYjC2IBJe0jXO9SeitmqQ3m+6LlbV7P0ivcoGDuu+rvdUwcy7tOWl9Mnv9Ao7wyFDG
mNXHOPSYhW3iNNXq3aq2+YSF8m3jXGSPXm3vA0eU+8VRoWetFFTOTij5EUj15FfeqTVzgm7pJa1i
EWHKuHedpuesdsSuExJnFznoEdbkZEGSjufbSdCbZL+5RGN5w7e2NzW6KkivnpvRlE3xYBfXm9FE
fTolYpgZXUz+jTlM1Z3pAV25m5gIrhnxYlL7psxMcdgYHQX7we29G6tdjOnJ7EeCzEla0oG08tJp
E21ba/3LDIAfL6La1kPt0koxdCypznLbiFvh9jin6Fjq340dwX8SfsjObu3BS/CrYbxjd13Zxy6m
+/O9VuuFOnYTTn859zxtg2RpHPV1NP0mv57t1o1zytX5rpqpwWLCAase0xSr8H2G4wQqXAemK4z3
Rqs+M4HI3JNNvKV6XgYdhVDGX138F615YNHD9hj3qvDb/BuBOnZs2jPvOQwxJR6RMlE8EkV7O1Tj
2h0nx0sdsPULr8VGVPpYlz0Gi9Ms99Shzrp3Bl+/6Sq9c/d+OWxjQvWo9JimbK5OLrm16iOrNrsN
m6aValdmMlv2Y+5TJBDgom6aus6IjV2np6YdaIGlgnjK9MGuzZDZ3aaf9UBz77OmydcDU2+smsmm
qxmeSmUJZhIGO7KYd8OAp3lYrxahxdJuCK5t9NZjoO8a+e00e/mF4SHGLGFK0p8ms8vMmxpVprpR
UjfJg53tIYt57GCBJY3fHNajMJb9lI0SlSApR+LIqMiSx0EU/nzysB0KPTnCkF27nQYvzAq7zSqP
JPHKo7+URhHWVYPiz+w0fu/lvStAC9ZzRohj2JkOPnDgUilJ5Z6piQNJRtmWOHjCUbqMHhlAqM/G
K5+/oyIlr4Axlk+UZFnwKkZ5Kv30eXF6/52kpZacS2mUVpK3eb7EpNgTS+/BAotduEdRMG3VroYh
x6CHdsW8nUYD+GFYSi/0yzyPS+zo9yiIllBMmogtUmsPVbbJOBWDuCsMvz2Yln8mp5jHZrAarwz8
6+/JRKz2Y7kFLNCsueps61xkaXWVrgBYpKl/qJR42rTfhoNGQ3Uy6kaPy8p77ebLctS2DULx3Ie1
aKcd2BYZEN7MLpsv+6BCgOOOldxpZcdguVnSkAE0bW7qUqB662GyUFalWbNGo+juda0HVEEblRhW
b8d2QRMlPb9MZCdHNtBsAFRRO54XfJtydb7iYTy+GP2WEWTrlNpVG8y8Tcqr7+uhMqNU6epgzf0z
o+H+uOid5kcXhPNIp6CHVrfMcVpqziM+Tf1JFEuQzJ66jGbkdJXaW3GA33RPahRoecXUKSWzQzfG
hybzkZgOV5Ma9XjW6pbRXIaNHhrbxLaWl3yyv1lmPt8MkEHJRyabHgX6S1A0K8G6S0mseZ3uAUaJ
fCsDP2ysTkY50jxuHwhOi/DQZRrUZKAuwUzqbbPMXTKSDxoxmGNaM0yhNs7+waQbiOaphs5bCfng
GdtwP+rbyR1RTC4DBcyYbSmH19olLh5We2nN2QHYqX/pSTTfZWaWkyg8nMXmfPGJsrWlPV/VzBh3
9TLZ+x4f1S8paEFSFqhsCXP3I29yeOol0+KpTy2CZKf1iCx2PYop8K5daRd3WM5rsbNmw7GY6tex
1pEw8MIDDPbc/y7VQn1sOT5KUjddk/DW1gvaeGyHISIDzCKsDjuwMPeCnvxP6LyMMy+B6P10A6Cm
34vOMhJV+WPMuEmDAFnPe5hGWkJ6wK1gjwlVngbvWyWLE8HN9BkDWEqlgbIiwezpgmrvnNrLGpNb
r+idxb4jhzGrUS6220J0dTWzc/iiU1ddzw4zpS6t1Gjejj0WZVDdKQqY4vj2kihX+aHIAOSY5BCT
4KuC0o8Qb2XWeTR4xDFnm2k8rKtbEWc/6bTDi+7vHZCc2KC/3XVVZfWhS2gzOFogvnqWfMmtpaQ6
1XJgM+9B70Z7t5DVgNAxe+9cjbjZqrUKojvaT2Yn1sTrKR2aPH9Jq2zFRdew47IHQMlTz4eM3+bi
gmeAf4J13qESr0PIQ/KJ8tx6kvXsJjSL2fPkWvdLVXwphOGH3iSfhVE9u6uSBzw33yvTyu6t2quv
PaeeLz00HPzWHE+0LEZYDel2zvWRpHGmiqFoINgEVTGTN0vj6m91+zC5QRnPolexSoOKNPF5TV+3
jJ4VY1LvypxGdS+XngTcrKw+JIBy2JhVMISev03g1MIMh8Wp9qmAUTNvzL/0dtkRW2Wg1cXVlCkH
9gWdk33AX36oa/wmF11zjmXrpLumbL6KWh+v29r+Xs1AEKmWNnf9lFZRVuS7hbGAsA31kqlexNjG
DGHltYogPETW1iyDYymhBJGEpCOcnE/Eai6MbGikPHh4STpQtqIM74+9bSSON93W2dLfY6VwPbVd
FV9GZjSo1SuDpOzkqLmK6nmwHkVB9G3edEVkLtMDfstXkoM0dig9Do695nFnKpG4RDZDMta/k6dr
sPKbZ7Vu59YvjqPMvyH2rMOhhcVEOlrzVgibzDkXa8imG8Ue/zf3phvWu77XAFKyylqISXGf7NQe
jgiGnbtm7OqYCg5dcKAVWRg4I9QBOVvH1CJZuzTLpM/Xs8g070iGVROZbeG+ASTyMXppnnJNXCuN
/a/I5uGa5BfMxJsceNnN63CRzQdUhYCj012sw9Bp2zXTz4AEWEOPpjZwdy4eXee+s7OdO5jlcRlL
4pMr3/Xv/YzZcTGZ8wsLb4iq3pwvy/itbec7vZEvvA3Pef9nwKr3uWSMHmczw9kUTvneUq0VjZn4
IExbe2A+L26omGKwxctNYPdXa+fv07lND8MlRshIJbQnOxhiOQTi87DmL5Cdv22eC2PKW191q5pl
iPuyuTcbdznkfm+QJdIEAFrps3KsS1WEioj7vTfK0j22tj9RAkHJppUY2zDNp69rxgjA3RjRLFzp
2SxIh7aZWtJp09qwf14yrYt2vMcRONtT1i3k3mufCnfLSGdwimPLqj44uZTgg32a7iklvCPLx4qM
wnQOm+l219KqPvBHyI669LtnbUDenuZr3FbbdihdunoSLdr9Yhp4odrC3s1gE1fZ6lpsbyXtXcAX
qxxrTRqvrRISL5sbN9VOBFXHue+dlrF56v3xWZh2lfhO5Z/1ySvPTu6dWCzFlVHMWFjMfkFRMn6x
xxYMqayYIy4AYdugGCP3wJ3IX7ITAXGxZacfKjDmR9JurucC3CbQE8Joz5klB6IXqouhYOGTkDs7
pxTd8mJqtLGsGNLdD33qOOeOQGYRDYz8uwIq2J9EqP+I5vV/lC6KIunfsENRwMGR/YkTyv/wdzaY
bf9B6hLRTjCwgbR94x8MUNv6AzMHvKbhzsPFwk3mH2wwzTD+YF8k7CfA6IEu+2If/hcDVDPMP7Ca
R3rC8XPJBUVd8B9QQP+Ma/sfNhgUMJjY+DtQn0AM89xfFZSq602deB8LiJ5xVsg5sB4Gw98exq3Q
H6whc3bpPDpA5UY3fdElZxa1l3g0Ze/gVqn07dhI+akmmR7eaKboSgJ7zONJ5xiI8s3Ny3CeRHOX
9pDJooDX/yyNNG2izXdhQjp9Nj7NjpO+1MbM0GSyhvq9VVJcN1I1NK82tJxRqA1+qM0UAtHFFpe0
6+e60re3Nffsx7GubI9RRhMXIoelqjev2gxBLdLrFpqC3hnuXk/LJYua2U8q6rfXwmnklyVQrvYb
vvafpqg/31AHQjim2y7uIBcP7p957nkgDAolJpuFUxtPWzOqK+x16zLCj8i/b9be+DpUc53Qqmx9
NA/zokdd2ncPWz3BFfGsEZopET1jPECUAPyGSfDcm8t2VVOnOuHcQdLdqMENgHBb89k9jN9Joi9c
/F++A0GeJPia+LfgCX1h2f+gTq61LauBbpzQkkubzIGT7qW5LomrFX7SlcXvWPu/SLAvb6Hz0wde
LuiHD7RSYDaIRQ6ZTCAjpX4rcNCFexdao30PQLdTnsPwf/Gv9NHaQU2+rrf6pq7NK2JpX0lRSygo
I3g8hx9W8l+M6R8Z0j9zJf9+XThWQ6K0LhRM6xeupKn6ZebFh+S2pDB4U9FcadXyO+fvf/kpmExc
sjEw9b2Q0X/89q3Wd73nMYYuNGe4VspQSWcxRfz338X6Wbf255dxMWBA5EIqLSqyi87yx5vMYKqw
y8ANPZTMIizIT6ejMFKOl3pOX8B/DcbTND2vuqv0F+W4mFgTM1Z+KGvrvue6kyYFnwAQn4F7hMw/
GI8KUX0zzBpaib2lRrKNWKUnY651sW7nzXTQgzqZU+s8Btl4Z1iLKOE6Z+0jDYZ869rcvVodoXrY
5HWSFSa0UlpYuuTNRJcfSaOmHYXzGcLpYxAtLeD7/z+3hvVPmQOHzf9+bt1c1AbflPzb+UMVH/Lj
L23DzwcZP+HvBxkSuz+A85FLYEmHntNHqPJ3KQNRyn/wR1jEIg1CnuWweP+iNZv6HxgGcfyhW0EL
h+PxP84xw/7j4maE2tZC1gihy/5PjrFfXm1+PnvVxZGNnQRVzq8ReQbR34xMnAWSorJiXSOIuOps
ODk6qioptyinW/nNevpl1fKZCFvBaXxIiYSROdyqH5dT25N8QD8/34EATbtClxv8BCF+J8a8rMof
9uLLxyDzABfxrb8LHH/+GKOlaxemMd0pg20vLxnX5iUY12abcaktwJ69SWbUXB0X6T9ivJDtf3gr
/sUe+OvmjNYE+6eL+9MlbY096pd9o/Gncd22Vd35zTAx5a+C3QxDYacH0xy5PVmjIKImfEfCyUU3
mYgiiOqymoDIOUMRxeiq9TTmVnU2BrgvmJ9lny13yn9zpy4v0893CiMlXAYtD28Vx0Xn9vOd0jeo
asQcwTlnKrpzJbCbIzMNTqK4VPzbhAPM1qPmtrqbAlOkWN/aT0YOmCXs7euAPOoLNoLWDeyC7kqk
9XLO0zI41KY37obZsvZt5pc7yPrtwdbHu9ld5zfGb5zATrDyGIwJwqQu391yefzNI/inl4BXm9tv
2phC6sSG/PIIpFi1lQlgfQdGZF910lgiAKriGkuwng6hBiCw1Xxjp2KGA7PqOxnUS/zvL+Kfby/O
RJxQxsUQHizmFxFh07szcoeyupvlYJ7q2nkFPJCJNUNcWb3bYMuMCC3t73JFfxEv+jrHLwE6/LJ4
eBc7sJ8f66AHWN1Lkd3N3ppTNRqv0G6ZKZSOxlCyDw7FkD8yti8ZL1U9wc7wmf/9NzcvS/mnNXgJ
jeaLo+dgxYMY/HwJ0ggaWboyuPWwidl7mWbHXbd5D5ks5sRPvXpvrI/Qq297E9QO6CzsC5XCTTO3
GNFBc6qsLt/5U70iCfAPeQEyKzXcpAbjbaghFtuh8rbgN06R/7RBOaSIIGXFdolnRrzNz1ddDXY7
L5oZ3Koi8B5XZ56SYe1+a89wuf8/3Rx+OpqVyxZOZhkq1p8/xlyaJmNas90WpTguMN/2i8FL6gsQ
+copdwZ63Q+rtT9DyWXbckl1GgHDf/OI/sVV8NE+roGcKJwEl7f3h+JGq1Qup2YzbyXF5E06pmfP
qtO3aQj8uyFtbcoKqzKuTVEy9Sn16bPjdKC7Y8vUPBRd1XyiP877YG4iY6PjSUhaCo7KJzPPzaeW
OcbQXc4SW70zI7G+/fvL/+c99iJgR92PRJeDjFTHny8/IxrNUVWg3+bCYUhUZBexOKow0pHWSIFB
QPdGlAMBoW/OXmF7sMoXdHMMmRn92DkEEKZgxrszu/0ZE7h0oJNas7NM9d/Zh/3pD/bzA0dbi4IS
qTSJTP8UGYMpZoVn0jTcIrnpHkzHGfZzlxKYnFXGTtMyCIST9E5ybZdnZNt9iJgA/kox+Wy1XTn1
UWVDpw5bAQtV86xux5wG5OjPW/r/44j/umw//3tZF38TzRf1MRRf/vbwrR0/1/ym+f43Sr2/RaSP
Nj/OKS4/6S/VGhMHZGfwzDElZa/9H6Uq8wYkrB56BAo19r+AlfdXeef8gdQa/Tr7oudyPl0W3T/G
FBexG3s2WxBVmY5l5X9S3+Ej+8sCx43CRy5L1Dj/sZkZv2wzky8nTVuCPCxW6KkxtCqo2/1YrG3z
vdEBrEPYx/B5UI7UXbgGs5ECcJnmp9bV+io03BlGoqgDxOcsGeidqXLzI/uDBCoORK1A/7at2HP4
end2VnQfgEPZY15pmp5YaNI82piFOXap6rwIVaobUH6tVj86TlV6UeG7XR+WRt6ATzRUc3HmzsU1
p8LQhVMwsoLHdTFfiUtTpDkBBD/3HjKSpLF0PHzdNLNVZE0LCMmKWig/jvM0DOGYC7DozN3cL3me
Lp+46YN/arBv1C4z4/prqrxq2MFtyiEbl4ylh8qtGcJAQLxqUP0TzrUCTsKmmEHV5NrrUwinPH0u
rEJ+oS3fxsPk+AWk4qKBlaT3Q/3UNzPgEyFiI9zQXpPIdrbVxU/DMPc6OpAtXEh936ll8BRz8GF+
pC1u4dQMgQc1xZu7184KFBZRQ9npdPL4LYTGYEHEHFJjBqPtnHXdwyXX68gclhYGyRzMb7PExAOG
ekldC+evfvftRkBxMRWf4zEg+Q6DbbsV5srwHIdefwmHDEZPmBqN9zQUQfvd03xND0VVTMuxazdN
HrRUL7ZdAKYto00fMT8ACG8W+lflmLui12ruC8TFR32RwE46uNFTW1bOe+FNdQuhavBfHLQ9EwPt
0npp0r7/UuHuSeCdt+inTdXlN0tlE4rKZfV5P+DAAIDgfZI3tv3VGyfAiKLIIGsvgc3kWDkTxphj
a61lsk0NjAVzHH03NCbMGu/zIe16hQbbRt8oZt9pK4jDczGcq77WjdAWyCZj0XS6n0ypr+9c3Bwt
/H0d7b0blvVGL11vAzZtZS4PrmpBuup0KK+UldH8F5O+6sPZzzQIdj02xxLi05h6YWlmSD4mj9Fy
HaYATP499MCOnCm7kkq/7sQyyCpaIPumN2pAI5ZMOgKMxA+IsnuRKlDWrp7ABI+uWVQkObVpsDrv
q2nzPQNbGQUacV7J04YWYbrWUeZhmaCCRsdjudNGrrgbqySoZeNFXYf45Kr1NY6LEsANPUClefBH
UuZ+Z02ujvlmSdvO4IlLaO+pi8wh6pW/zfGI9Ep/nura3aJJmnn6XptBIV7GzjXnGx3mS3saK610
3mRTBPVJzku1mWE7dm3wecvKtnyosb4B7ArYhx50YS5dlIOAdHt9Web5pm1HbwIylTC/lmr0Am4Y
kV/sB6PPUH/u0bc92p0Fy9Ysy3KDEZoqRI9zwccY3ojYMh0sB4nGDGABoG/0sewL97OwcWmOdQuS
1aesLnIzLMu5fpk104X/HwB0hIhdVbQpsfrXq9vPYekNiGnEXBvD0YC9/c2eKuGfZ69aCYwVEKuj
SjWLdhtoBCyFKZvNsFNpbo0fa25vj2lZeEPE7lsWKLSCtjgbnbDTxJ060T/okmzgqG58+94jD6ra
5UE63eOyBIcE5h5bEw3ZBVMcnPkaDvU8f8/MbdgxkmNNF3Up57CweKSYqMzwxFD9mo+cUqV4dMqi
eCgqZS5RRVrmYV51X6pITdkENjU4W7rDVMq5r/q1x0ndH9/sKm+/FF6pjzvY3fNnH48iACNLV+y0
MH+b9DNgoigPVuUirMXKVCG7cguuIRtqcG81F3V/H8gCfugol0qH9SKHFGFfwW3SRn3udhkc/4sD
Qrfe8vR7e48/AkNtxgninJvQUmPNzTcPhprpSQi/dQPfjbaMTajtgvW7CYhc7cvR95cIegjcssmv
Rb3rGyhI+2nS66uqLTsZcift9KaSA9ixWUsFKdRk0w1S3b2rK9drQlkvgNddcOFLZ3lRvA3dZH2q
kSHxd67RfiK0ynWSmUR7WGxuzRCZwLb22oH9XUeGIYBea9SQdrStWx7ENQv5xeiCEXezKVcahNFi
/iSz0nvUBlf1cW6Vxno2CEa9KVqRfm/6woGr7GfbU5MN/bxnkt7PB9eaBHxQP8/00EH3+pRmUIPi
AuBKhSTOb0G4esbiRbYxYRElrQm/0G68INTl5VLxk4Lnjw1Mse68UXMgOs6tl4ekqZrwO9JLcmSV
wutPJuGvgMOO/qmpEW8nDFGxVXKmFdlXm05fClvTs6tuWS0ouUsQUINasIRg2o7e82LlYJjm6iG3
tWDdIjdYTOvQaH3AEb2wm2GlQAJhkpcrqe6Et+vXokWiFzIlxfdKmkXvRoO5KReu5tLCwGv1ScYC
sx6gdHQmsMIVit6F4Y2HmQKiLrOpeIbjvAYPta0PuGuWRfm55nSW0bxdal+RbsDpJhBItJaG9Ty1
m+WHIAL9Le+F/l52Tt/HflusdJHckc9UNY4G+DgsyGFm8ZlGwss5lU2460gvgsurbGlPGOnmbxsE
1K+1eUFgKQMql6j2jItwurUZIi8QDNbN3D+WtOkywlavc64ZdvAYR2OsphCsSlA6+PPGu7+IJewZ
BMhEFAbcH591M8e6NMBitaxVedwvXS+Qt8lMIK02sNfI0N7sWkgGqHUHrT1uGf7WYWMbmRuRjBi8
TUHZ3I5LhQGAXyGEj8qgUbdmVld+VHJYF4m5lONd6qXdsF9aC4b8MlBghWWaySAxCzg3UZWxM2HX
knaJlTcjUi7NEPCZJ6kXid1a/PMU9tgUyWaET150LbVKtSx5usuqvCa+zofi1VcjRdrscqP3UIFT
ebMV2vppgmc3QTuZtu+W8ixehr7wl8Tp5lRc94vvLnEwNNu1q6wW7m+hvVZoMZ+yNWvd0B/m4HMr
G0hQ7JDrNwI80zHe+rb7BE81ELt506xrlULRCYfVRhnLHxaHCTbHh6VGWOYmsj2or6ml8Y76Ou1n
v+rty2h4PJ/VhKJZTyN0p2JhQ4nmegbgypUqT9bSDZDviy690p2psxJI1sO9pKT9in9oa4Rb0YtH
ssu69wBq1Vd01UEFmxlFOY5QVvHeweUh6q9Q8nlkhvQNy6D2rpyLdIj8TQ+elBdUKFrm8YMSNuX5
wXz9wpms7pvWXVSEzxJaiVK15UvhFAamDev2GDTddphxouSKO818n3RNPIyaIVVoNLW9og2lgbH7
AWmm3WfBZ9zCs1dI586HN2YBT3/sUTtuStXRWK3B9WC5VFdpnhLZTIXpfxK8KefFg+IXNXlZwxiE
9gnXfagxnljgOo7Uwq1/zfQI5eKalUsXB402i0jHwO6z23Uz1Kaq9axwUGP7lGnLDOl1WaoQ7qZ/
pwhwQOpsKuIj7W0LHldZYz3u9dt6NNj2wUH8CuVum2EgkC01jqySzTuLtM3yKJesfoIVhqZcJe3l
bTH/m70zW7IbubLsr+gHwMbgmB4LF3eMgTEzgi+wIIOBGXDAAcfw9bWQSqky1VVq00ObdZvJZCZZ
iknyBi4AP2efvdcp6YOjziP4vvfrHk4Boyt3OhD0xc1rq/67MArcfd7Ugtmfso7AirAH41sy19NP
r/XMp4I3htxlw2AAbaDQf16KEh+OWolJHcLBW08ExeBYpBVjGoY1ysDaNsyESenVNcQNuA34LBKz
b0/SXfGY2tOSprvc6sl7APUcwhOLvx3K5a5wMrJMVNO7viAAELmtkMUuWURQR1THxlOikmGCxSHk
hd+SvOAsMKrIpsoy4qBpMFdZZZA6+3ToFkEGik2ipz5cPTfqjGqiuCQe8g3lDzOF42qJG0JTr5PO
r6WNu6UBX6Drov2F3OGF+2Si2o3toBcUrEvI6WJ4TvE+cJfUEdgPDiA5aPP7bEx0gTqTyuPtUCsX
b4dP0FSa/KV7oBbOK9+zvLPK3H3rA/ivu3FEQTWMsHpNBnvcAjXhEOwH2A4vWZ12wcEn17Fe0V+S
NaYLg2jZlMn0azWLBFcx02By7Kob0gOPy3hKSI27xLSraYnWxsVETsjcBrlJu0fclM2dOQWyS/Si
rqwtkNPBlj+Imfh/rJOO5lLZteI2QiCUp8Cs+2zXuoNJmKxsoACJkXfNQblV0WGoTGe+mgzoUVy5
Vg2XhMSGFVnWEByKQizM2Rm203OkC7u0A/KSNisoEbJumTiq7liFqr7BuKJtzDkBbtUOV30b1aAr
yngYF3/Gkjdb+WFsYFNibbQqtS+9pIE+Vnm591g5BWEPx0hpSzG15umpdVqOqTkhZhxNraeLY72W
CVSOtrVkrJ3aw1uMe7oh0F/SIBR6cXDBrS5OaLkmzL9dThYncp25wX09VOrJ8MoWuy2AwCra1g3w
yigtrOKVlLxldeq6t+FaO0HcpJPxMJNYHI6qJzyFzWssw5txYT3QzkoDfrRyCsOPojekxn299cSW
acvkIOk1ql3memq5lInV5adKDPq5w1hpHKUnkala/Pf2xc7MMH02w24w91soEpfdUlWUr9hryVlV
Vq5inpcsxNS0BF3sz70oCYNxDEWqy8P22FXcWofe07nBxQ0KSk+n4v4VTpZZsaqsCqOZZZE/1i4C
5q5nk5K101k1Bkf87RXRBEdl9Dx1VcpT1flFdrZ9gA6nlIO5vU2mqi9O5BVlfWPXSY5JtzbzlOd7
YEKL9WQZztKs2oakwOJ70DS2Xx3mmeFJYOV8zZi21XCXBuYEHsoLO/sjcXwpD9Izm/o2TcUK09vA
KnA7Zw4npVXVa3Es3KnOTlJ7eNX5gGV7KPu0d/arW9PsD+S1+32pFIGLlPbwszCn1TqSr2zCeGiN
0LlkfLSVeE7rBl9HOvXq1vDzYY3ntSOxPiyQ7M6hu4gxTrtlzrdsgg1Ja9INMSbClPJeaUwtcVmV
iXsgG+5bsRGaSXsUJkuNxzhsKAa3SXcfHLQzquk8zVixvy5yMfVtNbTQ0HBnzdV92BK0f0r8Duvy
kCd6etNuyv0IKwUqy4NeaTWvSaC6IoIfQjRHL7ziF6n74jJxV1ekWbdRmRPmSfI0ShY2BtTTI/a1
deya5dDR4JKQ61FPUJzTLozmgp9/B4FgHa/LobMGZmoOhMZqFpiK6eBlEQNWHTJMzUJae7sa0FLD
as26WGW5pfYek4riRylb4zXw67q7yFatQBfIVszxwiWuDwHAOJwGDjsXOFHzxTgOS4qTbe3GSR49
p6bHDIjboEhJ3VhYyHwG/nBCGoxAhRUQ9FztIturQcl8B+DVk2ec1aM6c8CP3Glu33sPHZCW4gFz
v9Xxbl9lffQZhFgHd8oZ4Ggrb+zYWnXKye1wKY9OODvXBuScJQYVSApIemm+RNp2+ofCq4r3qUnB
C0kFHIIkO/nnqFeER6N2RHGIiTKr28Br/DtzTus6WnQ1fg8Gq4fboXRwtHmiyD73a98SRPJku28b
HK9p1nKvT6z7fcwtMwkIlRWziBe76vhm1kA+AY8BQZABuIGsNofNsifaRanZkygOdnlrBe1e5Gt1
hzhA4sStZu+M/NZOO9KmXrpbVFG/BTNruGh0wuE2X9t6ORi0ua95H4QvoUYrJ3rOXQu5uPW/W2C0
fkCFwc3aFQGWiMRYXI4InRNFEFa+kTm4zrwt0RE5zqFsAJkZyYmJvlpg4NZh+J1V0VYZrUy1cnrB
lgy+UXiK5KTfqg8efqOPQ0LKC8E7YMbf+pz+4AxDY34Zx1rnXPyehDIV/EwpWuppbNHC0nIsbniY
GmKui56H6baSEASrY972ikKqNeme8ZM2WerFnlHn1RwRx0ZeOyajNRMysL1mKR600D2oL0C2Aevg
yDSIUh7KsJbDwfRGF5HWcFMlH80yxEnuoiF5e5dw6PRzDLCJD1Hlb1MYwxACegp714yrrDcNCvck
79AjmnE2myerrd1uHzhk6+NtbVsepwFqkTyAUzYTGIBi7JYqUpktBf54L0HuzDS0koPuc2PkBAgr
71T5TlLFums9eaEX1OtelDRwGeYklPEji+1c4mEFHnbrnRFfqB+q1KyDk8hIBPBle6n/QHB7mX8p
HF5UqD2RbHu9mnI4REfEATxNjKBSl5OHJjnjdVHKKRh/ZmGmpxtTkgJ97R3f1NZmosZWg0pXp7ZD
ghTKSxGNWNu7H0kBSeb7YHvl+FSSZEG6zM2ELoE4iYcsFkFqH1iM5TeY6F4pqDP15KZrUOxW2w6y
DzsH34K/jNrXe2xRf8Y4K8Mt2S6GEDRCngtdfE25NdoHDqTEBRveF1ICRegGQBNVdymcdHnuM2tm
3VjgtEMRBaN/a/abyFsw2Y2EIdYT7X/nYdg2RnfXpn19Bi7kdZfRAL0Xg+HXhG7nrPplLkn3S7a5
9TJYBZHzfOrATzqdoDzMGd6R6KBZlMd0KAuMSFazGmdR5k0DPWvwr3059NalkuHcRpMMADdOlsiJ
+TpNADvSyS0RpSnxAKxFbNHaeYZcHpUREAaZVDcNF2cdqz5i3Rh+dqsrQRxxn1nED9mFRVprsZS9
kyGKEhKR2b2Glsw+jKJyQ/Sk0niUWUsmF5hKbZOmxPbPVh8e7HOD6fsOGK4FA28yhhukIkIUUzfB
CJraId8jZ87uXWO3G+NpGII06lMnmaMym6qPNmjmF7WGk8FywwCmtjbIS/NeUXLl0U7yTwsNlB/B
zwziBb1LTAP9UtkxE4yUiAh2jp+dM8D76mwQYdTFA6CjYpn617ZxJD9wpe2HYhpmTe5isX7SpqWH
3K/Kh7KZs2lL5EJBGrzuOWB7HUHYFRt/PAz4tZDRt/mKpclPxKaEFzepAfgUdzPdONnPbt6tcvW/
k9PBz+endv9L+6M3xJ2py/vFN4d0H6x+8XXZSL67LDexpCWl735NiDexhAmZ/YH0QdnGtHrZr4FC
8QFRhGukh356HMJlLCJebUnJhVHuHZNU2fARN/ueUfA876ghivwgCZcSySOlX0aV0U7fatf06DSk
WG9CP+8gMswrZaYhE+rRVRf0jkx1mGAnVULMNRsKQo/5Wjo/jDyEt038rv5s02r4pZ2UVCpSEdRU
XhfAFSFA7PKxoZ/RabfhAoyQbisxjOFFUBOz1r5NUfwnY5meEoYw2TmsjJTIFS7PILYtzt2dMPzp
ZiYbSCq+EMUvuqmczTESNKqT5QEkgtRqEG1tGTBQ4QYlUyuCbleFVf7pNiZB+gI0+xq50kVlEU5B
tVzALtnctLABmK6Uoohz4XVib6CVkBziHZhd+jFtKZQHZKS2DFnhxLPFFA4yneCSEPZ7SlPiOlGL
LXQ4hKzKSiJAbw7QLyOl3mcq1pSbTsNgyCP1I4ltGcgftL7eYzI55kswJOF6qFcnu3d6s+NeKla8
OxV600fJ2x5RZAoGUuStpilHzBDmpZey+wnOaH62eJ4EKzssdSvH2u52vtcaUKjSPEcbb5cRY/DA
/Gus7OSpFxbEsCZ1oPc7vUFLT+7AyG8pDIN7ObejiGeUxk2eV2DFUhRg/7R6tWeyG7XLXsNuhvxU
a8c7rZDyJG4gNOKdaXfszhq8pYYLoouxPtMB2mS4lX9JUgrlvRKFO8MUk0ACWehKmMXWBVEXXCWr
t3M6py/e1NoOn0Wna1CVdaU/fLHW5QMgjwEin7lJwYgxDIOCoB0fBrmGxpWHBe12CN0Za4IYileP
6M79RBc2HIne9vm14vNddwFgj2gCV/YiGD3JHQeeY6L6NEBqZLuCcphsag1lmP0MDcjKHjQZ+HfP
cYnkLGanXrqwJTNkyqr9+e8x/V/dl/90Sv8fVfoL1+WfhvF/m8Xj/mfg7hAYYIjo+pDh/2a1NIIv
2MrxXAS4T1iXBQ/278N4x/8CGD/c/uMIE5+Y8/dhvBV8YQyPexBziQWr3/uXvJbub1To/zKA+Njs
Nt8jO3DZgyFAcf2D8xGjXNIzYL20k9FB9+pNJcSNNkkZUaHMrKadcwTsxOprstVJ0xXHNFzLeZdu
P64RRoRPDXx2DFPMNzAHqQNdtPbkqGJfKyetXxk2zKHPzDDn5gPuw//XvxfZaJn3vp+alF71uOST
/Z2Fhp1u3rK+CnmRY3aawZWuGbGwZz+voO/Qh4/zo6NIoxOpG11NFzm5mkMmRNOQQdNdDZlNBgw+
KAO/pTXXx6UEOxQ7YZbeeiV5NTguJZm6FnsC88RWZx8pjPyO8HxhZmcGuoa8trzc9HZa2IQqV0Kf
Rmwxyc9PftAk0D9CNmbcLI1hgMMSonG74k0w9Z4z5jr96p18e/SKF9Hanan2FTNY65FqZA6OCiBX
etON9fTEbC5UJ2EMZXjX5RPhn2zYQhd86555mIbRa051IJHHcz2UB5v3YhtVmYVAbDcSllk31BW8
oNahWxXZAm1ahs3MeV+vYHzbntC+ha6XxmihjT5CgfGAWs6DQZKbaZaHy3XoSxb4IWCAbx/3NVam
dL10Rq4TeoNB8mJGG53PgWcAAOxtq/9RlhY1Q8fClBpxGqqTidrYNJmdHjq9ZNnAZmLL6tUlBcqD
fiJS0cyPC0dSelf3/NohwW4H+DQs54YNlqvVcHNpgCu3Jjlh7A6yt6cDO2UX5gAiNdABFRG15rSW
btZHRkvWlwrI8BoO2E33ry2ng7zpwXE5lN7sr/uwLXS5y1UX6nhdqP0u6eqp284NlHE0x1mUR93o
ej5NAw6ZexaHrMu+qliDEiep7rod3aXt7iYm49YO8aJ59ryFED9k0jfcssiOGa7lZ281ZxsEty/v
VqMKKJ/TdqA86PsbCK4BUdIcfSUKFfPyaHQlTQs5NdRZCzDsy0BKToAjk+mnn3lFc1wsfw7woaTC
vCZ8WKpdVdBjwghQNC1esCxVnCV0grFqPeOrZ7TkGCYEfQv+CQOuiyur7JUCerL3JEt6c+9jrh53
vaDkxjk7KQaw9YzXgTizRebWaImAZjVLGyVbXnZkoqm1qgZ/5mEuyC3tBsS471aIDIC+zdm5C70J
rSQ1nGU7tRLOSLdw+c78lIqZ3HDmoWkWqeBzZT62sRUP5rvi73zVc218liAWvIiZJAWV6aOkRlk9
TdUuHYaJQaMKDG6itCkewrYex7gM8ta5bqld3qqelEwUdivStDnjvdg7cgzfjRngXVw2GZ4z1qDS
ALRJ2x9ds0lYgaHH6sUljwv3tFFAtXha16uGlvm9CDpGVBHWKbEAeeb9qzAIZqvQF1FCpUDcdlF7
omWlfDp42wjruI4hIX4zlEPwngW6Di9saKg1EEiztfgfwbM2QXeslPc0ajg1XxM5qeo+WDaRPiL5
D5EFn8RQw8AKcGi8T3rScwIjaWDDDFP1NMs+IKzNRHLytcPjrmTjpnHoGeHqfg2yvETGcKvedE7p
iEvmm6qyoIEYaXcCEbmolod81VZ96IEirFebVW+YGVLIoXssM8ev4l4X0O6iWtANpmeeTN7bvCmC
dQn2c2ijg+MIWpbpQjdaVi3YN/YJZMxGeHPvEwws/oXgaiJfEmRVcUSLycLb3GqGGkvPdsmYzdGw
/0DUD72vATxFdFiK14mGJgmEPBO+hILm5/ZgQ7niTZXsx8DIC4YumoDwR23wUFE5r4vB1YfmAHsw
s2fnkPWNbPY5+G9/h5+jL2Nn2vK+TPhbeR6aJngfgFC/6ck2jEetXag5oTWKe4GRZLpb5tp6z1aj
REueCwhnneJUIZhs2dmrVVumOixTMtp0oFO1RplhEnnLRkgdt4GkjD+OHsmlpzAYYbWJlgx0NIEd
efTs0XrCxIMgP7DiGCSUAcMqYnOuD2gt6JB/t/g4bvLBT66rZN58DYVRp7Ggj+QgkTZ8dpNxQsej
2Eoj7kVX3kthZzVJ3nV6BoadwQibRZef+Yo3/XnSPFpj0OXJ3h6zWcWCGRSjqb73/TqGD9uRYGZU
xEADDUVSyCbSenNzf25i16Xi5WIbrnFMO54edmWgizFfSAnHz0MJPwUPBSBc8mQrjTu2gfYwJkYI
l6CpoHRmWVs9MOQroMtCjj2YYpphZVUcHeDvwASemgw0DOng1npyUbdEDEPa8W7wXoyCXlIGztFx
qvWzDjDwRG7SW9+5j3M8Viq3U9jIaZYCrifqHuV+nRSXcOrkzWRVy7NRzTBCK65mebvAS2Ygg6MR
OIqZZyilWSa44qaZV+FlrVGDoS22zdHOkVJ4A1ZIDMDalOfvTRmWzrRvStvdJn6Z2X9tvAHOhFdv
g5zK1Pqx8ArADFMnrM8RICkJK2ZNpFEEw4R9M8oZjGyf+uzJQu3H/RrCJefq6qeFOY8TQ4NsHnXR
e9/BXPYJAX0vm3coNjQ92drwhfkzaS22txO02YocVPySV9EDoBlGIYANa15zQT//WIGgBgfbSJx7
a5ajcxllg0RpUVx5e80MWV1RXs3915CRDJgBohEWqQKam/y9CkE8lPshsJIgwX3k1dMzZOK+OJZW
m/xcoXi1OzNX6dNghYt1lZIwBlRKeH/82c7+9CkSi29WZzZqVlWV20QKmUyzdqNjEmRSz4S7wu3c
E4uOXAZVdT94sSSy0e8yAI7VfSJQT06lm+c+lvmWAhA3lNd+tVIG8wdVTTQ7nmrgdA5Gp+i0azvm
ge6ZB08NYzAsobkPWIEVpFFZT2O3awMvfbdqbaL7ln3fn9K+JaM/hKJ8k/YK5s+qpC8f7HoZeric
huqPFvnRz7BSawdP0UY9yKdxMS9bXrs6IOkAe8zyHiIEu2e8jRqrqgI8MzPJ97yZQ+YUzmK1d2sB
m2+fG0aP2czBwHfHsmKshm5BEU2fOdW9LhcDWq2kIsiOWdDLdh6PXsuPoXiQDWfMLR5JMytyt9zp
NXXUddJnxSdGMHNhkYHpZ0ey+8waVt3beDO6driVBHMh9MBIaNE9fOziFuC0PhrCln+F2eg6MD7q
bYdCvcirU688ccNBm62o1V2FWEJy9xucy/KeIgs3uZ86I+6xFMPh2eHO8kB1LYvcac8Wb0EJIGs3
u62dsDjdQ1XCW6BAs40yeIc15sBibQeBtT5lXRs1Vk3ykHNuuvG17r+OjUKOShJLv1O8LPMhz7LK
xbQkuu8+i4ue/G4FfAmyKb0vK0S/uGX0CIbYqldQ+UW7vvF67LC8Q0evMc2TvUi0kVJhOVzXgwOT
5TWfoFrwfhKAuUM1GW40Ombx6cxCy6Ok32WMUIj+ZZ6dctjNeYvxkYFQ+9ZZ0sSEsxHXTQfEbpTX
E59xxOCqI9IIQXCyXF+m8cpeyR+W6zEtC8aElTl92iyPpMfxqlbF6Hz4RIloidLJlKgUTJZwZ6WY
hk3GW7Dh+6qtcS4xvkdkhewKIkZXx5I0G8sSx7J/XfByMXEDq8AuzL5pEDWyTmAFn81fBbQ+ZpM5
sjj5yoLClXTnOMJ5ZL4ehbQe/85NbvunttwkKbd/5rDnFMzVUL+r/2Yb1G+/9ffEpOl+2UISxHp9
yyEzSZv8e2KSX/ltiSPqpW36f1wEA8zjy7a2zDMtFouRZrP+GP03v2x/loXlnu1Pv/2J/0L0f5MR
/hjc8cgEEdhyfALOED387W/6Y2QmdNa0LDeASieVc4E6jVuyA+GZxWzxILdE+Yzi0yy3TedkxOba
lyoVwVWAeekBCWy6rvs+QBpX5o/CL+Q589K7mSniDuYWozS/5MTCRXtLv7k8d+a0/NTdzNY3afEQ
MW5rziKBja+n8q/Bp38p+vEfoxr694pg61+isf/1Pm4hiMeBh0ERjVD/P2wiMv+pgvQwsYjsTwKS
vf2G3+Mc5hemEOa2gijYIhNbcP2v954dfAk8+ASBR5KX9O0WAfk9zmFYX0xCXAKyBEFPvpUtRvu3
PIf9hX/b58Yj88rNua0y+xfuPZJNf7r5XFQsyEkBghTPAPe6zcf4482HipIshAUehxLMGi6mKuDF
mITnTk79i22zTwyXZnVL49xiYlswNFsuuNlmcHe6SJzYx2Ubp6OjsKLr+c2ek+lxISL85LasdSFA
vpzdqipe1sV6Yk3F+mxNKXaUTKX3STWuV2KgGMSjRNDA0ely8Dr+ucHrf6Zw93G4DNU15wa4wSFB
3R4q+q1DATjUjKVNEL7LBv1aBniaqAYz6cd547vfXRh62BIEffuu8hz11e7b4ApLZ+9xvqn6QnOB
WbzvPFyms5RrcKg9Oi1IFWGJ9YOsRbwgSJ9MYXKKkskhOOUS5LuvQftl5wG+9IvyLGZUnVjEfT2V
Pgu7BnVTJ9jfuzax7oRctn1s1sQ6TleePUxnrDNrmINHHb0wXvQ0HqR1USOlLjaxW+Fl5tU2ziBH
MJOyfA2d8W7YAiHki9Hvu8/O+e5Cd7tPp+miVfCjL5drp1H7pL5a2/wy6eHZx5fplhw+W3lmmj1Y
u+TDSEJ96frpVbZJfcb+YH/tRbATPmxhzAesliu8H0jbwbUauguXiq5VPKLpSfBv4yHrpmXP8pL0
R1G4iBky+OnaeBIy15/fzXr48DyKDApp6w3T71vehWfauUvds5slS5PqYbKW4kgH034wAHn0mv5T
rNYzff9j4pqnRVt7ysGDSoJyx5qS/tDZwPTG3BFsQ875o1l7Aq1IIhotdWLve0M8eLJ+wuvaXRf2
9O46y8LenOSElMU1RYOYQIsSxRDgb53Nezq3+ZMqJlKhju0CgrIm08bE1puf7cT3ZePj8vyiBHI8
Y/b3KqeJyCIeXbCEuR7PDOqKl0kkC8sCGMKjZ1X6dQs2jB9GPj7STcRp89a5uGoYPCgRKYwjUcu+
SKygMgt2syEw6iYZ8VLs1T3uBtdwLPwryTJeGqQAMinIYfqaIZN6N0y/AfWVAlF1xvTsZjYOgp73
dQlRjJ0hedHEeabqF2orXGea1SRZPURdOt4yjeKf/PDOLzCxsGLpNAn1zbbFHj/tgzMtMRrBY8EY
uqsWEQ+2vB9JOBzcWeFco1q8Gp3Z2VUifzOXAg0F2TJoM8olL7yoip8H1ytrI0DKYTi4dtixi9uW
lbC1CK6x+weR0rj3RWMeMuWq27rszcsK6npX2mkbs8ET1rQmGYTgx3+JFWMvps9jbauvncU8P5o7
1lKYs9gMVdfGsA5R3fT1Thm13vsG7qQM0Tkq2vSxZuB2bghzPRm1m96bbpjsZMmlRD9bDqE/bfmr
Yfyo8vQbftrztgxrKWn8A7qJGi7dS+MJdcaJf8pk9002wj5UNVoYE9ITiLd4RIc7TlSiO7OYXMDz
mN41wNU4UXTUyshqthyaeDngS2ETdsRJzElwsJrJOjpK+D+AeviHMZtwbcrVflvm8CEtWYVosLDN
lcUpA92d1uV9m01IQSa01SIusnZ4VHoJWUO0eY1Nhqou7fSR/AOc5OJnwqWLFUpuzPD/Z8bSw4Xx
UAVNL5Xqp1jG8gfC2alAkoj6ySYpNO6SGtOFmOnNbPdrLsZbzBIPhqGAWBsaYJgYT3Ngvpo9j6MZ
tqccgGFr8x1gv4pLgPVR01enhqVft4VfyTt+HBqNds1va9dhAY5VJCdDjNO+DZxLiolpD9Dt5AOB
x36Rv5gAutuBECAGholv3M+Sp4GwyUXVVnaoc2DgbAprGR4n6TMrcL8VnTjSayH/e29+EGzbHQLR
nKSdg3jjZSu+ZZyfdw7I82c5jbzVg/QHSDGeXZFx4RYPIyeOzHb1UdDz1MXdqcXPSXcxrx6Mv8he
xlmGWHWcOTOuHFOb43tVDvWVsMbhR8tmhjmaqdxgEaANxT5jRifGjgegPIA7S/qg84+s6tK3bQ7b
8YaJg/U8ligzs8CWdKxN95aUIxBJ3fSsDcJKfocXdNgNgGVi3twh+/KW/jz1bnHlMw4FuoyUuNka
K+CwE3vnGyBhBokEHkwFwZS1HcwKQyjp9OSbrL4cgSz632Sa7kUNLi4ZTkyJ2elwamcWAVp20Zwc
cEZjpHkFeirVZ91CQqy8TwNDOFZ104yxSnsa2FkwHvJOGCes88WhNcvksKlMCojrFaR5604ZDI68
iUvAz6Bn72UggcUHyuXDqkgVJupdr0z0CRz5z8a4JJDgahVjlB1gmavpVAgFnS/ovJfULNt3Aynp
KQ38fD8nur5xurJ4MfIpOxMppGly2OU7FW12KSFU3xrYue+BHsm3fPFSA0lrXTg9lyA5l4KZkGAi
8DD0RnPNxm80eqttfmSWtz7mM+uwTQ+xrRGJeQjqILljqlfFXmMmZ0TT9d9z1N+7sW3tvetSP/6T
zHNbfrR/+V9/eXovf+FxrP9UFv/99//eljnWl8BnwW4oOBX+lHTefsWj+6IKZvr6x9KY4aq9odaY
ejL0hLr2X0nn7ZfooQSDdEAprPD81/Zz/hk14ZNxhmJgUxoz0NigL/9A+oD8tklsVXuf1p+FeJ5R
t5m5xb7v7+aq2bc9EDNkSR9nUsZT2yT/p+X1Fq3BH9rC//0TbEHsP5AUsmQoCVbwCTpW91bo4qpJ
4zYASXpDTY2SHnT3+fi99nileAxZjI//W46Ap/92qeyf9lT/j0DCrZn8+zrr/ze2Um9Am//5Ho9+
of/+0S+w/eu/d3tfNvTGb31bEHInbj3dX7s984sPEQOOoB+auPpoBvlNv7d7BPtJ54c2HGeYYCT4
uRV/7/Y8bmncBTwCG0bHh1v4rzR7zm+r0P9oGOCv2DgkPMWBuXWd/9DskdZOdMCEZpIZiamjdnsO
1Yg5rNUc3Kb0D3aQiw7ReMWlSY3MRlyizVP7azLWCsjmpOafoiY3HmU0dn6MTY1AkTsnpaIEqvJk
VxlFU8VsHwxBia7gxvd9EJRW1NCQGbHdBNYTTFzvFs3TQDafUhxBm+JqX/UzHADMMcC3oSiJlX2D
UwtK3Zz4I2EtJQv7chBMWY4NzpeFd27LHk4x9inLyhhAZHdFZ8Bfl0PBig3tpSiVvpER0FG+mX2z
MyyzHGeA7S5qmmbcDz2dVzQNPasHiB8cZkv2VTxbfPgomcVyNaeKHdyt7dEXsCw1/+z8HBt14S7e
nj9CqN3Y2RT8KT7L7IDJunvCg4oZuhN98pxkCo8Vvj+y/B3G9D6yVa8e7VBIYwdqGr+rkCSCqAPb
6T3v+t6OOrwazp5TmWltB63fwQemrE94RP2418HIdMJdCywPmVHDuGbay6tHsEQp+Fo3uhBgvZOA
mAcQnvGgpN/9wICGv6Khrl54f21GeEOO8mXoSM8cZ4wcklIf5/feJQB/SwFcbN52N3NjQ2gD4MEE
fZ+33JIse7tXCpgsS9vyg2MIy2e8lfgEJcfpJi/s8ResSbu6cvuiG75C2ykU6FM8tnwNbrWccYj4
w2nU9TgcnHXq8xgoCnZSNxAL+eox2wDTRAG9I8b85HNJjNk+zlzR18Um1nyf66z+3iJWs0SLBb5N
AGG48+fnaVbAmVXhO/kRJEKR7lYCJ3gKcpWAlNJ5j9tS6PoOdxa8c9ygxRtJBaxvfsmwDLKDntzI
Z63a93aR/nthwxk7smC3uxOWheZg4zbYMLObdzcZZUrPH5TMXOtce9eBZnwfmzRr2+in5DhgYEri
LaR99Gla0q3CHHEu49hNFhYv+Qc6liGIPLsLfrLms352i2l8HLXTArQPypRNQHU51lE1z8EHSVXx
rZjaad3Zm6uUncpL9gOmu3HLHtOE0f6YMpdytMbSEGqredWr7byWHWIIFbARkNGXG8fYypPPKWVN
D1p2+kGq2n4YcBS9D9rBo4k9IPkxGI3zmVeyf7NBJVxAJ4nnJPGaN9NhFnFyCp1aPDUg4g+t20FZ
7rGtXEwPOn+6cz23JpjH+uEgJttG5yV4HqfdnLb5m89oxiCLPltAl3s7k6w4MeuWRlCP+NLhUJeR
Dy5B7hLFrJQFMYy2WR/RAV+0rBygRRdiMPbTqtv9RsOJC9eq7ohIOjqGCFb/J3vn1dw6lmXpvzKP
Mw/oICyBfpgHWIJGIuV1XxCyMCThHfHr5zvKqCkVM/syukxXV/RNpaQrkRSBY/bZZu21SJXKRvJa
UOB/Us20vR8wLbdJB9uAWyW1wo42T90HDEJMdYsU6FV8HJQts5uzdOjYPyZl/VpnOhVxZdTqV+j/
uak6BZnJ0lB7i0iKnjTir7mO4Kba5m5SF2zwpBytxt7TUPKjBWm9An5LMJbstWbmJGYczblgeCL8
vayjujbMu+4OfOYxAubcqAS6Y50QMldTb7mChbkmA2FS8QBe1J6uzXZUj5OPVmZ98DoZiBMVvWae
pttc19RAytCvb4CUIrAAFzz61EmDEp9gZwK2X5JDkQo6Ev0pjlFv6ZCpXKPvTcpHA8ruDAbaDTck
awo6QU7Udyl2JVIXqtWEdQSFgIRZdqqUKgOzWexHT2tywqcWv8mvewXe4iiWDTjXS9HdCIpSIJGn
irZAY24moZSmybipGmpBQYleSBKw/mv5sZQU+fR2IsH5rFb1rKRxBuu2sGgw2tLmQ0PqHsqquYO2
DVBt2oS766Q0Jjr/m16iW3KQYK7KwU7QkgYq4yWOZ7RGT3pFyiYaaAFG0ytPZl6MjvB9Cr7yB2JW
0YOCOs+Wpc5miehN+qQNNbniyE0p1439HEaqpNf/ivz3f+j4fPd7/u91+ZHftvXHR7t5Kf8FcuLC
7/6Ji9TVXf6efneSxAv+nBIHOElKfAZ4Ej7m/+8kKda/zXBLDNLbM4IFkdr+k48k4SPxOx7+U6Xm
z06SpP0bfEQEEmAtNT4IDP4zXpJp/qXjLVLiXBgUdyZfFUU+ZzjK6i6VZmr5cNK12a6pdO9o0RKw
l1K0shtzkZwO2jIxaKpATgS6nGeVPkDa+lWFYmS79wz9tldvR5UclUnT5ulgOQoa75PFC3rFMaWb
droFVOjP6uOyOK6qNloXHUG6McbyoxovVeVGll4OrbFQ0BhXa2D5XddLD4X8Xvay206rSlnk0L/q
zatU1asOeHKY1xqk+HJNlT0D/12Tlkvk1oNVDUoWlHsM8yMSkngyOhFdkzp7+kIyGFoyyamBkVfx
dXZQLfZ4Fx5EZfaoO0Z2NZr1jT7dQFFEu5eBRYWlJu6HZYXwLF2TtjCJNLlDprIvJJQSaSDoGtWe
wZhs19nMTtI+iOpqIbVI/yiIPDaHINFnqwomqKj/0c/7Ggr8ZoJTRXKpW70XR5A+bbYZtE0xU5y8
DlX6Fmr2ODh0WqcmtVs2PdcP8CsDCSQTEyXDYJeZwPBAz5AiB9eQx1dQ7G0/pSJxzeMnpJc0xhRB
Ud+b1ntC0XwykHcZJosGKBl5V7iRGrpeAnqoAQZ2GxyD+2k0jIUqg/YZScH5FsSGFlTMgGc40JOP
BM4XYHLuUQcDt59nDxlpzwo0TJ5nC/OEGyafKB1IyrzazODIJ2kbL1EeULSX/ag/IYMJDaYiPU/H
18waXWm+GawipAingpFr8SNk5TXqpjxAoqlbGarWXHWIc6i5/tABREB3Clgfk4yaVQWLQxLrs7tq
MNx5HD3I+OCkqhQk4B6NdAqKZrg6dvjEZN4aeH6nLeK9SZCaq7yQAdhZ4SFGAOUQIwmvjcgGVQd1
o/aad+oHGjoB48ujR1CwKhBtjrPuo4oQfZwKJJmM3JuB5FJF70hSf8okmizzGGhI90Vd6ssVfU8l
nSKOpNNxG08kZyNzQxOh6MsER0XXWLTXkGKqpUCaoxKggcCyZnEgo/IlnThvcnMx7wDZDoPQkvTk
w+COwOOTTnIHouFpv+vw6qFxOdnjBB2CeQqk0vQULb2O5pkHX4N/7OUdeQXUJW81IfEhsqJxbbkS
HH2aGs6GHFoufaGIbPpcWqY9lLWqe5BSP2/eGuQD5l4ye4iS0Va0MTzBkFxokbWV0aMLid+cPcp+
p5O0KiH26TIYS7ofIx30Rr4DPhoqCVLYOVqVg1Feq0fQ2HlyWoyz4aYb9UCeimutpBxLhkEFmIXO
WIfo0OxmKB6jVFoK9m2amVwt6dHAOzb+bLzKWtEP1VFJmK2abPSA+0jTYzp7UnBXDvAj7QaqcmUh
AFbdAAIJPyNs9Zt9Q+3teNTgUe12ckbj4uzoK+1y1IbbDsXjqdmhJAg1Vd0ipp2vs/G4SNGjiebX
So+iA7oPHUqm1SRTlNq/go0jEDRQzgCbhtKuVydsd6QkiAvB0knbYv9sJMpnBCHtgW65rr8bo/Qp
0tkNJjJPo/wKRZkD05UNw4hbQ0N/Gl/bUigk7r1jwk4DR+9UaKBFyv1xoMLBNi/h3jpVeJbTRyR9
5lDc9oBUSh29FiVos12WRZiIK9QnLOQu5SeOeJY2LckyGeITee1Dc18YeuFW85mHHNb6qLf2lCEw
J1LlVDrqU7I0tWFbA2WKWC6ItwHeSdDjmifZotc0/3Aaehf6y9FHt8eBIcmGSsVue4Zmv2unR8t8
sWgLhaPDniW5T68gfamD5cWzPgDZFnHx4OscqdpHzvzYf87raTmZ0noaKdeFSQvYWTN3mlreUUR3
k7h+LrV5AK0ARL4R6JJjboSHosLGxyD616ZcCzm15KrW0/YKxqbKTqr08NroyVZSaFidW9V2frR+
0BXp0HG8m8ngfMA+QG6p3NRC7B5GpsyhuCKv4W71qj4OLBWAsKHhOrdFAg+8vlMonuY6IAJuLF1B
Q3FVR8fTDyubObNKDqMj+uQTGDKKrHDPiMR4AYhRLoaMJG7nA3WaLQDldV6R5jTExs1NdUxk51S3
jN1sfgirYSZAaU2vr9UyGR8N8B+0LBzqe/idHRXZeAdSuOajHyzlEeznflGPQHB6o9EcME/7pxoF
TXjZyiVlxZGKXOS20UFD96mJgoa2A5sb9DXI0DViL7hY4hUQszgk+VIinENvOGFotwT3391Hutm6
Zj2ldOZhiYqUloVUNF+hh/eY4GuiRYTWgZU+NOjv6TKHPwWnnX6w2JHJBoDFPYI9HrIScYYw1jyH
ie7BOjF2tXYDxVgc7Otp20/mEB4mGKRn2iNea0Tcr4ylP7YrWiI/NUqytJrO8le5KufLuIFF1DaN
DkHmyMomh4U12ftiFrOfEvmeevhy33erEyKQozU9Umlwo2l8S1vws9yB5ivpiGinEVrzMoSTIkXO
jgmed0RJohmNQ8lRdQnJF+rsNGSjfVAlj7N8eCp05bFUSi/eIylW5H2YHKvtsax9qWge6/kQwH2T
uCCuQTECePDjvFoU8fVIPEWHQtBQseJ4IWKn/8GAwyehkU5a0JZsQz/FYKZSu5iQBqX9fAVDignI
1KpXhzJv3FnR5g9lJJn+6RSNLrRMqkf82yA1drBOnKttqtJmZTTtrpXU0j1qjXZ9AGo3kQJIdCDr
bdTdIc6X0DKfxj8MraK9VsopwzhlokGM0kCCYhR4DaUC9YNdinJ9mc4HVxclfKMrlW0uyvpGmjWb
XJT6a1H0N+s99X+aRzrEmik7hQBRy130hRVo1IzDH67odAG9ElJAKBfupwpsgXKIwRlUk4nYEOrD
EAtFUmEt5xKJK2ZCwBK6Zn9c7r/ACsdEmq/Y1ZBSWeb8WTtJJD+aY7smDQfCAcoM/Uc+o6nPpaiZ
vlqWWQOhkLqnQoAj+q5tZ7ChR3Lsd1ZJLqPmfF2aAlQBqJcgSwAtsIk6dX7C+v2UqCAmUUgnaXcK
jtJ+WrVqHO8UAdpo5VO+oSCLZJb2Vlt3+/mw0nEvHjqIQ8JWtOFRXYUBLTHUNYqOw63UJDBlcvVX
hoCJDAIwYtED55lNg3qpgJNYzVjsuJQI4eXxZn6IeveY6ViprH7Yn2RkrAQkRT92GlkcUa7pBiUN
DvI8pPh5QPaAgg6H8cxvYOFAs5ZyTzLMVvtSla46UQbKRUEomRfFWhdFooZMFQSgFI7SrxpS0ZTd
0VETTyW6hgk0hT6vrAKaiN2DhS6QhLg0Sk0SxAlmtSQxV7sSKk7xoX5EpykKrAg0AX02sZPVXqNn
MN6XU7GMDwq8BLl+upMmil1HxdIfyOVFXlEgjtGIohiIflCzolCmnEzjnnbwBKn3QlmA1JdpcR7o
G64Jw8OTKSW+tY93Vibr9kRybKPVVQcDTp/daAfjLS2iZZ23jwMN86m5m6rmOYnvqmIavBnyVhvo
+sIhSwtcOOqxkT6E4EeTa9o90YIc+rvUjOhKIh3KHrWStTZqd6QfBkg6q40UUfg+RibdV3pk532a
ftDXLzk5LWG2up+vlWq8hdfQoTDz5Rsu5nsGt6SVaJ3SXYto8lucglAoM+NJ7uYPWT/THQhL/T7T
txRVm6XRa+ts/3lgLt3TIb2JMthOZhknMZyINJGnSFZm8fQIZeFjro+4tlmc0S4G9F5pYVfq4Xgz
KcfM4tXJooXqoA47tHYeoUbetmrTLNtGIPyrg01rrhIArL4/9dozrfWKrRCkxMhJyZCQwGgrOYYx
7De9Qb9vbglyBRrvRzeZU3kB/0D25wBSysQpruXJL6QjJNpjh5qxpDzE6VhvjqmmhG2bWNkWNcAS
RVit+ch0OEHUJIrCWhL0tbJkbsbohHAvIO4q5JDVBZGtNfhs+mazP3Td1T5NqfgLxiUoCYo9O+No
uelY5W5cz7vGLQ50sB6QB8WeJj3kOST/vGObTsRR5lFZn6a2UBiTpn7vYR+HO7JEBfPI+gYbUySv
AH0YbTVZliepadZtf0jBd2sxZf+hXpR0bnd+uZ/p6cpoSLNPC10tpydpNu29CnoH4yR/ZLMyqLtq
jrY5rGEk4J4JijMQy+NLXBx6h/5XK/xH1aT+1TIqQhDqP86oOMVb0fyv/736+Dikefx//kgiRPyB
3zIslvFvVJNUgIe6asgqjFd/KkPxiCkblq7r9J7OwO78OcFCs6upkPKwwAJqJFJ4zZ8ghxSoFNIy
GvkaU5/LlDj/M/kV4y8Rh6YBABdeX5CL9KwaM42a1l/UNSctyw6jpSqBQXVF71dZTAvCylTwMcO2
dg0S6/kt7WyEjcSrs8XYQnS5MiagMELsNlki8FEdHJy1gbQvDGXTAiIA1VjSN6J1nqF5JriV0q0a
ujgClbAyWtR7ZFkdvVoflQwEPqkGfw4Rbx6Cno2McEg82tE5Tow2OI6rcgpTpE0RxzvdHevObjbJ
av7Q3B3fxxf9c3zJA0m7Oh13afZ80sJjtPo2tdvf6nF/IXZ0Jvv0uxESI/it8quYsHFEiaYEpuQ1
P04f88fiR/UDKKP+OPvoExtcUenOX4sfxY/uA+HhPd7069jaye2RrjS/O33AjlootqnCyOPqxWLI
Vl32ZkCNOlVBNm0aFc5LmmzDdh/I8ULvYMD95Oy2jxDBjdkWlNjPb0n9y3L67yb9vJwOZIhsd8yk
A2ss6515WMzMlS7d41rRDXY1fUo786lbH++mh/2z6sFct39u4VyFO3KiluLMjnh7dnkzRPYJHxx+
r4YAxr6g1HDxMs9q7v+ky9QuLJDzxu9/gQVyySp8JWW/rfn/eVbhD+bcIksrcuMCDKCeqYiAWYJt
DJAyQpiIwUK1h1xGTy9fpGPNJtP7+Ya99G5nRvpvfDdF7Ks/AxO+zINFxYrzxVBV1G3OLF5NcjbW
+lQLOscITs7gkYBzM5dN71geJt6Z+CAqcGM/dmNXv2CeZOPCBczP4D5Q901lRMYp0AKcZg9fETYO
avYN0Ri8V08np13TaNlqTn9nvozvEbDbe0Jnypd8pRsXROt+Wd5aM1LpTjwFqCyrr+nyODpEJDK/
vT9+xLtWdo6GExfO/l66ose8XaX3MzDJQLWpMHz0C7B+v/2gwSQ2t4nGINEiu0aH99wj1VVHcPZ5
cPvAlm3cxev2Mzm60r20yW7IogmhvmW8jZ+nlxI9ds3JrwYXmV7NiQ7OmizVun6gHZCGvDU8/vjj
D817H+yvT4/DKnaPNzDDIHR4s68cWsFnun2n+pA2xRVePJyXZN8cYInTcxbKiUsfU/oJI1P8Wb7l
b+Ub7PlDLP5XS9u4ep9dqRy7vXcC293AXnd/MBxK84d9UFBx0F2aMEE85j+UFUkIkwI0DLR2d9sG
8BFSk0tWM+rXzs8X9eVpPrPvv6b5X3GaL1kT0fD13X/6e1uT3/VzzYnmgQzqNP2gLKsK2/rtKKsg
aDVFkTAgnfQxKBpd7FVqtzAVL5BmUBxJ1fb2z1f2pbc8Oxz+Hm8p/6HJNGR4C/UZOk/62RGx15V9
ZSH9EEAH5oxu49w9Tl5y5XQX7u3iG50dDn/1Gyl/dOjRKEpQIkRQCU3+cuIQvUwUswF53kewwqtm
AVcfSmOg47MFmdMRSNUYL4jrYYqi1d6XJgoZtbHX7bqGiUGXEdtU8hPsjWpSLhOJtnQtpYcX9AJs
FCcsb31VlX3pGCYmOYv2uRvt70ZFO/izfXu4MG6/7ytkHX6/nbMJypu9kYJg0UjlOxQIqXvB+kbU
NJHr4RJQVYfy1z1AkgZDsw1r9uxphOi72nJwUGUAGTgfN/kLDfRzF8qRS4fuH27T79d3Nq8xHFlW
hg5YABSuBC/CF8FikDvZbX1tPhkLc6E8lcQG5vXw2m/GoN6k1z/fN5emXD879//Fp1w/O9/+q6dc
rLhzN+/bjOtnhpk2onymSLh51UsV23SHlS8NtPmb/MJBf2lp6QLi8c0E/yOW1qV7PcPa/tX3+gVH
OR/UOZ2bygx9V/47s1oNTNS0c+214Olp5lxfw8RkPz/f395eyEp8Tc7P3ufMnMRmbvSWeJ/TMr5p
Q/C99mwZBfGiDV/LsA5BlHmGg4McNvZoB1KgOpFNYcoe1uVVbr+8LF1PCrylwS9lPNPSfqTnyc7t
K8g6bOuiU6+I1fSzCz63L/VoChSqFhQUyW6wfxHk8jvLT7Yy0GOaNJ1ZWEMenzr5rlxW1zV1TM2Z
gxW8n4cX7MyFa5HP7Ez8D7yWSwvm67z9tjn+2gXzh+f2t4Upn+12aPBJRR5ZMPCVcQgumx8hhwzs
32CvD944XNr0l8b4bNMPWdXQ8Mp8t+74dkQe5PpwV6UII5F7d5PU5bwrVfwwG2GiFPXZu31P8tCp
3Ir+CsKl5sIFXdoxXxPxbaD/6Tvm4oydMRH8rTP2tQJ+skPlM0+5MTqr36eskPzoFMGMsNiJFhrE
Q5+qk8CaO7kULv7GnXhmLv/hq+TiIJzZ1b/HIPxRAtESUYpCzp98knpmGtVsL09DU2qB6/4o7B+l
PwSbH1R+3Sc/c+2P2LMbF/Gj62dn13iqvbi9vVId0z65i9XJeVq4i/vMXvx8YlRTjPzvVsOfL0o7
s5GQcZtNMXFRswByVpeDxjF28ET7yZ0R0PLbuwkSOX6zLFbNko38ZGygsdoVn+0bzywdaXFi69Nc
YD9I/juA9WfdBSSwiJxqsbfhH78HvmTvIm/3gCrX1vBOS/Ili1ByJMd0jdBwkYlZmC5tBDad+yRc
WjvYwjLlj6vE/4Bz0pscmm69j3qlqbZ2tyU1JXn4zh/FJnK1bWt/SE4Q7oO5R0ela9iO99zaNJWz
rs130/2g4m97Tm0vKfz6yStH9WscND5oRp4sB6nzttU39nG9Nd25p3uhxQkF4InrQFzD9hofPFfY
OzTFhHSk8rPlpAEg8seUtzRc/WZ+JdJlcjALH7PPdtn5j9A9L7mft73zZrjr58F9vDLtR9JbzuP2
5ugEGm+HWGc4uAjs2sEjD60bcFfLpWfaPF1dHkTubeYXYW4vr253u6MNXMcHMeGtGk98PA3O3l69
j9fUq314C93Ga91V57w/KJj+o43wj5s575Af2EdeVbt0adq9/7Tq7M0hBI/vckC4g/O0WWVh7VYe
2aHrZL3K1+KPlW7tJyF8B0/VJ8RJ6LdA57/M1lnYQTjnUPmxuyXYJX/cKqQPs/VpqV6LtxVXiN4O
nw80SPCxt9+vnvUgujbtl8VnZz88zHYpkAF7ZtvV+mBXjHHpATh58p73YesZdu8V4XPjQifgTsvB
n28YZskZ7TC2AyST7EXuLFC2sy/sBOEa/mwjnHnxZTclhix2p27DQsqdcgMbPyyC1L7ejO7k5+vB
c7fz4GDLy+cm9OQll+iffM9xL3h9lyyFdnaI/5dYikvjc3bQ121VtWP9NT5iUSExfT14G3iT7cr5
IbuTS/uCs3w5rR1PDdgDuT3z4+16ubzdXRiey0brzM3/ZbR+Ga3/mUbrzHf8R27KS/bhzK38R9pP
RWAqfmfMKWsZuqXgbkEixOPfggBUBKMJhlBR2qrd2p0F4nxsvN7v/c7rvMmf+H58GP3Rp/bkiMdO
y4pTsv16nqhIiceA2/vFSx7Kvuyby8lVHNnVfRD+ztHbe6mXuZLXL5BCWvQLUEwuDo1r8T3Fo9Z3
VHwU+jBrP3/o3NEx7HXner2nL3vvBaZa1/TESWoEWTh40u2JUxTRCR9aXKd0ENrAbUEXx8E3aFys
6VVmJ/b9i+q8AOv6CvFxGoIPsPfbgtPxZh9sb6CWwTHq7ZvCWSudvV9bV9WbGkzOmpM2t9fb9eOz
QVIgsReA/+2HwoYh9evU5ph+Xz3o+ArkM+Y2HuDJ0e1dZ7+LsfkUF3T7yfHN42DHv5yK9/f3g5Mt
nczb+7F/CI44ryhB+UCYPDEsSGTeVy7kUv7RLQPhFJgOiMng5+c283lhrs9cefQpkxxOSzL/zF7H
6HWOyaeYeWTkPDGTq94VFU4xjdpy8MowD80Agl335Kn+jNKjQhKlxAtPPX1x8GMv8TN+ysmvI43q
7plwSLf8hOkXv6MV2JdIZmR+6kE8zeM82y+c1JsWx2DPo+NivyHmLS0X0VGw8t7Mn3BBoTxdn54g
pOV/7VoOIIzym3DyTi6ePgS1tuIjtunEeNMlPhg3wwdKGyy1iNsw+IR7O9TdOR535dG4sUIF9NoI
ZB8RJx7pfRRpHF5J4rhmge39wkffeFE6Tg6exksWdnU3C6crdVesq1BZt4GTeNDIOiSA7YnLkZf5
IrVt3HOvCnL/6PlDCLz9aubP3HzJX9rsXMiJnGR55FXFCol0tg8RgDtzDjiSOIZO+oCMhUu/hjvy
F3uqya2dOvAzua3XMhQr8k44oEpQeKYH3ZI354Zw2sXmITGwmK+tdeovLAeKybvTdefbaRiHDu3A
QXJp+Vw0FWdR2S9T8S9rKoC8/9xUnAe7UadBVmBiKqDSxVCgFhf0GPzRj3a0EX4dDEjH+wo2Qjyi
P0WBsA+ySx8ROzAKZs4JlETuZv4xkJy3noCVReuFqeoUTw3hAKz1HuxlrGeIrBxIgIOlm2/aDbLw
T9BY2RAskIedlqdrYAcuuwJJQl/Feya+YPcizOLDOudq1zP7SnlKblrnsLTCNmgDNp+vBqCvwuSq
CCnqO+bXzsHaXYKhzC8cnwKX+P34hPnczBN6JgKVlIDY0Z1DJL8ZHHE8dp7+Nvm9SzMDx6j+dAgn
rJKGhVRdYSfFh+HItuF0wcE9MnqNo3kHtwkyH9qpIObfMZYy9iI3cke+x14RxMvUQyc8qAL5Vdje
PZY1x75mbhEkt+J1R9Ap4rnpLuXwBVLnVhteh+2VX8VfkBeZX/H6xGVuPDrhXIkB71fHQDzrt2c2
H+IZ9CRio8XXeHnw0yUkoAHfecfUg30pOHLdKFH5Bx/Gb77uuTJao7zS55q4x5xT4OB3XIGw+mDf
uY9jwOfmGIj7EZmLeEmX3AKhS95JfOc6uZOCZ4l3/vq8FueEeB3G9qpfQDtFnCt5ND+QZkDly9nu
wyM+w3pyhP9wsK2dvmzCww0A9KcixHxztrZXzZ28pDvPNwMSNl9OzkhkL5wZgEqu7HYBqt3MT+LQ
Jut0HicG9tvwDkHxZaMLt72aPKy7I04XhfmKF2I9QkHGyThwLkEE7tTOzKVT54buTwoKNNt70jb1
937iJZ6b7RKcE8mVON7F0VVxINR+5J0WhyDmSDv5MODxWOuTSRAOhca19r44qpNA5CnoN+MQyLz8
BjoKZ2365aeOYxE5yYZmLRcayC213WXs3gJ6loIDWZ48MG+yIHU55iPOtcjBKTmxt7yakdMZSUoy
FlmgwpE284C+zaAKm3Wznge3m4qjsuYY2wycoQoXXjt794mOfG6aRiwusGTZi/0VebTkuHtfdVAI
dleLFSyL9oO4Q5OB4ZK5fHfRLajncuR2bBCu1q29zi1IbZXefGdxBVZgeTZHX2/bc7IGk3O/iDjn
8csWpMLDJlSXzVoOlCftzXhr3NNbzMpEQnVtrvtFSFxdODDf2cCfHNyvo70ileNuJv/J7z1pw9Ti
ecaBGqRbaTkGB8/5zLEPn58HZ/dOOd25vb96yez7+8F+x+uLmDCnW2T3xpW7Et4eepz2jUixNPad
eBeo9WwUex0L9xDpJN7w/f3BWtQuaRBXLLPKGxbWNmaGTUaqwp8+sbTElOquydNrn3xTMCwgjGFi
hC0UoxUxNVC4MZupS10Ir2cN8Ir03uCry2SxZCaFO14w/IMjFhPVcpZQ5NCbyr8zXnDAuE4edHK2
Mw+KcB7IDJy6NJ4kUkN5wG05V4qrOycGZu0kC5Hesz0r8FTveB1ffxYeYupBxNrP+QDXxi0IQ63y
W4spnLuGl/BnpAspC4SLLhw9ZykdrTTTEqVz6iRf2brKU75iErFhhYcqNgUVlK/4ZHwSsYfY0MUV
h48fLxRP9ye3vtN92YVvZi1jYLureDXnZ3QkPSF3vdAcsXcNZyPcVH1d+q/0xd5jxdz8+stTxaoJ
O4bH6qMIv+yCCnuH97o73dMofntwu00TQDjE74Q1xBKvigA7jWXOsMAFZ5WwdXi+5DaR8/36IMyw
Ske7HnfKLcTH6+5ZvtI3+zUEmlf9YxHANMKrLE+kSMmsbi1iA2ELhR2mbdb9srKcDPsAERosn8SR
Kv62xE/xmoZ2IiYNH5Zls0Bcmk0mZkkkGPGtV7I3OskD+uFeTzq35zXDtneMcFxhmYPDbeyJq2wX
JGxdEnethweb38cuMio+eenH4bEOaOjC70yxb3v+PqvAywIT85KxiU8c2nQZ+y+14+BW1yxP5okZ
pGv99UBQg9zojjiO/S9CoCyQQ7KhrELSpcK75Xvvi5muSbWKo1OYZpFdF/8izciRXwHkqUnGEp2y
EPEZgvT6RI5T4i/Sh86+MTGPfHgZRrtiAYtDuWMwaJ/y0ETmMoVTfXKtYCDcKj+vwEL687VI0s6/
zFiM785DLjJOfCXc8IUn3pFiHRk18fLRm4gVLGIOCD7Ya2K7WhhsizA1ZkQOjPnBUbfHR8xcGDlH
whnmipVwxLSJgJfAE8SoKGC0/H0R7nThzHaw4Gyn+ddR9DUyC4k/OX8eVlKYsJm/PvzDsg9axwrz
qxlgyfyhX+obpksk3e3kRdpxkHvRrUFxgKV0FblmyOfXUjSBq/52oCJo9YhEAJdFc/CV6ap8isN1
fx+F0g0H8+p43y/GlTiYcR588RckQpPoy6nAKfGhd12IYHBiE70SeTchdEWwdXMO8SFmI8NoK/5a
8efem1jIKU4BXZiEgDgdDMFxPW266zJY0MPuOIePjkS1yex2FEIq5o9mIpZyG0BdV9nOO+uYARKj
rd0kgVjVIkKuHsVocyoS7LDW78QxJN2J54rfmk6zEP/WwyxQbsTJKaLBJCCMIhrk2Q7L7oJDeDHG
1s6Sv79i7F8xdnfc0kLeNigIXAonztL1c2OOBiXiEzjMiS+Me4OT9yLMpLK5BMo0LgYv4mq+5f5+
BS+/gpdfwcuv4OVX8DL+e/xRbH+rgX9vjRQZ0PPK+Ldiyle1+ptBlSW0tSxhvoEakJMOgzk+8YUm
wEvvcVaw+ave43IQdlYq+BWE/QrCfgVh+F2/grB/fhB20Ys+K1T9TV70mULRb72h32z+eYvGDH3g
o4W2PMVx7avuUYaiPpKv1WtRWBXIMeqPNskKqrv6Vw0RflkiVErrruYp1DF0ck0TeRiR3/4tawRO
z3TfPkRedu98FJY9e3+clqS36Zf09GAgbdCRxBkBPRZuDPxNJGREzuO3POtKxMeXcF8X7/Ss1vGv
e6cXy19flfRvB/n/0PIXYgh/5PAYqq6ihoA83DmEfIBoV1b6Vix+snXk60TO7eHh/eHkvJJUhRzG
fuAXpUs2fQVMcOCrKlLrIt9HHiqc3Nebyb6ueGrjkFS/k+xroATL/Dq/bgJz2z4qW/VK3Yw77a70
ShLaFciROeWqhtSSvd1u3yAqt7dkNQ/2llQUTHXLWQgmdTkFlauT6u/8guxo4stOEZ4As1au6PoY
Ca4T3+bVvT0tnw/2fPf5eZvYt5QBuFbJfU/d3Sc1AJV72FPYO4LzeBCwTclfPaxIfK87O3Le3zMH
7AeVP7L/D7X7QGmDvKAubhgIJ6iQTnwXj4i73z0wFl9jxF9ufb7wDAEq2L3/HOzxx1n0bzNzFtsf
0r21N/edBlZZfKwo+Tg/Bg9NTPtpbvt3NOI8IiZp34z23VcvewB42fbWNviXNQiae3pkPNQ2XXh3
bFG26ymu+DnFq8xLKUxwLxk514d3oDanr1H7BPuSeZ8n++d38lVC/Z1T/e1OzuBSMNXCzYniVmD8
KJ+iD2DWwbCc36Yvxm62U3bjtvGgrxsTF5UsWh9nlo16oDTZ8415S3OghmRTJrppxtfizaDI50pg
sTMo6ujwcmgcVHao3Q52//zz6xbaeb8PBr5d95mjbnXNvC8j9sbpSk6p036IEujReZOpGbnIgW3S
2Lk/+kf/4Enu/nZ/m2wQQ6ZyB/N8IHLaAh/882v6arD72VieufVtHWvqHuZt0YNCfYRKFKUQ1W/X
JjguUc8DEGM3iy+sidPSxi970G9r8uPgL8Eu0TFFZZMqYPNVlFFZ8xmXCiaGGtFACfOwoWaE15QH
+jMtqheWAlxAF8b07GTP4CCcpxLXL6oFCJpz0FZg1ZSNgPycKNmK6oCoD+UAlwYvvhHwJbgwg+iB
2g94tPZaoNGa+wPfRXlbFJkjys+inC7gTKL8LUD2Yr2nDkrJUCVAK6i56i6+q61Vpbkwe+cknk+L
DPg1urJAstP1SJbuxbievIWA/JhOyXFP4ZdZNCmcNtT9ev+rnEYSWlzxIRy/YEmWi1AKCCeBV+g9
dTnDRUAEABxZMKze3yPv8/N+/XEMbrZwUiK7wP7DRkG6aWOrBvv203IbEGoiOy5y3uLcF18HMt/U
rSkUQF3Oz6IKJHLllBdJrtdf9WRKtn/j8lLOWiQ6tKkjyOe1AD22LwwC/boLMbzDvbqobFE9S+3E
STElGN7lEotxWzonu3TuZ/b90b2/vy3co/91h9jE3ft7Tu+dsJE/3wd/7CH+eW9+NWh+O99nqNT1
aseFVjeHa83A6wJpFvRBIVBgQc0kTWvl8cKbXjotvzoCv73rr9Pyv+q0vLgezqo2f5f1cMkYK2fJ
/n/ebrlkdr+Qgd8W7i+z+9/L7J55SP/NTvVLjtL/Y+/LmiO30Wz/Ske/swbgAhAR0x0xJHOXUnuV
Si8MSSURXADuC/jr76HsbsvZduk6wjNt3ztVjgpLqUyRBPDt55w3ooh3u+t/IlD6KOhcRLTet8b+
KEHnR2G/fRIg/XHDfr5UE/4lVOXcXhjFPAATTqwjmEcTkI4g1POvHgZM7lyU03Z3oW/ac7rFkHf0
gkmKVRG85OcJIjnMHkT9Hcbow3SP8GKr9pjtCTDsg/TueQq9TYtZMnBWbdh6Pi9RickCDOoN5/nb
XIUOF5SBvBOIvNM8lFfVptRBdtXUwRUkqc4A1vwglP3w9k7ysz/Z7bFfbGT7BCr0EN7lwPH+/PxA
Ikel3RJgERPq2x4jMu4XHt0vofkyCztFCMbD5hbpBxKQfJsf2NusaB3258scaLZeYCID2GuCzgQ9
x6AV5vYW8ECUXWDIag3BIKT8y8hRjw75MnCJUZ7QwZom4bSBNFJQ0mBkG4+uRb/6fiD34c2dRAt/
qptblG/+9dy9W7mTc2dInmjbHcDXwVHsOFx9Rl3j8z3yaMzeEVRBNptLFxWXIXyrTl5uLq8qwGVo
iHzkg3RicVv/YgHeXcnJEaljMBkVHq7kYr3b33x/DT+8zROf+d94m97yRL93nyeFAhCypwySRUhG
VsssaX6EGHGwhox28LQUX552Rzt4/Hq2AQk2rNvuiJIN2GnwysUThh3xY2WIGtpSVjCrB2fT7ty1
urTP2JYd/K26Sbqg3H7/6S1X9L0rPvGOcyx46U+4YnDbrg8o6H3/491fTPPfrfyJF+vy0i1tDuvR
CJBBBbkJ889PC5iMnrkhtFZgK/pzb7tMaC6T6KDc3q7pYRkbXzJ4uZbRdQvW9NcGqHxULMYzJ4RA
A6oXTlhcz6smwHBaMIyr+Pr7F/7BcxGn+e/EiCXBqb1RV18BHbv6KMH+Za/x04MRJyX4qp5k59T4
BYcOKOIZU6FgywpL1PZQQrWC22VnzMi9n1BXXe+CDZBsGt/w1k8zqnsv+O/lElw3d03wFdpwQRPg
KgFoWyqEEln4vgmu4QsBcLpBHe+VBARjea8frK6zPIXv7B5x4husarYyInETsCqQrgjuRXBfowC8
VIsfzpfvDBGkwWHfFxDU2ddl8axNE0TfX6yPzp04MeN//HN3KpD6W8/dR9v3xOD2v/v2PTG6f87t
e2Ku/7u27wfecVHsfZ+h/Cbv+JEBfqtkvUvJ/jAG+BcJ83wfjShOXAfMjycWWOcWbT02upsnCXhS
uylB3INi4xfYuvAGIcod7F0ELMXSpPoAuUDJYjD+1bD99MtPrHMxd3ZpORPwtSqsjxkQRTOwsGZ1
/sbsdaFWzhZqS2/j/AJgqglkU5jzvPEAhHo6NDcJVLMgjZTBkWPwGpiuxcKDU8PZDlH8FSPp6+MR
EimhHb1muIth4x8I2r8gWgYqp4yc8Ibgf81u2ixQI6gardM12WbgD0mAIkGTZim0Zit7myP/gWzI
SmHEGi8C/WEjgLYjEtnR4xJH13jh+8YWvJsfPJwTq2/qFCyUMVYm4kBSG4BpFot/KOF6DMLK5UsC
03/+ANFYoGkWbA3QxvgOD+7/0cVaUNgTsOXOevERZbBgAx4E3lnj20vUtCBxFjzi8mkPdYDXfvgr
L5efAX8wksJbQMAwxL+M+VdoZqBluLLRHPSBiJrDCfCupcsOyq3la4z7A5EEWDgHYmB4A1iMeBew
U5De2PwwvU/3FA5qAh/N9x/Zr/inn7bTiX9SCVU9hE2RQyFLqoOnJNjV4fVtglAPoSGU/KL18o1l
j6iV3j08fDHRFycEcx10SIFd/wYGG/jwLPh29bqHzhBWX2IzqOijtf1w4y8R7jtz8f/Txv9F2qj3
FunEqdZNrIdKYRXfwvmlUrH8XRZtCd+y9e3uFhgiYIkAIH8L+lOs7+3TU43A7Or182dQD7y8+OB+
ypEPx7slwgOe9mz/+voKLOHNNny10I5dFndvB8t5Dm8A0UsB0amAw9MbANyWfm22v5ErE3xg8z68
uxOP/ue6u4+N1omv/1+j9aHROglL/m1G68NI4STH/F0jhV8MtAUlFII21HbeihPv7CVUy9PCTPCF
8FItjjtEyWDgQXU3B/tHtiZBsf/ARv8i5az/7lee3G5qWx3LbPxKyek3KMaClcJvIMDSPbkS8NOB
DhuV0SbKc6XWegZHqktBNepCL5W49+MIov1a6Ta0SHWpBvupgr7VoE2z8fiiFDsO5KMr/sWA4acr
dk9COZXluRe3MJxgIhmAw8VIjgwh5RqYc9QHOwB7txVoQO4el6GE/TEBP/8HHvityv8vAd27SzgJ
6FTDXcOgN7ZBYr2Y6OtktQDlFjq7IlhoYRbcYII5oStEVzevBWYhvh8D2EtU9L0rOImaoN7V5rLG
FZwv2fG3q/OFEPFiDU6/DhHK2d0+C64++JUfPffTsOP3f+5vTObfu+uTeAKadx3k7HHXdF0jksNc
WB2i9oVSR42xgnoz47wsxAhg8hmCMToCx7eEhiq40pgmSCMMSJgtlmSJfqG9ulQ5MKT0+vn7T+qX
bd277XHi2id/sCxb4zI/w1s/LREmojKEnShpLCHtfbQZQvARVcHlQrL47IJYaKFt3BybJQ9ZgN3b
7e0SCSyXPi71mBBA9M+fX29ev3+lH27kZc3fGZzffyN/uKQnnvTftKQfmclFtez9g/r3m8mPTuuJ
XVdJ7ox5hT2ogvPLs+33980HH3462/zbPvxNaOI7p/xtPuLdpoQYpkfiES4Jp6XFAaagKQExSZif
Z1+64GxBwUOY+VhipKoH5Rj4NUD3VQVHkDMsE0/flo7D19X37/ijM306+fvvO9P0gyDilET+9wgi
PvBGbw/v3Yr9Dt7ow01yYmPVnDJeNcsmISGoxBIM8iJaggdow4X6dvEJVvAwRcj5Nx6G6AwKIPk6
PmIWcYNZxhtg88MPIpMPr+nUmv4RrunEvv6eh+k/nt/j4dq//ye+fi4r06SJ7E6+/Pt/9W3XPBbp
o/5L0Dcvj/1fyte/3HSPXQpt8Of2P5cP++eb//7zL/FZP/6u6LF7/NkXK92lnbnqXxpz/dL2Rfd2
FUDpLT/5f/viX17ePuXWVC9/++tz2etu+bQkLTW0Kt9e2n372185dCepQ4Trc8HoIg8NG/vrWpj/
9WRe0g/f/4MU5jKeMb603d/+avNPvmMLLmxi25xAnuef2peUfKIMf4Tvep5PiYcj8KP2pfjkuOB8
JZRBSsXxIV35W6QvT6bguONA95IS2xNQBmICJdSfO78p8eIROs8PRk8Vg+RywaDEAgVy4qB7lHNO
Q7dkGmK92vJvnZq6RRrmUNn2r9vcS6Ak4zRDUTUPZVs2Jdpuad7wqCk4MUlUE+ny57cH+5v2159N
SBUpxHf2TtM/Pb7fO/jpH3aKxcQnn3nYAczmWCbIo/5j61icfCLMIT53oU7HfbG8pMumkyAYsD8x
5JfemyYf9/iitfrj3sFLLvUxneE7WGrugWT9H2fo8gcv/cNR/mXkq71kBT85c1wWg/Iqs33Ir8Jt
C3Zifyw/6wy3ch7pkaorj4w5C+Y52Y6e48mdoqPasTFVt71vJXtq6n7eeIrrsIIA9W3aVsOepAp0
Zw3U7dyiyAKICdOLKs0qDHhw4e2xo9IjszJ+bY++vhn81i/XNmviH5K+37SpztPnBpv0tfu5Pfq5
pfv7n23r2Qx51K9vvodUPT0+jS/v99/bW37YgY6DXeY7LhewhcSHnMs/NqDtfbId7mJMS1DGIaQN
A/Xj/rOo94lhNwhhu8IGA8Uip/vjBrRs7EDbhT31iIeXCfbUb9iB/htV7bstyGCABCeC4ggwSH7R
k9i99rVvxDCSgJbM67em7ONO3ySVHtr4fJrnzNpICE7R8yxu2bqmTnlggja3kwbAro3rDNqGjK7T
GppaKk7Hcicm0hzSqvci3VUT6DoJvTbc/+IJ78Bbe9q0VTpuat8LBI97Ffg+NAiV1cwHLZNhO1Zz
kPTCe3a1W0a8am95Ofrrvp8+EzLysImJhLBslpQtZpzqaYCmsNHPDumLnXEJ3TasB2OUnPUuw+Vv
0T8dbirXT0B36pT+Ad0mtrFjlwY6hpq2TrwyYAlBeEyggFi61b1Lu6fekweHqSssKQmG3m+Cws9j
SO9Wauu78XDAL73sMwxKGX3FG/9YO1kWOqnsD9wkGVjaTK6Rc0s7Tl+diRgdqERCHaktY7pxy4ns
SjK33b4hOTtLe+o91sOIHtbkA3RD3BtdU2s3mnzcdF5ih8noi5VWuljLgmxTnlFw8Hs9XzfU6HUz
crBDOsMQWHaarqd5eFZ+N15VtqkuagMBcKIycWTuCBLhfO5XBASMQd7Gd3Dvi85ClVVBV3ossEoJ
0INsL2fRVbsOjbkdJbK9oHWK6lY7lAfL8sAONkFPkjpdssusDgxXOqG3gx/rMqgG3T03I5TUx7Sl
97Ma3INh0nkoGmGhWtaorcTz2/ldr7CAaUdWLLUdDFJ0Ggy7bswCEbtoq3HvDAUNDFzkap6CMW7W
OZVpDVHN0WwrQSoZdFnlglpPkC70qmG+halsQr8r273JuHelfGltEQen0eT03qqSVX7wTYsBjc5z
N0nR4xkye2pDry34M2Zzyns/U2qb+0aFczXZO3dystts4NNazSV6C2zIgkTl5V4mdnMQMaM7R4CA
FwJw+uinvh9Ami2BE686oVYTza11L6l7NpbEOrBM0DZSSTuyoDAe3cRNUT6acRw2xrPIBta9QTNu
HtnWqX0yhE7WgR5PNG5YiDg5c5pu3tmyHrGv/fxQtsYTgUxn1BuhH+1Yg/MsB+uJGrHh2sTAHLWj
9VkUVEdlJ6ZN3JfisdRtfWe50r3BxsFI4czzqPVyIAVpCXrCtiSB5F37nMyutSdZMlw3+WyFXpN+
0cpFtqA9qMkTvw2JnArozg3ybKzpBGSYctbwS3QF9cRm7SXEWk1eSaFuQVoJNKAj+Ws91vVGCO0e
eGauoHOfBLbW6ZX2ps0wWRdNL8WmUeW2tTx1nBq2rzrVnAkohndjrW/4bFcbbIMj99hNJvRjaTdt
kNbNdoRMfdToanlgw4OxhXUO+dlrjOQ9zV7iQWvVbTayNgXYEp38hloYxgqclB79ht7zyWWfUXTO
1o4m/dZu3O3A1WMe22Rt65Iep6Jwwsyan53GGp7GAUCoWNyWZbmpDAWXNnMjP04u5DzfKdFu4ja/
Ur15HO3k3gz8LlbgB9eWWvud9gJeAv3EQA7LycZjzSuEC5NDSbx7WgzP3I4TsHeN8WoqkqfYri98
MsuH1OMsKOcCXWB7ki8xq66F5Me2VPWhmKwvZYoB0RZiO7oALzZLD2pKd0xa99Yw8kvbtcwqTesv
QwLAc+oGldPKsKzkpeT13qm4tdaa7K1eV2vXpmfM9zZDO7RB51RrK02yVW0gtdFyHtaQsLhhnd1u
iszANHI6p7dT7XmvlVsXa4snN44bQ8+DmYNf4PnJMUYxT4tj0rkW1N4nHfLZmwPDR2/l0gliYY5A
a7kHD5n6tgDt1g663iFsxrlv+jKILVHsDSvtvXLto0gkeK8tPw6GSszbpvDOuDXNARignjMxvaSz
tfEs2wTMleciq/dplgHn6FpVwD35nHTZfq6TW3/QW0ZQypfutEr9+Nwp6yaSI3xK1/AXlAlQKdbs
So7jrSrEYcLJCPhg2/e9hfPUp9mFGni7nSS1Qy7tq9F2VkSMlwXgea95Imng5R1by07kQdlYxyyF
98xYnoQcH7Cea4gIM6fc8BTqwskMyGDnzlXgeukQ1IPGUMHMD9k0DGEj5zuiOEQpEdXB22oFp9W1
N7Ju+tA480PfUtDXZX7x4hdtcS0sLJrT4L2hXWqQbmZdt6G2qp/9RqAi30ClNy7y5tvcDuj+4043
wrYA6+OWj7r8MMrsMPK6E1c9Z9jg89yRULqdGNc2F/GxNPMkg3hIPRrWxVg89d2Q3lQ1/o0aogsQ
Bst+GLe9KVGX4uyql3G5snpRBUknvbAXtRfImYBwuGhBs9jWw0oNWZi6dn6mupQH7hwD2ylc8DV6
tV5jsb1j5tcb28KBs3Q9h9Suc4hvNnxFu2l6rIliEH3pHNDrYV4CNrqtK0jfmMqe9m0nuBUNaTtM
txDbzsQ+LZMcBJmKdXEWsKm3qsspSzHbmINcuaqrcEQ0vs6006/SON0mQx6kffno9XJVN0lkizKC
Zwl5lX8lNXR15ECS0OTulynrux0ezCVpPWjO9ZEoCbgcPZTh0nwV98kRraFIFFkDuw0PEFYTOkBu
Sg+kME/VYM6gONBF8USuqsyUoazYJaXpGJYEnrWLkzGchxr3COnZMs7Vq08MDXmZ5gGjGihlbhEA
pmcB4TMzTlFdFI8ZM1BljhlIAEtI4dTTKpuaNOi1fdvo5Wwyx4JVKYu1N1pPppyyC1a2zUYJ574s
FSxnK5LQ9nQCjdsRs4clu0trcy6LuNuK2sE8Ck9AF201IoiJqlZxgV3q5okIxtzMUeyZYZf7qbNV
KRmgcuTFJsrdZDzPrUQeqD/m20I0+WYwBq+2+qvjixizIyOD/HZcpumqGrv4rHT9+Og2BWbaPSv7
PNZqPgyD6G4G7j1wWdfrWvvWmRm611qBCL/GpRBsSUuNww5hGHvIWspXInO7NpibEVNOUqxpU25a
PmMb+ZHLpi+5iet1MebJqklqYC5NdxAWu/dc1a5IYrJbpXDgm5KA3lGWfgDJWThBr06f+jpO90bV
Jg8Zb6uwzpvhsc7AZcFtqCN2Xb6CY6s0mGylrQs/GFK7EoHHsahWNys8gLLs2TZPsB6rzLIstbLH
Kc/hDhJj1Ve0RjStAqdQ8DauW83Noewmh0WOoVMD4K2pC4z8diat58DJy8lfj5NUZm0n/X1iUtOv
LGk5TaSkb6lz39I56KuJQ5MdTw25Ihm1MKrusrZZKzKnxaWVGIc+tA6ZdrUnnLaIGsW5fzcRKwcf
d6dyeaQVISmDgTX8pdLJCBS5I5242ouCj92mztvxW9klfLAiNc+FOaoRgmD3DIv7baKJMyfBlDaW
KnCKsjoQsDZyb9meLyIHT6W7RSLPDpoQWT9Vnd9jDMkCscJ2Tme5ANQh13tXIazdV6yfwtyCJQsm
p5bpNs6cNpxJ6+6LDllKi2SDHtpmiL2VNu0YP7A2ZoeU+JOfBMU4DM1xdFXeHppcyts2rSA3gXLX
qnVH3R+MGdJp36cFDUzj+M3WlpYHnnQlFO61d1M4/FJDP33Gr3j0ucnrIVSmhyQqq1k+ntG5ylpE
xyq2jx4zA3IS22qGnUNidStyz3uCbm4CAnhGfYgzzCzrV46pcyimz6bVqOa7c4cPc+fZvsyGLJG7
Yciwv8ap8uG1pG4ftLGYF5XMT60wmyrqbk2fVvb9mLQW3+uGMVgibad95FDhogM9tllTbZOpmazr
XDYzuJin2m+vdcpq8YXyFqba4SaFOkMhrG6D00W6NGD92BdhnZZdEWRwal0AVewUkPahqa2NLkut
4fy7hJ1zqlJnP1FbFquEpl0BvoGcIf6FzWi+OUM3wu9Ia+RwSZN3ljvxDI8Xi+Sz22n62PkwvEGp
4+bOR/NfRXAKatzGTXxNOoBootnwdDofvbndplM502++gxrHhkyGDEnYUYpkJahNbw7zkJVHq4P7
2+BwsXFfdjGHerJvZRtXNv7w2Wo7UkVZNk36ktRjBTerDBJjJ0sRDHRVy0PXajET2FJv1Q/xfal8
dp2SXO3SQnlht3ibpk0V8tghDZthyiOmM7HKMjNtW0hPh5Nt9zt/dsglr0l+aZMGDByjwLo2Vax4
0BG7/irGmF6KyXW/xlLeIWPC/qQ9wai61LEMbRy7sKdC3Y8Dyy5oOvQyJJ1VILhqOsD2KYu7QJqJ
PIqCuSYiPoFQScU7sa0RhX9BrteBkryeeLuvChRKIzmb/lBPmgWJ3dZrEU+dHbKaxhBvjJtO7Afh
6yKq2JDfsil57HKbnaelaNZ1TEXY++5xtod+VWABdNKf2xkfg0xmVy0ksaWfVdle8X4CK/JIi4sm
yV5NnbURT8pcrE0lk3B0GF3VtTsFw2BnZeA7fv9ouW7/Qxfif+tUf13AmL9epgrl47f3Jarlp3+s
pjufBP5A693zfl6hos4nF8VJmyx1fJssb/mxQGXjFY9wvM3Fqwx1o3/Wp/gn1FlRH8X3BFvqq+y3
lKfcEyFNYOBwWaie4UMF/qKQ//Pqejmz3q0p2/dWXiOG92msxl1jSVHt/FhiADW3FeKEwoc3unVE
Ka/SeMaUoC8kRlviGrjEKZ/FraCJ524Zayu2TpVj8sPc64kcSp3V1zafYfpYkgmxztzawxzrPFvA
0OFsp1BlaLTd3Enaiy5MrJTaGCccstSJkirxBhROCmaAtmF9Wh68DKFFu/PGnEBQwpkbKwJAYNi6
aYKqRljUOWZw4LAQNfqlvpRp1UAolcDKTS7ZtKnjgKgF8xGBnTgMNl+biOW1CqgqSYKM2NLk6Hqc
xmOAqyJnmln5/TyUAmWLoqPsHgdVPiZdNUfW1A2AtdTavmS2266EaUTZHCvugeu9WEo/0lR+oGLe
tCDomSF1/8XBR0Q5t4xzPfZqhrR9rkrrvmlYzKBRIJLrDPNMPjQQHKeaciQifV2ckZIrT4ZxopwL
3UhfXhPL9DZYb2Kqq29T6mUvdW2RzAv9IXfRdyTaTW4SKTrv2rMaV3+tILEEGYdZOtDzncZvKIBS
Z47ypnySNTevXWFcxDVF73Bv1VQFu3ANCmFtXGUSIWys0nXbev25r/ScXSAsm9rAam37AgF6bG1n
5MIyyhJNzZ1fkvEls2leXRUxk02OvGTk/spOkgrawiLeN5bhETE+2xJ3QHUCStzb0dAh8Dpjloyq
RdIY29K5MaNqCVJL7qppnaY80WlQVCjtQjg7j6cSzy/V1WvT9aXbBJO2UTENZDEpeE5kssQ9lI4Y
e9CKo09Yhqaza0MX69dUA4KhSkgoWVqIhCD8oOMKjzdRXoHKn1vw1QS8l3/oklHSCC2vyewS6nCI
S5SInQ99ylSxmRD5X9pxx/r9PGWZ3LO4gjRyHXc9pGlk30FHw+d9seVNXuvdTOT42I3zq1T2uJ7S
DkokhPc3whT9Jc/GPkqVj3oQqVh1ZpSSR7B3QsLUcxkGy0Wjjr2ToNY5xbN1HksL6mRD4Zgbg6ys
WZWeabYTLYerRFbmIkPpO7JzM1lHv637q7HUlIdTa2sAjJMi+UwtSyPQKj08M42TsWqNsjbu0FcA
U6J6dmOXosdJ6mS9q2rbvZpsXj0mOmFfY+ww1AK5NYO0COTQQHuRefbCQieWCeaidKqdh1waRDJp
Lq3AcYQGvVCb59ZZ1ufdFxZ78nYytXv0czxxcHbVcdvtjC1bVd91/Zil0zdpT1k8Q62ycyVXVlB3
Fg7VGOJ4Ih9+hnFwkUTGpq45ZvAzRMZtEmGuucc2DUaSi8LeiEZPPt04BPqXfCXpmMwP4AdrR/sg
W5d0N6LNBhp2hZCMhFViZfa8iqdmLtUuF4gMy1e0+p0BFVwrj7nMolb16XgGeo6sij2Iq/pDo1da
dCNy1akgqFgeYr+vUZrzWT2pOhjp1LnrRjcE4erkjO66EqMWRThxPPwABYD8Nk4QK9FzZ2y9cfys
YukbJ3T9hlM78CoUpTepbi1bBUnlJnXIBjtG1MH1IO/KpOjKKtA2G+WjK5JWfxZdr9nXuXDL/Na3
ixGKBbQvm3ORI0I7Z3E7pyuBiJQWQTn2ur9s5NQjpmiysgm6fIQ4WEOXqLHx2GNfeyqBra75VokU
NE1OAtxHSdSDxOIGnpisYMTTj6RXVHtnKKwbH4WoUMtCIZjFzOSaTTAPBlluHtj4oPPZq5u9nzP/
Wuo6icwwQ+M2dZoimHy/tzaiJ3rLp7H96jijHarGFuDCcWbwC46FWqc9IqYAySzdTEoUn6Xx+EXS
GT0GpCRiZZctQX6T8EBJ7u50V1gXPaug19fY+TZmGrxMVeLvSDWmALCayXsYTA/94lFBCaAf54iI
Vm0bOZRnAlbdCqZ6Nrd540lQtBVet1KZ50TxoIoxsO3J3ti65RCFQ2F07aI4tEltSe+8XF3PpMNg
YKL6fdWTV+Za9JZXDodiie9CR6BpnJ2Qlf5cmIypAxIaiO06/Kmjed08SBTRnX2fDUP9LS6ctjyv
0nKiqzzjWHD0ntrPkz0gUctL+NyvqWJ+ifF6XWoMnnrKRYepKdzkW5622SO6pbZ1j3pMnpw1Otf+
Os4yC4oMcHSRgygZJFuJzaH3lqQjyhlpq68mbkAa1aB8gtYM00eWzxNB3raM4aLtqkFd58YoqVGS
+OdFOrc6ojlsaq1Mt8ns1oR109FgSkRmhbVQ5rLzZndeObonIpraPBM7hjIKA9ek8Z21pUoVWBRl
rFkMIL9yKv/B62cS1aNrAzSE03ml2pqfxVnOrrtm5l7Y5gIgJULtDP1ZX1tbYnnewzhZMwnR/8Dc
jTWaajV7Jr+ZHDSfwz6W3ePACBZ/qyXcTZDNaT4/t9KT8hjnyQiAlOpqMHSlqTk4BbPPVOV5PMiS
VKK0aslXM7uJ2bSzRkYCC9mDX/+3zxH8v9nyXYB7vx5Kb/rH7kU9Fo/v4+nlLT/OHPj+J5u6CKg5
8V3EwQve9IdxFUvYn6Alyojv418fAwZ46R8zBxhloYygGUxtz8UP/NTyRRzOMa/iCwyyLLG16/2W
kPqUpdpDAXqJ6hnmcojr2gj8fx5Sw3jmgzPrfOPWE2TIKhyV0uvgcnV3SVJfrTrqqTDPklc/o/qW
8MZad4N1NcV8i1S2iWxZtWt3gr/UvW12sZcnOzvnMMd+CwmVHBGsrp0kMMkIaSnqPNnzpCPjVlWA
suRDmcEooxQczOglnfmpC2VyC+fEdchV7g/3WqkMPcDxkVbIvpN8SF45JgzRgzDIfsf61aMzqgkZ
QwPQYeGMOuxmqIobzS1v7boCvcS2N9OqQaEp6GWPYLp1INga0EJWW932ybobyW1CM4oOEHeiQvr+
l07UBKKSCdjYNkWTpah70PzZdFV3Zqhx1niZndvDZFCarRJU2Nqs2Map06KhiqJZOMbljHZmeuQV
+kV4luf+2Oq1m1b7oebpxvFrO8riJmRWLZPAGav20HsWyt1a1lBscxrvoY57BzX0jpwDVHCsMnpH
YgqkYp6zzayt5FUgWEa/W4hjiWZy2Bv42khk9lc/LyB6UbaAOKq8ClIXZmbM6yqArbhPVHruts28
dpXr3Rll7jwq7G09kuRcy17tWv1/2Duz5bhxbU2/Sr8AdxATSdySmak5NVuybxiWbJMgQYIEOIB8
+vOna/fZcpaO1NV3HdFVFRUOT5yBtdb/rX8l9LuxrQZxtAx8o7wov+l5gJxEVor4oJ7cufD6awhZ
54eIe3epuI7OHImWZ9MH7oWa/nu4Li1P646X4LVZL8KUWj+d1CgueNxNOa/p3EDAP9Sfz2YRyGup
S5b2cHU5j00eYCdu+4eBBirrIhekSraZ66h+XnnenCU1weaK7f8igYD6o7DJiN0pqn8oCzUmHfpp
pLdl1LLgClJhNZwOng7pPNS+ucznIcBsHVHW5+skkIVMPp9shr1HbyRwWsjZRd+eTibIu6c80XUF
9YK2d9jewNRQP2DbnuM1MyIeLtdCsEuEJHdEUExTnSYYK7QxXFfWMslCmzxFs97LxKdLwAC0d/qJ
DjMM+pbui4M5x4bZ5T7oOb+vNasvYlO2aI1EmhVuRrfkI3TVeFmeupDx/nkKtLkSPUtOBzsNW9GO
7skHs9opouLXBAE9jFFlsN5Hrs7PG4UHWBTR8gRC2O383Az31Ty0l00j8ofQNBKlrxjtKNYLcBAW
4MNYJdMuFj29q43V1x7Vq2fUk9mLHk14GYdrxbZqXCpzTZc5wPvQMMwemhMojk3kb6AiIClfaA+h
OqkgHeEZop42BaE57YS7tdb/CnNoHMtsIFRAiUmjZIT/AiFo81VsPFdJiO2pbK51nj/Xod8EUxye
BvN1b2LMjxK8PotspE572/wc/QzRTLJ210/hrqk4OgCgN21YG8DmESXNDBu/fyAIBtocYX9sKZCJ
YjdWRXCXq2JPK/cjD9nwcyhttxuVJCV8cHmdB9MFJ2UZPNYuSkp1aYtAa7fveK3Esi1mt1bL1sVQ
5+QuEvlBAXJzN34JE3axIjOGLlzXP4ZcQyowbXSTu5Kf9z2BmDjcoJQA1asYklQOEeaVJas+Ramr
OUUJn2pkHlF8WynxOgzLgf+QsPfJuxPUEOVWcwJ5vyinL67M2b4N7qLeLVGWA+/dcKyPV2OPHiPd
VtWlTOryayWH/Jr163SVq6a4GsdWQ+libb4rbRDtG3CnGD8YwD3brJd+Vpcogl4kI7gDVD1f6IJg
L5RlOjm4Zo4dBugo6Mh5bu99oTFoU4a3YvUXedfGGzAOa8YEKiwOJdMd6jP1uem/wmwDxQEBl9xO
Dxft0ic3KDao7Vh20zVK3HUaNKz60sThmHY6bF0a5j3oD1KFQToMVuzCmkAzDX3s0zyOmxNCjIF3
VTNvVru+asFvfeeiOg0ZlJ2u6eimVSX7BR1oG+gRCMs4LbeHNTMDJXC18ng6FSu5wPNiGY1Cc6Za
5VPR97Ai9qV5QH1lF6uIXCca6SaKQv4HFbXeoY4T3chiIed+UPeOS7Rf28U8sCjXmRnnIeuApG6g
QmLkM7XFaTMFxRbvb5cRBSI2bYfwXtvA3E0OMjfQvOcwSPQF1Ih4i/r3D6xTOw8JI+tRgnsx3lZp
PErIu2heWu8HIr+IwsSQ5ssdooN6s076qQA7lRoQAxsWgdwBWGRvCurxPnqPYa50Ta3NL4Uqlm+Q
T9QmKYokZbkOd9E6nzSxBgzih5OczHpbNnK+HkiTIel45HoqTvp2UqntewwH5HWCispYPMRD8Zjz
A9NauWRj6vh+mleUnOb6fnJVv8n5PF3qSTSnfDpQBX4sd2OYtxvEIBjyzWEwhXyDqNbsCz/unaSY
2dqjcCEr6F9coWwx0Ha5KBNKTvU42yzn2MfCPMGFzuAOWhnDPRmD0lwchhlOMQTxAQIsHC2WlKUF
J5ODxyD7Okb4YUY37Wpe5WkST/aCRrmHqIGFyUJeX4Y6fxj9uqtG/ryucLtRU9D3d0guncIG5Kio
ODLE8jdRUwoAPXQhHZwB4jyMvwS6qE8ClkwUZYsyGb4717XXizTXLaE7ihCj1u0XLN0i5RGF1doE
Xd+roN0Otqx2PKenQzvxJzJQ2NG78tRLeUXj/hZVSBQNpgUYAqoWrEDLXhRdHarjkVqQ6habKmzS
MsCcamTpqUEakSXACKq5TQv1hG31+zTB6YuChpMSEOmC1yLxc2YXOAEVQ7RdQkxyXXNk4XkJgG85
a0u19SZK3WRfx64or4pJ+vtgLm8Qit6picAQKCbRaVAbwAiuxnhtht0u2mg/jSneeaxcSV6/9qYk
9x2ymFgf4rSyGlM65+JRzF25EXm/bAozyvuZNriXs/wp5NhejcRhkfH81bu12Rkf29vAjhM2kXzo
rru6ugSBGyLhG/k003Ijl0VhXqJG4L3tRtSM4c5kgD5dWVtQDBgEulXvuQPTe1WProGsz4Sv4rMA
RQ+0iMFfNzjjS1lNT7WclXxdFrfQ/xsG9sE0+O9DAPb/LGc6+Wn235uf/y+g/odpff9zunT3sxtf
tHo9dDAM5c//lSG3N29Tp8Mf/yt1Ism/Ig6hJ8Q/+D87tBH9lTkR8i+Yk4BUZeD9mQSz/d+JE5Ij
iAyhTKBYEkrZwU3/f7Oy4l8hDyn4VmCvCQVp+08Sp/g3yf8fVDaBTgZSFpIExV+J1gJ2lDjRICIR
9NJdFC2w4ivMUlxJbJnsEsWXvr2c7IG+SFZX6+0s19Kfe+rtc8lH5cD6IETO5BgkPFuXeak2cz6O
mDi9Co2dYjKR2YzVskjgjKa5XxqoNalfqh4jZd2ivlCsjDLTReOXraFz2WxYXea/WlGHdreQkT9g
dTQx8p14vBqYgXS3ogOBnY7IK9lJzM2CQaceMEJaxWsBGV0W/kuvYtmcjZMjy1MS234BZD4EGBca
mCLa9AoKMiVGF9kkfISwvAqwNdPV5t/4oNZuM5ejRkNR19gO3LoFYBICroEnvmiA/JWtUFcyWAQg
Ezp2Nl2BHAagaYP6pYGH5bcQVcIwQ0fbAk8Rm8gvq6rUM7gm1G0KL4d9nbQdFnIwjL/MMOTQ3mNr
5kyio+Js9jN0U6OMvikNScyWddQkGesKqragF80hcCMDNgujsAeINekeFHIPSPdELXwTsT6AifhQ
r/ezUiittq3Id+ssjNnOFhezIUQH0ZZ5NSYnYTdaVDjZ8M2pCQb5MmrjG4gidt+OWOo3vVuDJvWj
Beak3VyPGQ87AG8q0tV3K629M1GhltSpITKZBW+wbOI1Zpctm9bxJFwnSKUjdkm6IWUClIG10pKd
DeO+OaF9hCS9T6KqugPqMUR3a9PP6lRN4eTOljGIuzM3Vj281wFRldtiXOWyUWQxZNtIC6KQAlAl
yKZcjQTUBgIunhP1HfhDxZetKAZgc4FQ4XBZazkOlyqqgCuWUdT5DYlsmGwSRJH9uatRout1HFQv
yYL62RY4quo3YyA7JEoEmvG2J/VUnhYV66sNHDxAHKIYsJotKAyCObsMoPblUpWSZlC7enjWeI3q
V99Zb08B60AFiqeqJuD7JkUSFJ/7IgBqOUdiV5Cuhof8Erjq3NZz8KQaFM13pYoFJvlGKH5dqo6R
+E6NvRsfhaZVufHdsMxfG1U1cHLR06AedFDO1VXd5u7cz/HUXCg10AnRiUY8BLl7mM/62TtMCV/b
EfvUCCzheaCy5r9w3oE5kYtKEA3jBRI7tyxEbWJDTXcr5qmFE1y4UPjYo2qLHXaZxbiBwj2oM1Il
HWZXm3JcN00EWmcvbBMn17q1K6ZFtD5g5+BhjNwEuQjJSSkX8SsW7TBvkIe0mJYumlBnYV1hJ7bo
+zDIg6IS1VaBsvCpZ0OIKdNMlyZL1sbbqwKZFwZ152DW99QXWLnyAqHHD1OhVSltwnwcbiRRAmVI
RP/lTvQAfrdDvoA17UNt2qx0OhzODFwQym3XHn6VMlOrU/RE9c0V6vauOp1D68yeEqw8B21Hl2fO
zbo71UOr4BiI9wiCWjlNyUm7djPJKid6nsUjsRieq0gTbAQroWAZxz0oe6MVv+eQYECNKu4FAtsl
+cJljdPB08cfamOXnOe+nfoNNNTqa01j+6tfcvFrqT3pNq1bzFM4H47eOIafCMrJLqkPkfrhE2vA
U4Pg73KsbyF+dYoQfeIdGmo8Cd7LbY8KgN5xyKfXVAxQ/aDDxftyWsMfHUex4rRZ6g7cTV6VCMXm
WP0Ejhjva/CObarpaJ7KyNhfQ7iG+anj3P6CwiV+QXFsZVr3phJpSxzoxqbU5ikhLqGZQGPND7Qj
4PXRosNHCh4XCuaYd0gK2CoUdJx1ARoStlNamggGsfh+QXJWvqgwkFOsHdRqNibJGR3DmadaAdk+
s0lSjbu1zf2XOeRlfwkcp37oBlPWJ7Owc3A2WXAzGTaMALOZc86e0XZSs+C0oEawOLWKYOpHA5Hp
clzqEF45rR/XjFd42bIybKbHhiTsp5p5HW4iOS53oGIRcgJhBNdW5GP4UJZCnEU5Ff2uQIFFnnKC
zpKJcvbDjuBH0wVVpCq1ZHDo9M8rvyClGA2wH6aHS4qulDYjcmnaXYnmpT3QIwq4VizsAbqSVdnE
6CAhLqHWifwftHjT5cpkI2uWW0sTDj1IyRGT5vu8xlq0eBZviGesvYAbXFmn2of0ocfhAVE2rSh3
K2o/F3nhpzltI+kUcvdaK8iwzfrQEeVuE+2jpyqAhJJyopKLXB7Sphwo3De+zmu31dCLXg6HMFlO
OYoTqjEjskfZr+g4YIN+WENbX0Zhn1S7wFb268CS4mqWM2J6pvN63y99+wT2fX5qdUCfg9DLFpw/
bW5GVACKLDISzQu+H/N4O+UFoFCqbPNIkFuylJGaYY9JGjSFoLZRntmqQpXuhC9BGPCMT1WoU6Qd
KKBO6BAptt3aCLKpYXUSZT1l8Q+KTo4QBaRoup1QMHroKoEqFQIg0IhR2VUN1KE5uUYQMNhT4P0T
GlTaHttbl6wHYi0keQhId4z3I4Z8lSlodHs30Ny81GPC2k0Z+QQbM2OoHkBHgTDSNQYlG17F3mN+
iiJPoO7sq24Pj5Jbrm4iDtLhpEBzR5NNRvm7mPHwhQJsfNRKKqhKieoBD3jVTdtErpSdMEnM3miG
O+v60m06WqPlJO+F/ZaoUL6so9APtDDigpSefTFSj/WGe21Q4qQNPL+0KiX0U/CE2EC96neR1NDa
tBX8CfwWkt+kLSg+6oiQU2NDG4CFoq4BvI2NI6vI5F4VRDCUrb2RGAHfdiCwdYV+gVOe8H7ZDuBH
AZaHA1IvpYGcAe+spk3Aq+mmpxPnW4KA5qcQY7Gc47Uqv4KxRM8UqEg6ZR0iKQSCy5KojRgiCD0j
PGpe3dQYFNVswG+G2Yd49QsD5VEGfV3vVuaTKiUTr2B7VWhXbcHHrDDRwWZ0bjoo7qlHC1ayIaGp
kah3OT/NtaxuTDcACdAH5DsLD9tpGraig5l01M5fldDRxVhRBixFBspndl2q5MTOPcfcoNhUflc3
qLqiFFH08U5YTesNE52+CorW1DvCzXzHZRvr7VLX+Q2Y+xLESrsWPE1M5HpEIYpXWCtU8RwEBVxq
0X/SbMKwAhNLgwqn44ugeUTgN1+3CAsw6wos7JXsFsvTYWEKvy1nwDOWsmdwGpxW9FKhEw0Kedks
RZBCRG+/Kz32zRkf2dxvJu1QguhlEn/rcs+/VKYag01YVi2oR9xRlCcBamxl2Rp94BXqOXODg+5r
iV9+VkAE9k01jminQhJ/Z4R2r0zLdgBC7afn2DhsH1ArUO9ZpIrrQ9CMOFVF1ANhBeqP5jcXNTfW
Beo14Y34SpLKz6lDzMA3NRZYxNlFWHVbD1TBpXj9Ob0wiDXRWNPUh2J7j0R4hKKIBiLWR7eFK+Ov
FOgpgq4wKn8cmovlpq+m9RE9XuZxdcXMN5DUgdSg5ysUKMLYDuIs+JAtgihsQnIyNTRwXSQQiJeR
ATtO6uVbdSgspWWCjj3sbSrKUWxvm7tixLaWFmE4oXoQh/XeSxZVOHiJip+NSr2maLVCQJ8XBX/t
0C40pmjHm56H3rE8XSrSvc6DzW0693UESBJWkTAixgZH0jVABS51fZKU2eK7ps1yi56RFH2TKE7z
IY/unHDli5XN9G1Z5+ImGZZ6vRWRa6YUSA+6sNCYgCcKpXdEuC6G9nZB+dRsNJAdgt3NyjATIc8v
LZrfWUrHKDx3AgTTSd56G+DWrnYEjk6LWwZpT6RzYXSVkXmuXlXnw58lXTRsnqSPio1eC385BCPW
FVfPfkkx82e+GpKI6l3EancPUF+9qpYgKVlyPX+JOjs+eVL1L1CdggAsFccaNVraZ+E41PfOaGDy
ssVWkbJ+qp+qtUVCFFR4dbIRgeotbyXdL9AWvzZ1hDY3JikRJ3RIpq8xCLg59aaHYrAGBdrqph6B
S9+vgLqg/5cv0iBnSAM1CnBfixRVOgk+fG+cUi9ByaoX5+TwXNQWtJ0OSFJnYyyqS2IB7kC0s+1d
k9TdN6Q3esraZB6vheXuWVYVuoI2rcSn8TxOqhiwDSB9S3PRWCAUvKkfa9TAH9HxELyEcmJdljgl
nleaFAESYIrXfvHJWu0KXo531tRg6VqEO1dgsZpf6+z9k5+K9SX2TudbZPTu54gWjBkl76k5j9vW
D2mvpwr0C+S4Er0iPK6y2YXTs+6l+Rai1z9G6XiA8qZIOSa7hDTorLRCa0TNHtvtdq3b6HGgzM57
WcURDEI7LZPzEe0rbrOg/PVrDnxZbEMVkB/Iwzqdrazg1W25qiBGX84kDgtYM+1K4GoibVSEn4Cu
UiD1pBoCYtmiBzGWg3niYkS03hFA0VsXsuLV1ROxJ9yV9TWCYkr3I4SHKctHFTKor4NZ7/mMbCqV
xdBrrD6DxRtCF4eqJZbtNrNqxYdbRl0OIN3EZEQvYYO5af2alIdOF2gLSY9AcdvQ1eRXcm0dZLp6
4MkdCE13+E2+DL9CX6sQSwUOLVFTVgxawwPUJibfMvSw0yclvLopugRYDW4euMfL/w8gDMvBPAPl
pY9Kaiejan9+R+3Aue/j21La7z/3bwwB1EDE8C9ecIEeZSJRrfo3hkCif8UEXSchViX8AN4D/11N
O1gfJAe/DPh1QINjbzGE8F+S0phK9KSTJP5HEMKfLjwiZlGCXnNGOappUZRQ1OzeGkb5Pl8mklfX
RRhAI4jcwILU0jY8yfGHtp0P7GOoLQn+cin4w1nl7aTx37Twfyp4fx0XU1HQVA9bCDgJHlXwGtTZ
+qlT1/g00e96NQmHzX9oUztfRqr5yTXdulzpFC2iz2+e0L+tH/44NGjpt1YPh0umLKEwomAhevt/
j8d44wK05DEip95eT6DILpqqQ9cbGlhXKE9D9RhE1E2I26lDDxGZ3Zn2DB4NYRTNM9Q0S4vdJ6eD
Uurx6XDQJjgjwRjDSf35BGbiCvQGlNcKJBY9VG6o3jjNQzisrQUZUdOToUNz7qoBpRnrgBYhnEDP
t9R1l+lYtbCMc8TW2ccn9s6bgQ5TjhcWRtToFAZX8/bNaGUdRH6Ve+gIZE65Tlq74RNSm8UPKH3O
+dr1FwXtTbf5+MCHv/jo1QBkDjMYlsBcMj72QRALQqzSFNchXoIXI0bzgpA92uTUq3NNGvI0NSK+
CWRvvoSoNH1y2YcX729Hh5xyuGIGX5EjzL0JuYuEk/uqsOUXFfnhhTIK06aBFicfX+fh0/rbkRLQ
SfgIqIR5zp83GKUWVKuDfJ+XLHzEat6fwjCZfHKQ9y4HKBNGEPEY3SXHlleTgXBZQLAG895tAPj5
R0Sq4Xboh+Hxn19Ogg9ZAGSiYcwP7/mbz0pPKNEoVl+PJBofehf11zG6fs8+Psh7l5NIjvWKQDIG
tvjnQcZa1NRpBZVPItjqRdmchbznd5UZlk+8gd97PFLge8RihTX4+Ls0M5p/clVfcwuXhmkoC4t5
miPqwR9f0buHiaMY6/jBxub37Lo3tw3NvEs81Ao3q14fUBktLp2C5P/xQcg7ax5wM1jp4GtGJoNe
kD8eTjUkdoIIfQ15YrSpAszSpn2M9uYdT5ryoWUAVGa6QkRHUEax9lZJk2S2oyQ+mabQ6U9O6J2r
FhxuPzGFKUvIj6961ZERjU72bmjtGWXOnpZF1W8/vurDRR19YFhXCQBACs+h+PeQtDe3tms0lu6e
7ClFa0g15hAxTftU6vrFS3v+8bHeuSC4B1E0fCC/iPnB/+rt2x8PopFS+P0MJvQsHtFZiwBRfLZX
HP6WoyuKDs5WuBwYFonfnnpvrugwyFCGGr33y4QmfBfBysRC3MXbBQNeHrqsR5ULTDMEVuTYlXgW
0RpsLYqElz7vk7MhTpYvqPLkTxSGEsj8Qgt9Azn7nRhl+8nSc/gWj082Bl4psd2iD+l4SCkfKToB
EBRH1AbXq5m6l6gQaJ5fDrTQUoSn4RyKu48fwzt7BzaO/xzzaBEaytCP1cD3FfRJIPpDQDM1lXLL
5jJIS9ZFOTKUAeQyERo93i4Kbj8+gffeg5ghLwnh48Oi37bNb57Q2DmpsKrs43zw2ymw7sqXpfrk
ZTvqxfodPeGzAaYKUJXG0cEY6e3b5gzpCZiWPYIKxrao7EF6r3woHslCDuWgbsDw44Y1yYRsp00O
g8iSdssB9hSbBpAyMuagQTX042s/mpHw12nhg0uwMkeHsPXoI1gBVncSfRp4hzGCGPrKHRmUfjFl
RZGoWfWlZzOwb+fQq45N3D/7VpBtqSaFH0l5M/GgPbEGnEw7ivVSN8P8yWr7O648fikl4hkQwQi3
eXL0gkyrkDPgqT1IRXKOngpaZbqepnN4bPBTgzzpfoSI8jVqvbmwdlZPzA0x2lEAe5FUI5bfRoWl
Z75r6/O2CbqHj2/he68PHM2YxJuDgjg7Or2oG12IdGEfWNGeOAiPaVUn49XHB3lnXYQpYIiAAI5r
SCCONlFwVIWqi2nfdGSqNz06Zh6bsAIXtaJ7ZteijvfJrv3e9hMLeijx44UFUX3Y1t98FR0YJQKx
Ye9RL7lAfR+KY13xbzaa6c2MrhuZBgv33+a4MVMaVgsq5CKc7vOVkc8mF75zh/FhUnw84PfRhHUU
39WmMqxM7F4XUJRXNf4KqdefhA6E/X3pAweG7EYCdEEueHS9Q0sZ4Gu3RzeKyOak0llp4eSQ5yWC
sH6Nz3ib1xtrElT/0XEAb+wC/gpgsuUQAEoYyi3aPcJPnsI7mwdOCumPODigsePt0MJOxaoAvfUl
8oaGkq/dOv6ck/AlNzKL1vXExeyzDeu9u43lDgIAfP2QThzikjcPvu6SyAnT7dHJhLnrHcofecUB
mBMJbogT3IduxmXTS6/Xp+CwbrLxViwYnEXMt+IQg3z86r97PofFCS+/QPRxvEKB/YZTRbuXa2HP
8KK3AJpE/MlV//0gkmCDRl5/iAg4EvQ/LjpoCztb0+8bT8tHFSr3QCAU/uMrAS0CO0+JdQLzOY7t
cw1ZdNMLFLZHbl/ZHAGoFnDs+fh2Hc70z9USB0kwiYhSdBhjqfjzStoADU0YR7QfwpkCLVuHs3xd
4T9SATJs/vnugSwF9DkqHlxgVTp6V5YorGb0/+9jVH2XFKpMcVt6ob4wAJWYd+MTn9GuYiDxm/EM
7urqAgJY91WMSH17KHgc8sYkUeQfvAMpjxozBuwx182bj2/K32oXuN8CllCHuaDYyP6+hAgYpzCY
R1hABhrKebAKKAkcza6AOIADOqHAM0rZsDSagfim4EOX08JBePiHL8HhTJA5wD8SEB6VB+fCPz4v
5nUCvAHNVmDiEZeCTA1V+MmDOX6dcZCEwLeVcCxnB4fCPw+yJCj3DsW4hwxYQxMnFRp+22r/yU09
zlB+H+WQBSOciZAUHB0FNSgiJ9nvI1AB+iThYXyuZsl2yqGnIFyiGBJWeWvRxXjTwh/nJ7pE5Dkd
ovDrJydyvHYfnYg82iDQOVxE1Ax7xZ27wjbSQv6bxxs4Hl71AY+2fbGgkZIUmVlaea5d226XxJPT
OCooaGS4aiyfPOXDpb/9Co/P6OjD8AtgLEgv+3UO4D2BRRYdfk7fQjeBhlrHaLkgXGzrupxT0kHT
+/iGvPf4qSDw+gFtB1+po5BkbFUyKuH2MUxQs6QfEFE70XxykPcu8bDESMQGXP62gH37Iucr52Zd
+32xoF2+jHh7gt0box9h65g0pnzufdGdeLjunLgSHigfX+HftuvDDWZwTwDpdigsJEePHLB5BZPF
fu8cUFeIrhRNfG5Z7xO0Ep8lYJouAxtYOAFItOdmPVqGIV4qBjV4am2cReW8HrR+Q+Qnn967ZyYI
/Dhh+xDFCFf+/PZY1Q6CoP+hooWEcUqDsF5NHDJHXgXPWOxIGiEROYOPX5hFrZWbCf0r2ySv7kxN
x0sDE63vn9ys47TucLMQ0zApEEEJ/PPnKQ1TAxmYDfthWoJgQ03pvgLFiMH7JUphusmqhlPTL67f
elSLMCzKwD9mw+GpeU8WVWKURKckmEieTPA6AHp5UqmFoRsDrMJ0zpu+/vnJGR8e3/H3g/UaKyXW
SIQ/R0sLdpPQeNPsAVAUaCiteVRm8PIDOKbmGI0wuh4CFDsgyvZgNWI0AGNeDJ42Qrvp5ONzee9j
OmRuCR4pHI+PN1Sr0d8UTd2eBP0KihP66UlE9Dh99t68t5rCjTsh2KgQiUTRnw9JA+2oqDpcMtAX
jOVr7EttOvQDF70PztrewBJ7isa1z9ayhm+ito3YRxrwXBYyNBx+soIdxxF4Z+AMidSQckSBfzud
ZAAcDiOQKweH28ui5foWVDu8FIGh3f/jGwwrFBYKlFSRRB2v3nEJX7dcB1dmif0ZbyCmwR81+Evv
+h/Vi8PdO3qhUINEOxDHkoiC2mELeRPVxojQ85EmV9CFgWTkftzAOZHd1oDRSgjzrT79+KL+vjpK
TFqCDIRgjCJwPTpeu6J9HMHGlVPUPYe2G0AutzM4oDmBL0nKwsLyCxQn+xmr0Lz8aKd8UJ88Qqw3
x1eNyAw6lIRPO0dyEx6tksim0Jwxdles5GuZ1fPUF1tWBcMzHBDks2DD/BhJAX2ihP+Jf+VoGAgz
9HQM7sajoMVSoAWluKqaHGpnI+O2T9e8lONZI4u1PgHevAZPYQATuHMgmQcTTIbeQzCwuKmjRW83
vGCaAl6K0eD3ZO3q+74S/StkAg7X2ZCAKnVrAuk6XlveAB8CbbiFSXfwgh7B+nZS8NVIS+yQr4OD
g4uB9P8KBqHgW4jvDuPWlQY3uYBng5lY7d3VEE1+3vWjaNB9ynSApn+6Ykoza8Y7x0FNosEfeQYs
oWg+7sK4AFm2Ulr/iFsK+4Z5IsEdGsCAS07UgRYMEcqc1ZWZv3YtVP8NprWsGPBZ17rfxBNj3wjs
Erp0Av4LT5J1Ta6xoIJVx8FpDefBsB3PfQVEIpWw0UUDC1QsgoGbJSwtlj5qgHx4Il14IjtJuu2c
LGjX2gxWJep1qEP4LLgCu8emtBz7CBJP+BWzOgkwsliCUTtpgJTIFBYCZQ2dWCXoI0lb7MMwWAwA
NJ5aHlFxlSdRCdNQ6ZXf5cCN/Q2gu+SE5Q6/XXIYrMBhKye/2kqF82Zgsy/SCTI9nEFhm9in4WEx
TpNuhlNEnth134A9azOEcn0N52NCk42N4MsC1FbD8gIwn9GPQzWjvbBCh+ADnQRYDzk5mN0BrkcE
jqmcYZL2Kzwqt7ByAMIIjB546opu/1v0uGG7pJGmt2gHpQTNKT7G4pdPUZM1whG9Xd042lOCh/sV
RC8w6QHWIkhXy6bNs4oOkCXRzgawJ5aK/HQBKrwwVfHfzEj1et6GBvWKAi4oryaq3br/L/bOa7lu
Y9ui/3Lf4UJopNeNHRhFiqQkSi8oSrIQGqGBRv76O0Db95KbNFk6z6fKZbsc2ETqsNacY6K+q8rI
WvyuiCQyuduugJCN6zrI0T85uWVBfrXcaxAz8iZZGt4gcy4aNKaNCtAWhpMfRqiHajzAA666KIyV
NiMHDRQ0V9dBwcXW00qo/TqDvUkVBVZ8tDPKyH6EObxLQjC3eMoM4VzgVsiRPdd58iC6tDP3iVP5
tzW+iTtntr0SW3SersZTE2fWlE/yDrVrwGpoygyYGazO6yEeh49WTb9u07Pcl7tsCu2fngRrt2+H
0N4RcjKc+66jDk6B9RpFvT6pExArGNL5MdAcQEmPo8o/ef6MWDLu2/QuayrrAuWgcd54SVptfG0t
yBMD1XvInKvuruvD7GrqYrSoWZoxtTUUjz538LIxD05pWOz6ZRTMIQkyzK0Sw/R3ftp/EWX/swYm
/7tRKMLu1IIGfCpoWP+Pv71B3h8WTUuKASEVFHQNbBD/kjMEfwBboLbroRjmaGw5rFP/QBWg71PW
pM1p0hpknuDH/e0Nsv7w3IDjq2nhG8JvhAThNzD6z3cadOocuA40ltgzU+QSx7qCWmordlSxHcwe
rjD0mnNqzjT4jWV+59TwfDn8ZyQG4m6w8X9MDHuyCeisMQezXmwLLPtplDYuhXdhZoQT++Z3j7iA
98rrz+t3fw24urLYytLiwGv1fNex9PGYipDE5VRmh7ab8HDkdOJ/zQG6q0JnIHE8xNz4LBB+fn7y
Alz/tbd5Kpp47bZSN8TvRV+c27v++ycXG49WVqeQfSvKC8gTlGjnAwVdoFRoU5PinVv72mg4yXiB
2MqtBITno00pwQdC1VtlBZX9xYjbKtsmYwAiDetwM1y/fW2v3dcg4LWkD09EiXm0u8qsGdp0UW9b
Py8Pwl6MbSf9eyFz9zQGpxYFFJ2upc2f3h73+UHq8XnSxcOqTrsEuYNztJ8aPOp1MqixPVBMWJom
WjnVUY6HHaCWjmYDIuvvj0h/ErsvLRDbOw4Hs6tAt0FbbhOzGr1N0KFeDUtvOHeVnd5aULm2Nprm
97oNj0mX/79d5sIE9V+Lrhjd57X2fvTy0GGvxSTt/dAZTOYz20WcFMLGcNCv3oMR0vpl+mhI8B/N
CVaXeqfp6lgwHs0L46ORoXG9+WY27IIe9ep0sLpl+OQ+2h9URnc7ouCHLaJYHRKO1gmJw1ZffR9b
3yNEu7YFkhEP5uhka6vEZI0yfxNUI/ZXraek3rlBg7/Bg0dBZAS+tysx5sNN2oH23WLeqD72vBEm
O9HCjXdFohRw3Br0oMwLjuFm5qO4LgTsoN3U6tjeLtLv7cjIaqWjocE5fx7QdkEtObVzV+7tDgoG
dqUylJCj6znPCR9QwkOS75REDkxTDu06B841bPxhLH92RTvd562ReYfMyuQNdCTtfRxC5e5H0TYV
3iZPsrkblxVuWIXNtiiLAQtamhfdRihIoIesD+GY5w54j02ACB3PQ+Ev31CJsNhzkKTbMubK+Vrj
J6/3aWwU7iZA2PktQf+EH13wcm1DVu5PI0zb6hBizGfnNVmW3COh8p2dZnvG22wm3Qd3nmz0zjoQ
p+bidX+meujQ2Qdh/hOd6SrfiHVOeDk9ozPPzYf4JK/FID47aVKhlp4SWXE00KRLLMao5695nc1s
gObBte5By2jMJ3gQ/PID1Bs9oxwzsNnB1NZV+hl7AZRGgFtuHG+nTiXqI2Bnoh/AnRbuFKW95hyy
kYOQzT0bOjBOENFBOg0U8PBmG1XfyPEDYgjRXEnAWe2G7bXIwciXmYsuOQAZZdWTNzIPPhKqsHUH
8sZ0syw9K81xFpcpTDBy3iisQarKXGn4gj0MaGG8P8o17hGd4pnfmJPRNUi2/yJyBbPlzl9h+NKe
xgdqFxdj42iiRx7JXk3NRihbQZpmAl/A6wan4gHxXD5Y0LWSH2Zv1NatCKbY2QdFhqVwoxqQPlts
oNN4v5i4eDYIytpma6MCjr/ygXFikr1pw1bzOxCMZVf7v/pCQJvJOynDaLYIwjhNw6BPoNv6EoWp
Nw53pd/AKzMTh2K7g3qYFBN0bPfAMsa7eZpcsB+qjEc0zOBYNllcGbdJMI73ysmam16wSrNH1uD5
23BQiOYLGV8Wfut9dRIdH8rFciXy6hpD6mwQ5bEB3yY+mEr3MEZr3O0bsbQGXW6v9tKLBN85n18+
W7epZy2faHLPPwxrsh4AmhdfOSGPPxo7ZIvY8Dt1uxrjzXWCnOJ7q4PwJ7BxRUZE7A4Rase+20/0
iSgM9XOMJbj0jI9eA/YDwLrr/EiQ8djIKyqiYWBpNCj0Q+5nWfvNXWZ1vd7Q4nPsDdkT8hfaMReV
ngjcB84DSxIlrlFrnD/mXH5rwHPA7vPd2DOr00FU+VcLpBw/kdb1T6fRJieP0e/OtBgkZ54UmHsk
KwwIC+q3NGp6iS2mdPOYruFkKoAHroWKs+MvmxRQSbUdM1V+lklNZgzEXwMvRWMrUggrrwo4kC/d
qvSOFxNkngJWHNiSBwf5wtK7OXbqsxGbBA8H9v2d4VaYUWLyfHqEy4N7rwIJW4P0CxzKbWwAXdBN
6N90WUK0RBo0Me+7EOU3PeQ63AETyThu5DUZOB6kaSA6zoIXpNRVWZ/H+YyPEbdQTJSskfYx3o1k
voyRQ2Ons/3kRsseK0XJZZ0GvlIIJgMvG3e0C4w43/rMNTFUutKerynL4LhzrF61Z1PZQ+JYxOSP
Z6IuLe+gYR94+wn+XbxFlEIqRGvQwNzYTZFdOmAp4rtWV/Wy9yrLKZneEc7fAtOR4J/yxSPvds34
2ZSjdpKtyMd2psjhTcUuS5Hl78bCCDR2CEx+yZ+hGpLwU6LoKVzAjA7iE0xNdrsXoWE4511eQMLA
z1SkPy2hh/aibXBhbPwsEPOp1TQK8J0zj821VJ0ScFMsP+NDrFXAQg2f5GSSqSXrjShb7UVTqqZm
N7t93P4MDaoF54C+SnHJhS3Lve6Dydx0SZzMLCjwc7obmVPFuoLWkuhdYY9e/r2dStgvMWd/bAAM
7V80Rpj1ZFWOTpN89yp7QK9B0p9WG8he7ng6jIODX37QEE4AomS3NZVV50Qx98F7HOxPCZ77X6lK
05sRc/d5Rw+ajm9tGD8BjeoTK0DHj5kIjcghn1LhR9bs8enZpdvjYQeaQ9fPY6g9YHYD61SQQNsP
XMwbsZI8Wl8ZLLND3Ez6gGWkJt8FX+uPDlYSnle/8XlDbGOIQLeCSJ2p8mLsWendxtgGP/RMqAy1
Dt18H1NW8x0cz8bZiMRKypPEDNBDUAqOP3vFHJPCgpQy6PdjHk/3KL6xL1hY4c6dvA/WJz4uxaky
QbJdzQuFATYAGdkXsRcH0xZcQX8R4sJZLse8sqxbZ0qDzzqZYPwEyg+WHZYgsnywwwz2Tiy5121H
lxCv2wHjS3C60JwjEySbiApopOWXZ4MvhvISUCvIYFiQXfkla5PFu2f67uVGGjU8VktRYYnGKfR/
Jsh27pulCx/wpxkfMORXPMrOsz441GPv4TN784lrZorSfOtU3i51vdrZd0mNuWdCB8tJW5K5vq1i
I8uoT1D7QDrWQReQ1PnVCTkIMJwSPqARqiuGd76rgOgTlKCIbJJ6SL6hnpsvM85ixWYY2P9syNYz
vtkUMC51YeEDQdAJeLyrcVPgT/OWn2Ip9UUtYeBeNhUs1UiCdzX2nttNZWSUSdB+GY2+M/Y60473
faK+XB2AJscQ4RoezqHrlwV1Cb41ZtFATvJsMgKmTrYYDSgmOetkb6CAgWkDHNY9b/iS6rvMxfl/
0cppSM/NbGKi2RgGy+Y21RQdAKqzmYgSkfBldLXBwYhqWi7bLdlc4p4COMFT5dTlYUSzgbCG2cS6
uRtxwaTs1XRyhtvLd6IOnOd3YntI20h8e2ZPGs6XyzwE7a6NWYzY65SAZ6jozrBGO8lEnE9ZZoEv
7p3Z2Cqq0N7PkWJSU28kvBoCcHwniX/lTj20B9ub+ChNiif5lzJ0FHZQjPNp8COEKVDsCl6xz57r
198NPEVcDn60FuaqX0ua17b5UGOfp7yF/olElzS1fw1TkX3oRmv6qhs8ZUuK+nK8ycoMQoNthGUY
6Yrsga4bu/VzTcS5s6Sjf0AZGX9wkKR8HUphPrTChjjlUC39lqnGmk6DIcm++Qvu1Uix2aFQbDrq
w0Qf6pdHHMrH0IA2sIeY3X5t7DkXUdKrOokgcKfFBbuC6SptB3aATMC4B4l7S+SWTOnuq9YCo5Bt
Dfg7mQ9kdxhaYrfgGDUAIYpa2w+0VpcvBY6BKgI1nf0kAW/A6lk1QGlK0x0vyTMhbqCWTfBAJFZz
GwpYAxuePEFYFmKiXYf56zorK9NjxW/Nk8WsqQRkYQKWSseW8T0d3eZ0IHhpiqaRJMzI4HBPTM0s
i4de9+G1GG0XNzA26QFvMIt5eupoGegtZGzsw+ajldhaXcVLlY3NLmTL6O88jhflhqopJmRaIuV1
/GhNJhzQua9Xv7Jancti9TCzJcPOzE40uYxXj/Ps9yEJW5klLyjbF3feox26GXs4VqG92qRDQQZK
5MJq/O48GqkpKJvf+gkINy0GnNbZo+la27H3xcp7/VGPy3LXPdqzwbnQfQBqgm17Xh3c7qOZW7Wr
sZtqtXOnHu3eCr57dZ6nk/C33qMlXD/aw5tHq3hczfPH4tFATicBL7m92sp759Fi/mg3F6vzvBtX
EzoWbPXBfLSmr+GJVVQ9OtYRPdZ816uR/fEg/d/K4P941Fr+vTK4zbPvdd9lTyuD6//xV2VQEEZg
+UhFaObQq2LT9E9lUFh/oOdBRk+hL6R2tea4/lMZtLFAmQ7tZKqCJswhyi//VAbxOVkurKGQdqlH
6MBvVQaft15JB8bTgT4TiT11Rj6Io3ILSqYEaTDUnQaw9wm2pG6bc/r+rQbv36ME6J2FZXlkia5F
nyeFsibPllXRb28CKeaLhJ7y58Jq7XcKOfRN+TlPayq0H2EsocnCAI8JbPWUPR2Hg33msGWbObp1
AhhE2s7WVrHcXwd9T+7KLH2xbWTAgW5iQYoSxQmS0JahuwaKT7erG/rqrsJK7O2Y51YLVpzYzlkj
TYH/KWkncHeSmsYOXFw2MKnHISfOqp80LEiyU0SOO+JkWab+YPmLSMm+7ay5V+wbMTJu1QCQbWv2
sXuTgSTHKRQqJ1615rhUlUDbRevGrU5MWGMQ9bOK1BEAcc4PES46YJvcWQc/dtqeQIkKZohB9eUq
Zo3jEOaN0/lIVenGZaecXdFPMj/Pth2DfPJy+WkYytDccQapP1Bk6gr2ME1PeFleskVsurgsd2Nv
LsNGTCOb1BZV2riR8eAG25zJ24/4B6batS15kQ0GS1N4J1Ocxp+rsRuCyGVlDg5r5U7tMuIg80Nf
em2xC+OsGs7p3UlmZXQ0TELVnJy29rh0FyOIbfEgajcst5js6upz1Qp13uaLaE7a2p+v48ws2421
8uM37API9mFLgM+7BefwAD4+fNAgCz5VQat+DfS04NckXfEtGeziW2b27o8hG5xfQHfd6qvhx3T2
FXw4i6UM/99JmKIo3ri50Wcn1oIvmjoMDZkTRfJRfhN6BFpxYXhxN0kT6OYcM39LIIU1KTgMGHrs
bx0QA4iFEMyB/dqdWH17BThzM2zUuJvR9OS0YnpgQrSS8umUnIoh2wu8f37kJDngegi41ngfsFfm
cOrKSp00itgcd0mG//pRs7/9qKt45d/n50uCyX/8eAZ1oxHyz/xsWH+sPDfMfAJpKjVgh2n4Hyeq
/wfR6cDZ0F7i+kOp/X8ztOMyDQta/hQA0XCstf+/J2jbZFo3TdfkBIKq26Ky+xutG4rfzyY1ZjJm
ebyQSHTwwrrusdIwoGFr8M08IKswlnPgPnYJ+TUnyA3uTdOcJlmVw6hOuhIzG4lrLnhHNUGGMezN
EuRuATA6sysIYmRfVP18PU4dcU4XErFDE0Zm6/QNPZqy/QW8bZET2XtJ0N3lo2NwDFM1zMf41LPA
cdFcpU/aiw3bq7D5ktgSeglEBgusf7ttbM5hqGBraDCQOO1ySPrgThgJ9ctNGqZmV12yLbW7Yd9D
letvYU72xTXpv7177whoWCSDTE597fkZ9Q52n2b4kBFglp8JF+gw2Rj95O3Ckqk0kj67KpJysO2d
EQplxJtp6EzUVTM8I4I90JX3wh7aW9cBeXYT9qPZXSkSR74aEE39U3+0sVcBCDJryCxe8pCXY99E
8WirgupZlftQSdbagLvECDzjsbW3ojMavXV11ewDo5j9jdsH1bDH4h7UV/5QmyTwDlSU96GYpXHS
tdTbPta5UxH0Ab7AQ2LQucQBuI0Ld4n2WUQdtSNBOOkpZ8tCkvEwBa6850gGajMmFCAaOxDFGHR0
/4ODlaw+gPowrXO0ZcmdweGOBKzAiX+wl9D5ARScGj8pzqthvFFJPmu5y8xgyR5KM3XEmVO2RfBn
ozBC3RPgtbRXvkpCfW4O/KRdr+uw3qUDoouzkmCRj0RFqAArXDt9L+2yBL2FPr/b5PQ1bgxY0ymT
3cAyaxSgc3bZUvkygtQ5sXq4HkEPWYPeYLM4gfvNrbLqllNrAj98SoY7miyCnmA+wHqRbeJf0+2Y
xMYSnp4RjsrJ2fKv4Ngldc0Ryw66LpLmMNwi/ciIT/IrqGASBMZV648B1B/phrQ0dxxEw3YthY7u
SGEGoHoUS4jWGw4sdXWosjnYWyYL1NmaZEOJ10Q8tNOaYtBlRz5ju6MYHMDxmwxC1NIMv+8HnL4c
tAawzZ+QpqlL5I8xgWGuItY1Z6lNrnwkSJCtg4p6Yqc861tBfIm3WUxr+WUOKnAOphZ8NmZjON5l
QZ9YbOfOLG5KNVrB6TgSuHAY4E5QSk7EnBw8kbX7rMhyd5uldXFDVuGjOgOCPzxVkL17bw3aowLB
mvZIjaUqFE5gk1zdte2hdpegicDf+MaBDCG0JpysZ3JhY2V9JY5iJWcUdSiWiFZA45zqFpDx1rXl
wCO0yVfT2x76Y7wzR9xaVJALKqo8oAYweu2mlOrI4vvUCDstD+S9yI9pCppnGywTDbuGO8M2oie4
hKxmr8JcFYNy3tB4MS4Km/ydTRA08B/IHoJsEc62s/a8MvJDpkkthF+wVbpj6k1uaSKslGUA0MHO
jlG03KF+QR0I9QOIeWaYfbpNCBqllgmu0iZ7zjL1PjdoWty3mqM4uN98TeBYDBlsl6m0HrjX43g9
1Z74mHedSXL3aBvGbdgMwwkXbuz6qgoerBEH96kYIecjikF9uSVuRPpRRoRztUsye3L2Q4UKYEP6
C3EBubLkAs5dT1W7Jv0Nep/5nVXQ0IJGyN4OBQDNrzKw1Te7rKtzTgvCubbVqOu9tsBpsu/q4K8h
RMweltYlHZxSFhWUyev9Q40kkPpbnjS/fC3sk4EZX30pEbaku8DKCNoAruNaF06RszkjyH1m/9Xb
4T0x2/WdSADefchHQ00XgsrKwil5IOrUx/lGBK7kILmzkjYMcQWCIifcgNJi+mEkHci+zAvDn42N
phz1uVe+/0CZU/ZfNO2Tbk+uVaPIg02lvHVj6DlUt0wnO1mrL+6poEA2kLRNbZ+eUW3esnNG0ONW
uZefpaIzzT1yKvv7kDoub6gc/XqHY186V2aZjtbONJSmAe1IQmXI7zRspqhlIXqdE/kctWHWOX9W
lK1gsYGqCw1NC2gOFezsJAxW3lwqm/k6zUWf+1EMGaYn+3TJYnoRHeWliXZFBmHH3rRpbwxnAaGP
6bmQS5Z10SK9zr9AvWC032FUx4mD4Kht13jNgt1oVNMpTQHpAWiMeq2z5YcHiPiTDgiSIsvJHaiG
RiFsQaaXwbcbn1jBfsZMR/wOBEnZdOZ2zME4n+RzhVKHVRC5F7mZZX/NntufgXnSKey2oh3gw2Oy
o7WyZZeSD3NkO9K+oTPWg/hmIy1300SzcZsYk7t8yOkeIfLM6eCDIxV9cqh71raIU5r9UaDbHidC
GChcn5IGs1gH10oRZRCfo90LxyEb+bDA5Jb3sh4WImPyJM/ApxVhjQpzk/ZpQHhsmJdp92dGVFV9
riUaY7jWMRX7ah+7Btxp+I6ERm3Y4KKFsIZMoODSDZEFn/MinxybrFX0cmLj8HDVaZFzSC52KoZM
M+3Crkvny4o0DyhNkPdB3+seoqI25tFDiVBmPLglbU0Bsa6c+mknWPFIamaCCMQOpoiNkrIGnQgt
jfRqEPMb37EmcuGnvkK7PNvGNLNi9IW5nPLqJsxN9hz66WVROob3rencWV8Olqn6K9wdo0cnz8ji
9ouyHeVedBYA3ku7h1d/nho0AwE3UZmlATz6PmKTtl6Ga+VVxnzXxK05fKVwa5LBZbTUmVdg/ZyR
0pU0PotbBlPoxo0h9CCj47j5rSlFm50DaIXJLaCQxV/jEKTjjkxc/271PV1y4/xlu/ii+q5wVOPv
WRqa4t9GVxdgBlM6Geehoul4lrEzkHdzCtzyQQ5d+b2puhjuZQ3x6GLy+IxPY8xFRKyEnhivZakG
kifY8BLyiyU8PZ8TR5RnsRGMZEkhVezuS1Nzpeh5kvbLRITTbVv21Vcc9pb9ySstHH1VAM+MUG5T
EUwtyVamzg4JkylllSjYw9j2pxbSHOOuKFilb8YQyzvxVyWZ6ickOrEUQBWw+KW6ZrxJTSb93X+r
VH8fg94WsF0+/HxIHvSPh/ZpoYoooH9OQq5JoKZF8g6nF9gYPLR/DkLUsFC2OSstgGCAv047f1eq
DNjX/LcooEjB5BzlCJREf5+EDNv9A+M/LhnfD1akje381lHo2UGIPEUSPe31V2Drb69I7efVnUDF
fYBAXkYDCYWnS8C8LxImmCdnw1dEXc8FSAGOW5uLEfzS6PHWaz4aheOeNekcebLbnKdm82nohy+9
O+3gL+LTF2RyvT3g86LVOiAUJEbkfsMJsfz1/PekODZR4Y7zZGrofHjmFZmX8SH0x/fYQi9GWW1K
XBN0MJ4uDq3no+QyKaF6z20E3Q7ZraltEF2OeEe99Vw1xrWAvkAE76Bd9FDHrmXLp9eSs82isEeE
iwStTMuMMDwCTqTILrJA35EH84OY3fadut/zA/I6KCU/mzcXvAr8jPWQ/nTQmfWqw1GIfsAjC8/q
vW7vq9nYuYY9X9QmuLC3H9haRfz/KuM6HoVZsZI6TBzT1E6fj0f8DeEPXtPRPfXvfdRwW4YDA5rI
7p2RXj40zlLuajZFuwUM6+jK4rnFip/jroL7Op0RmcbuXJFP8/b1vDYKXjYq0/AoqFEffVeDHHMP
O1uHXDMlJAXNAcoJnIR6emegF58WukUMKI+mLRuIzNGbTiAO4DtCVaOiQDXTj1IeADYSukpO1V4Z
nPR015Unb1/dK08LHyhFFEonTEbHVHzTp2Na90Ufdbaodpjopn0rhLGvEBK88yIe30j4CXxg+EIp
FmGCPX77zdD1eoRJTpSPSX6o6wCt90gp4+0LOnrdefmYoXjXTWZAdMPH7vEGF0gS2ouMZpLFTmTC
bhVBVPmljNHQ//ZQ9C4oca2K5gCh6/M33V0gwnImA6jaE+OXhi7PK/TPAMHWp0S/v+foeeXKqMG5
oHJ5YL53/CE3ehRB01sF2gZoUztE7VgKh7QpztmyGFbUkyr7HgTo6JlxN23P4sXAQYGskmLe80uk
p59TbsmgShJKe6pEeCsbV7/zDr68MHuVhFO+CEjVe/HIUgs1vqtpIa+RnKeJWYrTvujyXUo7fjeN
TvvOh/baRa0TE/pZHEkszc8vCk8F0z1JV5wUrGzf+4rGNlXE/+CqADStpm8PKtlaUn0679JNzGbE
yHk0UQfcIGUrtggg8M10paY/K62/dm7/ajB75apYwXgVeV6rH/boqnxh9IRZ8eIjh8ojJk25KyxK
9G+/8y9H4RGxveCPdR8QHI0SzjVhQbOHe15l3rYbdLuVlMb2b49yNCvx2vGusdXAnY7CH+jK83vX
reDuYJmLKGhJ27P5251OUAB3Dv2g3x/KRXwXskmDjXPcfOtsK/GX0SctF8AUGk8x3WorRDSEauDh
94fiztHJ5GtC4bze2ydbmX4Z+kItBPPGXnKn+ng6HzKbHK157H/7XXB8uqIANGiPsiQf3b/YhKHT
J2nJypjAJsa1aURTVvv/wQUxq7usH+DkuaznF5Q6tT92uigj8ib05WKYC+CsvomTD2YVqncARq+8
eWyeWOZXMwiAjKOpCAVUQ16xLFFbanPD1zVcmmB/Tt9+Rq+MggsFyKTDRAt45uirJY1+dGc+UVio
qt3levlKUvnv2eNXvhJbTSgv7J/5W0pPz+8b8Ux5GlsMYnD8plnaCuKFm/EdEf0rH9GzUY6eDpJN
cifKtowyTCAngSqczdI1/Srb82/fvmsvh4KtQyxpQFOHN+5Rzf/kzYatQNb24MjIxRCHYCN0UdPY
bv6FUq/xzhN6ZSzPYoKzTeB0VO6PnlAopbQx78koIO3rXPp+ddGNSfbAKUK8Mze8fBkEdl3WJnop
bFrMozs4xjY5NDVD1cyrO7el0idtS78zysvlT2CTYd52UDlglTl6G2imjPSrKS2niUoGaid1fU9U
WdCdD0GC4pnQliJ4Z4J9OSbHD7pSbCdcl7PjkbBh5FhljyQwRMpyHIAQZrs1EEtuC22zVXda651d
mbU+lSenAl55d52J8KxgMOckcjRgzdMBaAPQmHZvrCm3qZBCfqh0sulCIkKM0QvlwWM+bDfz0K19
jlyZX22t9D01pYHUxLxP7EhVa/3KC9P+SqBmNVBTyqk4CJVpY08L0DtfhJN8+93Xm9wMtsnrodcM
wes+/15bDJ6J5bAcjUuJOrNYECpwHFji70YRF+4778PLF5xvidP16nth5/VITHvyMem2UFOr2OeN
ud/N+1K69qeWVlgbtWg60ndGe+VNQHwDV4AuP9KT422DHRPa1AOA56lLje4j9fJdNRS0KkmVQfY7
qLr9+PbtXFefo3cBNAwgCCaL1ZXmPL+dZuItqSG9IgKqRti69+e8mEQWm+k2a5TcCPGewf+1a+Tr
RfXChsXkFPd8wB4+qya3l5mQ3O5NnzhfcCJfot2OI1mAm3j78l55ftxMakSw0kDfrIqmp8u8UwyO
b7SiRKBJLXBjdFrdGXMjT+lDO1e/P9a6HNKfp07C6f75WIFy23EeiypyAz3tSK4xzmks52dFqZfd
20O98tSIYVvPwPBW2KwfzbtVWiVegLOW7HSltk0j/U92oM1dLQILQ06VE5xCptrbg758clADsJ8x
e+A+49t7fn11YPc0HMhNglujL4kbpOptjtZpCIoPBZ8Q+7fHe3mRQCfWTft6JBZosp6PZ9hG0qQk
lnH8nsZDQFQJriIyii+KdDTP8lhO14bduNu3R335xlA3xsTq2u4j8ftou6bFLBBgM2qLHPywNCxk
jWxKqFT4s98eaq1WPP/2mL/QzULxW9k8xzfUyUO/GCpV4lGv+mGzzKK8bmgKo52ulupzscjiVuoG
W3U29339zmTz8vZSaOB9XR27a33o6EILMmOI1KaV47dtd1kXpQuClJolIU1j/sFwi/yOJAH3vT3+
i3WcHEHwUBDJmOiovh09VYmWF80+9XeF4Ph0CpLiAjNY8M6tfW0U5lABiBFWoH88rS00hGazyTif
0/3e+rJtEbQi/X/7Ab54Vyh58SGsd3Cl6RzjXLtuagcL5X5ktTPtTTZkG1L/eFyY+P6ToaimcFZc
vcfHC1Gx9G2HpaLkgkbvxAahQXNjLndmbkyHt6/qlXvHBovOHXMZ08sxcrpEHuzTNi6jSRk+Impm
G2CgRf2b1WSKeNw9OPjr60+163gbgqylJ0OB6NhKjwh2zDgtvnmB0f8t9v3Xw/iLF/1xHI9m1zor
s8t6Po/Qa2w1rd0yCtH94HsJ4sHAFBy2ESFnxulUG7bed/as3vnAXr2PzHvY4z1YgseMZOnkbu6t
4RMtio8zDFb5A4FghNn+B49rZY5y6EMXe6wkTXDjtr434nP2nN6lwJsNdWRQDnvntTiCgHL3uI+r
A9hfVWaQA44WHenLusaNUUaCINxg3nlpclekBF6XbnFam5iGMoo31Yh2tgn6AwpK+52P4LU7+uQ3
8I/mjrCYtN97xCyPveENUdB71Zcey+7N79/Rp8McLXSkP02z5uOKBmeaLssw+OTANX2nJPX6tazT
h4+Wj93/87fSHgZcsfG615rJeNkHZkK8U2mE5juP7bW3n+KDhzeH15+6yvNxKpx+sm/sMnJzhD6j
mCzYN7hd4JGwMuGIbOILK63eO2S8ennWimlFHQ5M4uhRzb1bh2bNsGLJqj5KlxybRtI772xfX5uB
4ThxMKJIbyFHen51HgwzKpbs72KTlFdVz2KPC5YyixideP7tRYWPGcwcQHJ2QS9AA+h+QCK5XJOh
8FQtdaoyYq/b+ve/aMZhE8khHn0V6+TziwLEAuadZnPkLAGuRT2I5OBObfbOfu7lvePkjpge0T6v
Ib2258P49SSULQAyOXompmLR83ZYUUSBVZfvzFHry/xspyPYUtm8ffQOqSIeA7eKeRqIJxno24xl
vEd32RxUO5dXeH3rEwyx+p361BHik7kKpmaIQNUCG7eW+I7mqtxVLuIJYP85mq/8ShWFWz+g6HJa
zlZh233E1Wt+qfwOHaFUfmF/9gnh8k/ZMxjq9u3p5MV9hlvHPp1WJqUS2iBH97mtyE5V9TChBG0M
xFZmeTApZnxMHeRWbw/Fa3J0pwG7AIamG0wcAR3u401z3FRV3MWZH5EQYDBTzpUxhFf+LIS+rxxl
EnEpgxGJJ55ajMNkpeNdXK7agRD2g2DpgKdNGfauwWqXPaDLbKst2tVab/RSux8KTlrIQGign5Gb
NulNiy5w2s2t79yLHP7F+dSUYb1pWsfD+NlOTfLJYH167I5kIwaiYWG75+xQoA9kbAnQ5w5Cda8y
eTThZBP1ltWU+27AKIkuj7p+iuPPpLWGJ7pMwVAg1ZFZ/F0QMeiVO1YpdPAbc8FJkG4A5zskIGYW
uVvfY3sukeLOHpuMj3OKfb+J6sSAxrixgGhQgQtbX5fn8E94CfpuTaTejEXiOHDaMHER5OfptN81
WPX8i3KQcYJJIGxJYNzkhLLhBQ/ypc9/Tq4RT2e+GxTQpgCDTT8wapWgFBcifd0NEbHE7xKONU4r
f2Up8y/OBIONaLpsJlsNOW4YnsIHrdzruh9Df9/MnqNPu9VwAxSDfMqdp8SMAD8RlZNux5pcjoOY
ey/8IHFqhtGoh0ldxLJp5qtxaQvjk4GRWp/HQ9cOd2DEHHdLEqR5NkBqAto4AQH+E4cc2XrEttkX
S6vk/7J3JsuR81p3fRWH53SAPTk0yewlpXqVasIoSVUEG5Bg3zy9V/4OO2xHeOC5h/d+UZKSCQI4
5+y9dh+rVKzOmQ2uEvce+BSCHQjSGk9Z1qTdrsdJ7v0qSMkF/zzNXhDjksx+HC5VATLXrHREVLRO
nV1siGF5ltAMlPmH4cgUJSibMsh4B+zMd73aTPNxoaWy+M3bVqYJQZJ1+pKmVeCdsaIG/r4vMSp8
qsUkrN6u6877s3RSkIw36VzBDoC9Bb2urPsA+6rsFvGcyQHTuQOx37vWpdXiLN9aILTtXIf/OsBG
IJNQK0XC91R2tEchKy6EGmnwXPqpsze1Nq4hovEy0v2cg9cau9QEf+G4pFACrej+tnkqPm3IFZAF
PP62aLMA9Udbm6Oz7sp6vhOrpyAwWLPYPjpjaocIu/QI/zaFAhATD+OZWETK/JeF/VZFJkhh8vzc
dCT4mSbjiAecuJdd5dSCtY0B2U5IRLC/zUmpOnLDzajjkPGYxAK5FAHrsCmu/VCY38Lqyxw//LrZ
h7k0ltcwxWpycsU4Ey1t+QJmhtM3Tlz2teslqtKtu6+1sP6SLz0USZBZ/nTYKMTdCJIX3Lx0LodP
kDq2c5+tAb943TzAm0hAQIbUN0Hdrisb81UDfZ6SxmnC+exr0HdxB6C8PAfpKtY94aPZ99xQpuws
ZdmYakxvwCxauMMbDqgcFEFmzFS8pcctiAZw+4J5X6z3fplZsFpnuUh6r/iesdJMrV8+6Eak/Z64
dndFqBtIQcb6pCDQYJ4iYC8dgv5ctCMh4Fle2K9baWzyY8MzzpdRFMVKRBzJdfsC6O4bG7/8wJaT
PrN3W+Wu7j2PDCmUs2w3QSu248yeScCcM3y6MByXC02D4jMEXqcuq5gxaqc98ICEO3hKouVYqr+I
+sw3OTGoRoPoDDMaT2sCiB+yYpGYpY0Hr2XKxRNIU7P/UHoVz+SdDld8PTSPZgOx84V9qL4SdjBW
J0PpsDm6aPu3mF5Q+6KHiezuRhnBv2lNw+a0DsvYHsICZfKdlqb4NKRws4NeUcQe0ARlf+3ZNHWE
ryycQbK0BGkPdaFJ1ODGiMw8JzcWrOccmmdnFu6HJ0XvYdlyrF+FoGBHHxlIo+VlXwJitfDVX8x1
VdudHmVdJxDiS2MXzBlmVy+V84QAdZXeHM1Nbz8q/LBE4ra3sEhRgo3dKTAi41fKOL+978FuDJE9
ysnesZf4c5T6aoV0iNHsqSJKdf7diV78Drw0K98QO5UmokOD2NcVK7SM2sy1+zgcTbjG5lgSbMte
Mll7hfjTysh/3Lyb3DQHJtDbi8p+VeZSfumptT68qgnSvWNCGASpU5nsDRiru263jPPU0o+xs/YZ
hE6vXpHQduFHVuo8O/jEgLN3Q64ZI9XY1rNtbeSCWqRKFheyBe02oipSXSwEwdaJ37qdTLqgHMnb
7gi2vmb1pKsPJP+2dSjDKtju/AzB2JscdJNGs9ackqWcKtgVjAkDFmLRDXEo4WdHw1QY4tCtrPLP
G9MQ3tQwjWesK8t8IjJZuLswyEW/Q5BTplEYNmt5rNWyNf86pv0rNdOk/szS9/+2oRd030s540dn
RbXuLjea0iQd22i5JGjlue9sG2TwEJ5difCJ3aoHDKjsbDlr3lE7ztehuAWjLjd1uoWpl1ya1mvz
FyMYhcliD7w1ycUSdIfbnH96Lk1HyxdipQfnBG5Zs6RVMDoQj2H7qlfQEw1Gnh7zPqtkK/LmvpPz
XJ573YXVEf5oiKRug66RAuQp2u6jNgZ0rXE4bCrEmELexPSb2HnVQ0nI+uw5B8BIWCzseV6hPJXu
Qwt04K/TpHjlZxEO7pl8mZbcy8JctxPoCiPfQaFwnUPqQc9BMeAFPOG4bpa8fedm1LKMtVFPoEa9
ynRenXIV5rWDhyo+vLHssxfwbf54wAs+V9fO2Vpzz3hRTociW23AxfZYfcwg+NbnFfoPoamOIpmU
aeuAD7xcnfHk5lYrTsIItjkmHBdfgbn69tnt87X/peVGT84iJqaLXKbxl0Jsc3Cs/YLm+WKSYkou
/ASlkU1CTMeOpCE7MYPc1Nd+7Wa2ID3zncc9wa6cIxLVsfGblFtjPpiyzea9IfgNd44FW3lPXVmZ
94BfYI+SGqdIs59EYe2RoZDQrrLNWh4zgJrW++TZxkPbEXl5NzHOHb6hLUzzg5OtDd0Wv3TM/kVa
6EfgxczWsB8MX5uPfl2QbSwGJ/xjDEL07346zzXqOB1ahOOOxujuboQwMDoGcCkjLlMPGHQ0zDIQ
f3S2zsavtkGczBNS69t/XKb/v0n8P9+Y3/93E2L8tx66P9V/+q//uvz7T/2fnv/q8avKv/9XLe7t
J/x307jl/xfqLMZHhNShx2WM/j+kuKaDnRwnYogNCa0ec4P/aUlEiXsjRaLDZeqJZuum9PgfnsT/
Qk+QHAH85CxfUNve/4sQl4G3/b9VRD6wgZBURqYyTPJcgh/+jwYIoDCfeV11yBuMYRNLx+1tLG8a
oodxO0ecTvz2euCnQocjsfOiT9rZw4IH9+vD9KcFP8Qtp50Cot5nqRm+IxL9stvmRqjVU594E0g3
EuJM3EMz+RG4lty/vl2sZxdeUfIfP3Fp8yUxxuoLT6SZrD1+76gj9euD6O0BlT05Kicx6uU9c/Vw
17p2+ezMnXvnmSsdgAD0d2IUqKS2tiuujd68t1TK9X2Z8ItArPpxVpOf2LuWPPVu4R+5I9j3syfZ
o9EdJWJdagzOVX1f1X3Sp9Vwlbkqr7k7/hSY6snsUDBuOJFOTHrF0a76HyJtjA9EC8MVCYYfF6bf
fBgLQfRQOurDKI3ppNacXPpB9//ASXxN6ga+4F8aMz9RlLb7SrL0T9ul6wVOUwXkiz95nvnly2K4
/1oj9495XvpHMoi//IwHuPkEEHYUpHb8Hx9D1kj8teQ5/cdfGaxzeRVYVB4I3fmZc/5VufVJpm1Q
8FgvkmZxvWPN6Iojf3D/EZjVfIQjFrCYvWcg2lCJI1HW5dUNU3myAGIng89PWHz3H98qceFmx4cQ
hnFDQLWmeahWp3yzBY8ZI4nYe8M04+XkY8MC9I8D/pbrmnbpbmzX8jo7EJaihhX3sHkWn8Tgz3d9
LS4jvBFkkF51IzPjpz/ehOG7mj5QHZncehI7ldaPGvmZc2lDKvNco3CpZPnyWgx4ER7zEjxv/1PI
wDviDzNsxErEIxd+hV2i4jfa84/qYEDhpo2ZizWn22Ot7cE/hg4fuV55wHarvjbwkfFk8EvxVHr/
AnwQ/1wng7jV8IVUq/SPhd3/2EvqPThuuT6sTFB/W43FUwymh3Jw50eQ/HM8YdbCY9m/i1Q8mlXa
TPHUNtbJD3Iji9CXVi9dO/i7AojM1cjbkuioND9AQ7xBk0YzeIcphmYN78nVHdZgp3s7AAhDvmXm
hSRJgadp9sjQjcTgteXoFuNO6CW9eAgc7kuirxMfkcJnXi5z7DlLfiJuVsbIlKdE+gPNAmjk2c+m
OpcDEqNO4lpNevTHwP6xReNwn1objatqHJqdIq49sZsNbnimicpuguFvMRP54k9hhq9+CTc63wYW
nSDorzMLPmjI7gCkzdVabbZ78J3Se2rFbH/oMZifCweXGOB8yYXQXuWfbOJF2DavuwSksECnWufn
NfOLB1b9+NFJw9zVi9NOcQkjNWlaGOe9Z+ozkjixNxXYLY8bGHQd02t3jTVbD0yy0+ew8TEarEP4
OEKvJYS+dGPSdKz7cg23hwz9QoR4xk4cnDVxlwtByPtUyLjrmBNkQzgdJTdVgp3wUh9yeyt2Pirr
h8EbcbfV6fwiGrBHdPRFvLl+hqRWVcC1g8W7p/6xvxS/dr8ulXsaVfM9+l7/bLJVwo6ZFpfht8uV
tA4fvNw2kjpLwS62/atZ891SedfdzhapvbNT3fIX1t3ennglCMByEyu3nJNhyTQeazWfJ8N5b4gV
f5SjaT4UXpO/lSLtzlZtOF89SFuMUhbxH4YnpBmpdijPqrc8vWPwZ59Mbb71wss/wsp3P0btne2N
2nvjJvHqg8jYecYQsOAg7G2mWo/5hgchmms5nJ26T99dy5BxXg7rMYUo+jh6cjx2KoBBmip3i2a7
HNCI6PJC2Llx73U+JWW54VlPqTWgcY9O5Hqz2UY9+Ky9vk3SYx3k1Q/Mj7/dgEFEGsvRlibwUpx/
LyMsneNoUByiu7yVSKVRpHuxwJCyZOd9UAlZJ3MAVD53S3nsFuljKRbdA8+fnEyoVWFcqQKTRl7v
mce0b7Dbt8hbTPcsQWs+ZtlixIB6obW7zvK50Iy8yC3FVwXSaNeXGYbypRUR4NeKBkIL9K0DaEpP
v/OjzM/+bKPFZ+rgh3FdHRKxGb/KjcS3aOkag1dlaYi0wl53j4M+S2h4WKexXiAN5gPsi7ruy2g2
p3DXqiXcuaM8Zo7m9U6H6XtyxvuuCJaoGW7wQsO9VMsC67avppPw1vCo0wqrQdC4zaVSyt5149rd
l6RiNJEJvVBEerLNiyQm9LLi/BVs6xYLynRbjFpaHrmUzLESC+3BMJ1PeN+8j26i52LMwfxtrFnA
HUC/9lOdn7pGq7deh9s7s/zgspK/e3sl7AdfAlyBhbJa5wHglBt5mQf2w8O3+5TnPTS2zXBPtLDq
u3RttiMaxGkH5qRKMCDhcDZSf2dR8z+kNSj9QPbtAXCstzNoaca4/XkhAg7kbvLP/dbaZ29Kw6vl
hsOOrqoR6dtJxXlXnCzpFE9Glj1X47g+ZO4cXvJhK38w3TYg9m99kqZ+TaHJxpNpzbG2LfU3M9f6
3lPhEvW3ADti3Zp9N27No6r6F5WteQioJfWRPKXzX7vLFIOBBeslpTJVIIR66xLUgDWF8oqUOErt
n7EU3PqcU3vF1id+CsaiF+gB8h2S2aex9s5F0EejZeKAcwkJ2XqqgLXdrRmbmte0N6DsNrMc8+YZ
vYIDIcx0iXHReXodmvZpAVJ8sLS8B97TPuX+LQI3NVjt3WAdXX7+3jXU42gsdKynenqBDXzDP1LY
pFJdtXTfS6y0j4ZIp6QbJnTgLcMPSYAMMFNopLa6511d4wz6J1NiWqF+R1dUa3X1u/axtzkAcmW9
yqJOPLV9cYNdcRTnct+E7m+yfFimQ2DvdCeYL3ewXzDihzHThRc792Htd2G2a9xFwCwAQcY1zYip
QPt3JKH+hZ2m3pmzbe6bETd1rcvpa5uW5ndZzEQLpkHeXTcXvyxOXefa1wbcUWcJn3Mdhoe+mQmV
COVGld+du1lML6bbp1cG3saDS4DozmlJPp8ye01UyznnzVj9izYAm5y33dFq4AlMRmXv5Gyv+4IG
9F7Po/Nt5+SOViAtAFPaixtVQ//mcbjdq2JpYQWtDNAdawTyWjNGn3lrCEwMlNcmqDzEW0DJ+L2a
S7WvufjSvurlrg89naxYmw/jOrQ3X/Wyt5tl2AdT4GPfaFQylcsZ3eqA2Z5X+my7w73csDKj2fZ2
PdaZc1HUCtuKAlEAALTtvAG/R18/GOTKJUHee282QMUCeM+OVNN2NyDJP3lq0AfXxZSbS6QTQeU5
cUF/I1aTm0aeMT8tbQNXLbxxG9gUY+ToZXITqwF3cLcjE5V1vznKjKeVCBe4RrxocsovU2vTiXLm
8RiYA2yhtcgPhtOKH8YO3gF4Kg7v3l4hb7opDMhxu9Bk3x4XLgU1TfvvzFNIqfPudx/aeeQ4a/EE
oqI+2MxA7phpchueggftyquBzyU2F5LCir4WL7fWw+BJ2sHYdONmXIMDBwNMWAhW027CaP4dLpvz
SWLs8J3KNTzVemJ1NajDT3U9B+ZepKtmHy8N+x70owFzEpGqldjTOF/CoOlOvlPZj7yx+mRujnsf
6A5Qdouo/ZfwewB0QjYPKYE1KUQ8d3mdQI/8yWkiJVhv5DHc2FLGHr+P2UzFvarm7RIEaoMPezMt
IBXdmmiczPbZdbr6SQFW/TRtPNPE4XnpYbb7qdlxqiDJdax6fZyy1ngeeUVVJBs7/aL1mB65E/bv
biqga3j9tp6MvHfecvhU1xw00p4g5faAzqyoIpCtwxIVOgge51CLo2+IauY0GtonYoZrP7KBWDFy
rafxtClffwFq8n84KDa6MtNkJQNhF4/eZG2HoWHlSROlQ4Wf+n1eivnmAifjQ0yNeZ+FlTrVaVg8
5jYar8iaenrweWAX98Sz3JsGXUHP77ezVK2UlDu+TX/agqtCqfRsmENiDlysvBFRkdTqT1lo8BR9
P12Cpc53vkSDCjpnjrIpT6M1c38t9IdoH5tvCg9MXPvTT8f/tcuU4M7Y0DIbOafvxrR0dotBdaI2
3e9aP/gzaDDeLe79Y4YD+87JRHU3ZcOfclQm3/Ro7Bc61hGzs479bpU/04C9L1PTs7/pQ1BCv+Zv
fV9Xv4stunVAYubdNMKTJNzQ2IdqJNhmcu+Xos/vAfTPX6XXlQ+VXJ1/ZqjNpznL8rvQKvJkrIFs
b2ue7RZbqCPXnye/Xn+TitwBqZ6y+1s/km77CLJqTr2zb7rZuW4HY1fajpXkY3u3KICqgqI06TKn
OWhDbg8Qhcvj6k/mO67/DnzxSuPUIKbdtYa7qVx/2DvLaKtlcFS+s2+YYOxEqPaVEb6nnXotl/VF
DaTmDV5fxuSdvda4y0XXQ5ee5rdFEZ/G0ND51LPcLo0q/Ed7Tes3Y2nTyPLt922cPlO11Y8jMBrq
QJMWHq/CvdYFp/n4k2uXQbQyvxaFQWkB855A7OG61XljPKui2hf21r0Jo1F3BZ/t1HDf3bdb8UKL
4eRLBhFOOZe/ALHEU7FsVzoIdrLk3deai6/6dpfKDfu1Q9iyD4muLbnZngtVtvHilr+NsmbSarov
6Wz8W2rW4NZcG7F8NnMz7SFHPCoXFHrt9+tdmnrG2RvonG+enVS2qRNSoPj4NXqL0TQ+zAlKATfA
u3m8IXOm0me7aYtdyEzv3i70tGs3pznTDiYuSGj3jBOXhoWjSY3MigeupWZUCGKxsJOCdZFi3Wkv
06fNqiCnD+Od7U7N9wJzjTb5KCaGYOaWhBxyyRAuy6uR+cEl2KbwN1bmHjiPm+2mKju3wqLaD+1v
wcl1RuYf4T8Gst7cl8gcr1DxadFyF0aYOP5bB388zSu9/MFgZJQ2m7VPmbXcwAyXwgt/Q4p62chh
Qv5u3ed5iH1o+je747edeRg2yzOetykCQH2fD25419TpJW84N+nkPMgwPTBkTwy7uBTtws4mYNot
fdDswYi915VxMcLirc/1fO9gD37WaRHEptX88yD+j5314xrbCXKITErcK/Hglg/jSE6qHHUXrz2x
WYNpfrQi/Mi532InbeGwuBddcswFY5hFDTMyxhhRXwG7y2fDe5k4JEsWBAMV47MMFvzjwGYPjBV+
zaJOlGEG0URZmHkzxPEio7Qem0Pq+FcSZm+2MAkNGCRIgk5WJYE1L+Qs5gMl/faPBb7xbxDYmY04
pGp518jxnnAujwcjrM/IJzQNgOpNmNkB9E6xU7mTcGy/G0PIjKlazpYY/9KfqyOex2dVOwSLyd5+
hfX/AQlje9KF+Gx6rBLt3P8inO+pcc2/ylEfbRh+zWv2r3CCu0lRudgQCe3wX1aZp0Bz77Yqi/m0
IusJvf3zNg5/sEbMF3CorDZtj3uvwgc5eN0vbYCrxzFZXge6kNwVRXrnq6bAvW37SZXJkosmtOCy
8iBNdW145MTTUdgrMgYqmYQIHUQ7TmSwMpbT6rz09qFrnLOqM6o6wzu22fZTb8sS8+f0UdnS3E/b
Tx7my1BLJi/AaQKJtLyCS2ZXHKvjCb6FFyuGc7um7KpjheZgX9UNM3BsZhV1WlTM5gsuwow+07SH
D00qpxB63+Qhonj9XHI3z4Da0vOkbKr8R3i4hyZUZ3wepy5vIo+qIgpnBX3Y686LzBEmE7Cwkqel
xuyPV9gcIgyDAjUfaDalb/4w42BwXSbIAG7B9+gj9/gnYzPueR8O/JRnbyuuVt71u21zH5y0OKGk
neM1qD6KrH+ecEqCu7kgWTKY0Y9JU2xveoPGtEr4xFlJN6N35JPi3Irycn0nTuosqhQXiozh34hD
xfyMYUp4klmZxkE+Hj1PZ692jaNbeOMnlLIL9XAbTbVyYq8x5RFLlnlYLMjPuvdZvVLSEm60AAu2
Vf6frrOowUuQ0INvwPlm5qGfez290SQ0D31lmGeZVSIeUAEfHNJ9il2Ql7N1VWYHBHNsxLCfAEfR
Umj9xKJPzI4MVZ3RcW3yCAeE4FW8lk71cYs9O8Gd2vJneO71i99J+Q1I3/ykM+YcYctZj6FlqPHK
YeKO52DEamz2WWtFN+HFtiP42FD0HZ2U7LncTUtWDNs3PNJx2lvmaMIA1kX/WXQyTdAR8L9Dh7JE
jMN86GpP2ZE76D2UZYrvgSnqqPJgvvi9bden1Q3S6oS0tYEq10/WcqgxDc900sIcdI4dgAhCxWhX
O4iZDmnljL2tB8R7/aVULJhdMY85aDYi1uVVC01jVbtlHklYv+QEAmGQjPW3dN8rC4xbB8J/yxZE
Ih2IoJBLXyPXY7l0/hMtwU3crwzX6LkC0wQKjl9nSap1ekXwhaGKMNzuAWWTAWY1q7PloBtNiwnu
pqtp4/HG/HFGbiwXprCdSMJi2EZEDaL1DgPRNQ/orNyVSd5cH6QjurNLnNELMFc6obPrp+5xLMe1
PQWoKq+doExQNh/gxXbmLLzY0ASTPg+0/EsJ540HJE4zkicJfqZHwCK6IgI2Krs3HXSZd9FGiWaJ
//i73sJwupM9IpszaQ1lD1F0po1+i7Hpxd3SetOn5S+tvFsbt/th9XbhjvaF38qdnzJ8PvmLkPOT
g3O3pzFTOYgQtEMntuzm9IT3n077uhXTY6s8kh066ZgJQm3vuOTYqWKo5dt6XEBzsTibRnxbdUkf
bVtcsz+OlYQdV6S2Pb0umkY4Y7s1PMB6s9XRGjy/O6yutocf5FmtNp4Uhe3FcjsmiFkugnfTpgfU
0HUHIW5v/nDAwfVTF3X2mPY0GBKt+O+gUClNh2rdHp05oKlof7Ubj4qDKwyZrZaid2MyrZwjxYrN
Y2+1BJqG+QXCLEnadvV1k6baW9Lay/yTUpvGYV3VK5fR0Kw/mRN0gG2Fzpb7rqp9zX7j/FvVNIYx
7XbZ3pXDkM8JD5Nfmprr3D2Eiy7+bvWglr1b9Lq6Vm5nJHMAAu5SrPnm7DaOQvlsVb511SmYwyAy
sJQlTFqaadfXldvv22arOPANiGnbftvG5T3lGpi+dGQVjYkRZM9w+ixfRrR/vSZRs0HTxlq7H3JM
NS3lnoEAdxC1dQ9jQfJrZPV990uojOOb0r1639i2kyLsN+OD8ezsf9SeU6g9SqJyTpjFlpeqsaDm
rgr6X2KFg1dE2i/CX7NbWt09faa3Eblyss3E6PxRWV9vDw4mh+CwNAF7DWnACKQGXM3vwOMgHaxl
LdoTDrpsTeaq6GKXr+UNrSBnvgk9c+frsfgl3N79M7nT8GDA6bOPKs8sTT+5bAnuQFjnR0gPJRep
tn4CYkZaIlIXggjWzBito8+KAkBMsqTJAZvxHtC3TW5FyT6shmPfGpdNeGgn4GR1ezmysdNDRQmI
mio/rKiEHqnOYduBy1LRKNEhxivJNLxeDiywj7lPl/LgzCVy7LCXRUH2ZpdX44G7W01HtxnaO6tt
O6qtwqvaPC4JoepoPZpOlcipIEUqYOwyR42Sipgl3DykB43Iv2wkeykoQTMg4lR63t90wtbJlau5
sUUoXuEo+mH1Vbk1kLDGstof6cIVuAIszUizsqT+B2DXvBqtIB/F55c9h6vHIW/7G/IATQzCMyP8
RVxQaq3lhfav9riq6vyqHYds1BFB0XQmh4OG3kBKRFyLgYZBkcJxdsJGPjmT5SfSYblHeMhJz1SZ
bVQEQUmkJlHfhSKe/M1nPpnNFfKhFqcn7Z5yg1FXayMM9/1Cr+bfgiwxRqmnd7475wnvHzKgdE2M
1FQnm8jdPaEm3pUrXX8wmqG+M5uxuKU2ZTG3m8Mm9fDKvm/z0Ibib++2gP6XPh05ztZdOmpPJkNV
vZttdb9x8YHHRt2be+vJMUG6GnB+4mbDFdC0S/3E04Qz26+/MA0HiZ+uT34ziTiHD0nuCMIyY7S/
aagC82uGD47a+s6hoy9X6ewLz/g9NpvLcMB8QuDS/nQjm4VmOjiEjjqYc8/kpWgSlOLzZeEWl6CH
TO+0Z79AScPZSN6HkxEhhluUEJW65mLVWFGJGlVuXNtkkywIe4hJWBIJnGelFuhK0jmhjUdZ2e43
PYZA/muCh0wRErXN5YHvDzGbi4ADnN7rljktwzZaAtjuKe3Yxmiw7XzQsjuR1cEHfpG6jsGaajIn
0OJg2L3J461d35XrxkJlR6yxgN0Dgasf8rzLP1Dl8Dws3Vd3uq3bV3dy1b1cszfVOvneX/U74MNy
JjXXnQ0/JsuIzAZdrK56CFI/qNDfuh5a3DY1i1vDXUdlH5IlVjbuzmnM5VGTPXXeGnqpA52AwzDA
Lc1SIIhmdfHH+clVKtGF++hs+kjJeyIDp9m1DoERvTAeud0ThdI0BCap7ilNSe8JSsTUUTgsTUw8
xBxXXfhcV7SjiVrdD4RXRHR87yAz5DEatOsoKEhRsWowT6h3643kgdYpv7aiB5aOxfZFoIOKtF6s
eE5X60C/UsSUspdxEeUBrcotIfJGHvcGj2ykPvPocGwOimMc8km2SovvMCsw8VGzyW44ZEIXT6ry
Lllrcj2x1lNGXq1BeXPCzfjhEHM8D212pI7hSp5yazmHRUCJYo7NO83e+Y+VN1QBg+4osVDTalle
arv8DeFQPhNF9Lk0MHuH3jV24dzQ95tFf/A6gp3Daa/bzTqtSCIQRnM6ifS5M+dlJ0hGg+o7bQeC
Ece/oZ/+mKXkSl2rNWkVnc3K1u8lHfDT3LvBA7IKqgjCYe6qujRuHVOd2H12qgx72TuCtovlcvcJ
TWv7YWfKd5uXL89h7/2zBErZZQlfrd57XGv/RC7sGA1B+9T19gx8d6JbC59x2Vu1fBtNZmiuM7+B
Hmup9IkjJkwFoKfwg6uT0y0fnPVPsGzl3Y2FE9uF89dGVJqxb9XXwNzougey2fOVeru0Zyo2AZu8
gaX/+Aq6Ob1kGnbWyHjRXclPDkLCzQIHuPP0UxkdF4plCaiQCnj2K5DddtTRtqAO0Kv/Zjj+womP
EIIpIld3DPafTWn5BxzuCLbdI01jA4ar87uYenmAfPsylf/K2rrr6vA7GBm2eRYcXGLruK9kdfda
YOmMyOU6hqaxM7tsP4qBut04r8p7tEK+9t4KqhPibethlemTsqavonhpQK6XRODscKYmlBEXIYoH
xx6mZC2MRyvTxlEN+DlGW335Hdk1OmNSXiwfA3j7B7d14eD6BVryxf+ypiEJfP9oi5HsvuZtauzj
VIx7VQ3mdyqGX1kuh7dKoBf2eXXcMvx2vWnZKXahbvA+u1aAba6zPcaxMZLpsueCfV4r243ZjuUR
3MY10151VUWWM9cgjmaw4MUBnr9mkiEhuehtNIbQkH2T5guJqDmJO+CHC0dFwlnulg5lYTuFezID
iGPxrewG53fv3Tx8/G/sndeS5ca5pV/lhK4HDCATQCYu5mKwvSvvum4QVW3gvcfTz7dJHp0mNaJC
c60IBaWgqnubApC/+dZaeT+Nt8KNb10ne9a4j+CfGq+NKj8sCoddxDr7YBo+vYQEQi+PvE1pJDfI
Wum1VfNcdtGRuLx1kFYfEI1sDw3MVtvia+tYuyEkcjEjAYXRVRHdBsClmUheQlXvZFgBRHT3qJtO
rVXcqnjcL9pbx0m2l3F3k5SVe2rNNrV9tmXUQENB8LVFvEIRH+0c5qAkAHmA+1mrxhLsTcrnq/aC
FKfgvsnGfEMc9XZp7WPXp9+TQdykZX3yBtvyU10k6wTlG7la3ANZdA1XgIYrk+kTqpX6gc58Q+qb
8y5RZ+BHFcWrgPWMzzI1QwqDG3mdC/c6ehTbxphGnw3HiOV4KAkCs2jzrQ5yw6pz9p+Dcop1Leyz
izbiprU5wUQkloAEvKAf55VFABQBmGMzk4apfovG7H/NyRRXNt4DN5e+OXs2jXBxsKLgltbSuB2z
FGdydl1eyhvLRkZ0FYfNMjgPmZO+4PtQrnCzzvcanN8obA51xCMuz1FQSgLW7BXbYd4jAL2xssjG
XKki2E24wR4YxQ63diOJ4lHKuOsJIJNtMTKkTKuV6p36XORan7Okxn83He9jO9gRfc0vWZP9ZKa9
veuDQR/7tkh3GCSfOtncYA/8wiF3MgtH+aKhaoozdHNNaWE+WnZcBKOd33dylHf1gIaarx9lYhqc
k9Da1MQ10KYwZR3qXRpUu6huRn+qPkV3HZvAoK/MUqOR08Y6dppDp8az0TVnWIyLuchD2WUvnEms
3qc1GsTnKhuBlfoRzhpZyBVvDvQ3nMhIzMFLUPQbtn7O99GW8SXxiuTMoNW7hEx2jyRwS3LVqQ7X
JGXY31xJRRfX+Y/U4+BkiZav8yKmhletvreok1fjTNMNYuStOX40HsuJe871f0vD/kNZ/g0R3D+H
LP9P9vlRxB8/M5X8/O9IJXQk6x70YiY+b7SI0JG/xTxY3i/iaoXkMVW+utO4wJa/u5va4hf36jRq
CvHnmAfp/QLHT3KPiS+Fwh7134p5gNr8Scunrn6B+LTZDuwm9CawJv//T5YodV/TpFEpYgITDfdp
0WW1r8DSNyVeKf/K807IP0oHeTmPBgjdnA0twPv/NUjn55dz8sQOZ6iujlHp2+J18ed10AFT1fbl
RRs2aZ8jfvbMBtDdfLYy13hQh2K4wUPUpdMsyPfy495JbqdgRsIVRgAua6+/PlF69J5rQvRik/vW
y6EVurwkrKIiGLE3KaBj3JMsf3JN/Yb+Czwf9NyZuI8EsZHAoGXiK5HkLzjN5xUPpUTes9sq75iX
DrwX4oQo6GM1rOwus4e1gav1WxNU4QGXMyax0aJzViekUC5+EFcViyvkgswY00C8AyMhWWOrFr20
15nNyrQyj+UQOL/2HccwALKMjvmY5SrqcZ1Ww02ITv+1nQJkbcTDPISFahJovtlm6mwVFcUX2r9g
ZRKGYDDBr+s75rMi3FjdbA3fE9y+XWqQpXsPYRpuoyBaJGxX47zptmeKNjSZcH3vGja5MpaifjFR
/8X7SVSlDUruMRBPYZLWxcy/QWNv1F+wTgheY28ioBupJo2+U5jIsMaFPAN2cIv5gTFLyyCDVeqr
gBmTRBpgAZ0Dl47b0p5BavqaPGgKL63JVQ49Fobo2+Te7njardVi9ffJKF2D4X+fdyvZx9rw2fgP
5m7ElB54f2xIPKuROxG2O3tPhKFEFdeLhtwKEftQ0ENqvkcTDlR+3gn7w8ivFGW2JDLcuCnO1FtC
jOq7mQShz6SBjKBqWahly7ifnFVuA73QGmjxbJsOA6iUWdR2qLHu2HXhCMNVjuP83FXjdeVY2GwF
cJYcbgcsDygJERaR5xGVpPwayP8K5tETo3S7+R5XZom9tmDagdGWys548I3eSjTa/RbCA1893mfz
qQhFS1Jg1DTLZgZJNvcWu8lNZGVD/2Yz2aEDoDkhtbuLO7HJUjW+h9FEQxtMSA05zBqzg3tRMYrM
fhYOiM7o5fC9BPAdXBsmdJUNufUjFe4ckk8rCskENxYs3eOcAnFxvySgE9O6KL1KYWcfUESneqYC
mKwMvMhz5/oxJJa08eOQffC25xXSjUhtMZGxHSv2TYN2f9Qx3rkca2FKNMbEjgK9KKi178VWxFQa
y3tWD0Bhua8XR/4gQJG9RMjGPFxRoeuU9pVucO3GiPQ24uqnwSpyrqLVSCVirGSGR/yhK82qWw8F
Do0bKXV6UU5ZIdfM0+bI61v5Jq9iDvoFCIKMzKCRE4v+FIAXjaB+bFTcfVQuJhn8rWGpNpEes/dx
7pA4ir4KWJLzgchXWkL5fZRO3l0SWoh2O1VNWzLosGLn6JEO/xRliDE2giSGYguH033NosXtVkh0
wFs7MlFgOqZBj37WRNQ8kkyBxrfdzH1fXKPhG8ZUbiYnaigeQhbYWFk22XDneOClm6XWol5jOEFc
xn90Ef+dzsRJ+8/P7MtHFv98YFsOP/7bkW1zLl/dRdnuOFfzSoHK4Lcj27DELwLPG/Tf2Itfj19s
gH4/szEdRwZhgvu57MNoY/lTv8sgLPMXrCI1Jy0O4vzD/LfObP2r4c1PCnxkFLwzz8P1nP9GpHE9
Zn86RrVldOQ2tFu7nUxnXybgQ+tsMuPuTY68M25LowH1inNv0Zx6kzWuiVWv6Tw8o/egZ+pqeJBT
JRToV6cSpoGQmj+iWpTtSY3BQNoRk95Dm4m0PYikl4glahf3c9JRaMCshYfCtnLYXr2o1GgpiQmm
tPb1QiW9tiayOd94/oAaA5XFxfioawLEv2ke4DVX/qQid20WeX4F4NP4NpdtU60JnBnjb1NLNb1q
XPi6QzLbo422oWEKwXicsphWUt3H0TJFnJxLlqBWjKzgyVSjR/BS2U/reDaeutH7ioD1MqggX8sm
vQ9s49zI+NfIu4zntXZsyK6cVkhEOMaCYFx06UGwm817D8MSHiYoQnMlXGJaF1M923H0ilGcd8RC
qi02lTPBNiJq1DlNRq/n1VJJ4t2KkCxqEmilfrHLNmDZIEHYtllVdeFp9NL6CE0ftS828o9lhyC9
XS0xyZwvS9osTEj4BE1xSKdSsohXwbmnn2+36DGnQ0ZiYukXFg1xK9hi45LXWE9taxNkSrZ9gWtj
H+jgwNrCK1fkM1gPMqdhWFlM9vHKJdN5+kz0FE/bMiDLaUdilQzvkAcGktWy136K1iIYNkgWdY9b
VhRis9ZkhFKls/gi6n7+YIjU3BNRaPvk8lzGAOVxm0qDiaWu3QfPGEhE7ZhRxZb8nrVWtOyI5h1b
VhITVBszOSHtr/bUMyO2ozZNdiCXU3+pkolRHJPk4S12tWbmyFx/h8tzk70nqDjmHW7FAfmQpIfZ
m5maJ3iI8kTfTp1lJsjhhjBV36kJM+t7uih3ekxBEcfD3LRec5NNeB4JlObIYRjPM5XKac+B9AmW
LtFGp3LfqjKpyK4WSWoeKnOKxVfyjRQCXwNhRLJhk5ojLO6cRX1R5mzGd3lD1/w9RsbWub4GcFso
poYS5oT8egSHrt/V2iaHN5PhpV9EoJqt2XBTbmYKwmSTor0sP4GV+/DgDFOtHgnIbeJnGbYEV/sY
B2Y1ooqlpLaC9+jau9b04uymo+TKalTkZmbtA6thRYZzscNZGveWN1i0ykmoDQYSMlfi4EL8nNLE
1bvUuUYQjzCVmon/qm7lJXKGpYC5SebHbgnVe5XWIcHvltiGwC7vaeGixPVU+pmPMyMy0isxlETV
tCLIByUjDgJblnjF3kjTfJcgUMetGzk+y9BrigfFYCWIL5uWkxh0NvlqLtInUndYNOPNcW3Z+/4F
I7TmxDMu2bvd4h6LpGSE440/ErqEm6kKnrLG0g9luoQQAYrvvQzZYqc9qR7+MHI/NDRXt3k1ySed
CZJNro6vO5Mn4XEk0KxA65qM29kY5m1oTe7ztZy796oZXoa649zMzQBh07hr8BvSqTNJehi2ecMr
ox3QJkhQdKh8GqLjdJYFh5pVP2MlqU/IzsS1dJZbBir1pk+b7hMa+muQIlcqVHlvLeTmCMDf1SBi
piaDXW1VpImks2OqdeI32X91dOtdxdQbwb9xAIkyLv3Q3lldxBeIyGiLjJsE8HoB5A9S14XGx6pB
CHt6Uk7VX3fc/WlqQO4zZvk+Wgdz5Q7zhRix6dMZjJGNat08dC1lvWHGzCZsy2RfKZjR2rAUhm1Y
JzvW3XGOxuiNzkytjHJU68B0m62a+uAQ5zX5SU1A8hdzxpHIut2CfY0fZn1yE0OSnROjaR6wfogP
SOfmL3kD9e8jIDWe6ojZiOMRKTaN/VuoVX+PeI+gv7CUzKXmjG9k3FE2kutdJGKjc/YjgZEPByKx
P8JlAFix+OHrPQCDucAQUOwvaC8okKepRxheEYthN2UKZy+9fSTc8dBPSlymyLDfRCLck62H6jA0
cXXsAgzdRdOuKcsIi1+QV5dNX+ztlrFV7QzjpXdDeQRuDC5hGQU7aThiP2HT+UHefLOxaAEPzK6C
dSvyHhi2+1T8CoGuhXiox2Gb51l0TsOk2FvuLE/2EugvzFtx3jRRFG/t1IixUAq6coX80ryr2G48
XcXDX0QcTxnjvzrcdbFTHJCIyDsrItzBIOPePOBW29MdhGPxYmfOPaNPjkjDFA+0oHJttGwQXbNi
Oyfy7H5Q5uPQOAyC88RFbw+ti9xIbhGSsyhNpT6OOI+8erNy1gmdrx8601fk5zxrYtlA4xhdkAQr
1yM0jnwmmk2INflopiBFgqV+wz/N/qHjVmZLTdQGzzK9agoLd5UAcNkoKwPVle4huRl7+WFTdjeR
dT3W6aeKaIX2JaMFAwO+r0OXZWw6JT9G6uv23JtREjvkHhr0fdbgq7JHJt1s57GyoAV3IyNCCeHs
EuXjhm+9DhsrvIvp4YaKFU4LzsgWykgIP/PRJEBIQFCiZM+WqyZDqYA9ttSkXpvXX3gTIf6gr2jN
6TD2btCvBrxS+xvtGm3+nYQCN/gQZJLRvujQ6d671iJ/YEFHY9WFt6ULJh0w796zOicTyhtpzlsn
vtMt6iLcNbKn1CkyvTPiRZpbU0k33XgDuwFY7SRf9TovH1BOO+siDSxGfG5HzK1TuT7UxLx1unbZ
s5fN1oTQIvRWFfoWlWa+jaaHAYqWzcGK++FgGHN8JnMufyGnEuYvq1T5dRToIXynBEbGnrxcB0Wh
trLOnvEL8fzYNtRRoqHFzS5NLoYKk4+qzuWzAXhobLrO6bFAGbsjOEOK6KFaNLe+N7+2Le4VeZnm
22lcnO/JPANcidjYhYv6GIOKsg7l570eSDpEONA9qL7kscFfyGWT9GCYXhJHho+bLKrTEs1Rm7qP
Vav12kmSwfOd2dBfxQSU4nWjembB8cbauXssKHRCSP9E3bdikNv6+tAycQwdffzes20GP9SdKqhB
bz2FjXgcbTLiOIWyItktspCXnv79nfXVo0Wo1V1FObxF9uWhNY/Y8SUG5j7T0AYVut+KIZgs+mTt
Nm7+Pg023Gfiij0cRHWRRKatlFOTbhqpbF9GA8ihanT/pGN3Osch3jBsQ2i7LcMZDjrpIT+c2t0C
IX6SbOrgz8CmgMFB8dapOV6pYPAqX6ZgLHjQlMzxC8bU874DN0KIkHny3l20+dbLemC+YFW4i/Yh
GqdR1/bXhWysZ47KoVh1GO3zBfbpTVREPMMnaR0SN7GeolmLi2OM4UteBsln2szhtA77cnoehFnv
1XSdsnX5GG2K2RAX5mrthYg585JbeXBM+Su8lW1U5nnJF/epsLr6ZM8yzqAh2e+s2dU1lMRz9KwY
Y19sHPfAYaTRPQ7WKHYddA5qPkhIvaL4CNr30B3imhlIaY/fYeL0A+8Uh52g9JMSoxq5Qk1giU9d
151zaeq2mZHlmlP4Wqc0aLcEYw5aM8fTy+QDp439k5WXcXUxjDIQvi21bNeEm7ItoG7hVTwkU2ky
HD3g/GnF+N0A2R/MpQWnlwwC8M+ZMEsJRzTh6ENT4FhBuOdeO0NGDjZ7H4ymQErbONg38A9a1hzI
NAqYM9SvfK5qE46gVk3FHUW2M5ghBVx1yOVYn43RmE9j73ymeNxe5sXx7lvW4Kc8hQ/IAZiY4mF6
5YL/+eDqE6M9vGlZHYZrp0pOkTOPkCJZte9Ajw6uCt2D4+RfMIS478VQrzObQ1/NEOms01CDxfAI
KVYxhoO1KB4gyQ9uUPkY8uhmbjmKL904Rc9W7aVHb7SCXaxq98LDlAxrA/Z6a0gz/mhdwk+mYJAf
ZmWr7mYk1vvr1BIBh8IeWpTeacIseJjpD9dW5jbJDWW9+45dnLkcx8HKjZWNOqO+tbo+yV7zeJ4Q
qdkcfUR462wP6D7UhygLeGdFpcS+Hkb13mP+UGykHXhYueRxj2+GzKZozd7JOYwVyv2TwQpdr5bc
IkTAHOcBhzNUYSaVnlvWexa5ldxoxSSPZiziEmZZrPtDj3GcfRSTM7a3s57r6QOaJhCbqO+Dr7Hb
wKmgFhpnv5UcPb6uVK7PPSLr6EN1uW1cgOJVfm+oga8OpAkHl7SXPM4dAmePEH6l4ROBMUWrEoGb
WttTBW3OHjVU91kQYDmejG0VsovJVHCxh6Zy1i0DQxxTlnh0NgYf6vvgOqSka3pBSASMjpxtPyxt
sE+TTNvrxcCCam2oyD5HeA25vkWiGufAUmflfkHMiFVVP/d7I+lfnLjNjgFbhI2c+2AbJ56JZK6M
0RgE9l4ESfPVXLrovR+QOiniOV5xXlk21WIVuwBUbJcUBQemYmXt1wLvTz/KJ+wOQGwSv5Ay29tm
hmRwKlB8mu5b1jgDV76p8mMEOnUMRzFtnGs+Kh4+ag0PiOS6qMvPQeTsiBkxyq95PJBwKETmbfI5
z0qfMJdmbzhN923OlvJIXETwWTFS4RkIguitSTPED9KqiivtaSLtK7olWjYITe1NAnS+IyVj3roM
RgyfSR7qwlB096QTBafZCoedIsX2bjaLZTOWi8WSs3tR5UwoZkbavRmkzWkoW+68hTW/hr+5hGmC
JBy3Gv3mxTl4szC7T1ka/Skzm2g7CWRMearFN6PqmhNKfnzLoH+uebsQK8GscFWxOG38HucnvGci
qElmmDT03PBbB6mlHy6m5hsO7uXc0GpPMjiNeFav6bdThCCy7TYofLxz14FvBk7gPJYYjD53YZge
ipYvhF1+gMdMUM8+iaLWYZ7rZJ1hs3dCuzTCgVrpHhFzhG9VV22qIe4uZqZ1sA+CuvqSxL+64hhs
tb1bs82K7tgZBmkFhnDwBTIcWanbqkbptkPbb3s0yRms229W6/9ZGv5N/LU3y+v3tvsvH1Xgz3PI
X//Mb3NIst6Z7imt3GvcjPb0391YpP0LbiqsWDBVAf1mr/b3MaQUv2DobjHmI1+D+LZrPNLvY0hp
/YJuCsjMZX6pnOuE8t9IiHfVH+0pFYoamA/vGhPPtJRj9bpc/GkM6aaDrKKYNY7FYTIE9ksn3f6u
iuGAegqsvVsvI326sihEM5SCy3QnsqbcFrlJ5rJrM6jUhLX72nSp/K+dO8wsgbxyuSMneQJgThiD
EN1uMypiZ96Z82kwe6INKC2RuyDHarsp3oi2ttZVmmL8WAQYAbL/YbsgT82cdWsp6tLZyqgzbsZF
vTD/1BtjiI1tN7jJD7Tc1q1A8f2aGrOFZaM07gWuDnf9GJtH5Y75Gc4VXU1JZANZvPQMr6hr1KlR
kFgpXnVUXMntwPJmhE10J/FQ5MsWbyYUAu4IiiybNzfnx1ArzL7qolsLItWN1DkCERBZvmM9f7Cj
Q/oRWNcqbbpzyuIjcGvI8fqzaYpjCQqQKe9EfX0u0dfGY3VHGXBnhcVdjmcW5wzWdoH1RLzs2nCr
nRtsRnVX6OQxaqpHtoYIFgt1Q31AhDSU3GwBDoanNJvuRv2WxGotCWwgZXinJ+/sttN5GOv1WIBM
uaVBMK2LuEjAReCH5c10fMpJ3rupfnCQ5VKFnaNUnTgcvqTlAn6bHYjg2c1l++wMYhP2NB4Vpp0h
EwUM5VZFGBJyX35p8w1pKVwbRnA7DCVWfkRAj3gy4i1Tf0ekuS7r5IwPwIMoyTZG3nNSJV0XFjsr
DA5PjuXwTmJ9iaz8R00MDHnhrP489IHNvm71rah5RV3iQzMn+1AnB3wKV86Qrrvk1ot9kPLbPnTQ
SgYfeVp8K8i3BQUyRHLLVHozLycAyVVo7R1x12O0YzQw3l+G4qCj6SWyQEohStZ4Fj/mpviACd2n
8ta2qOgXu9l5XrZrMe72DdW9GZkBobNs27B8doKnUu5sO4PfC6C/p10vkp0BihfFd1itHLAM3DUC
id0obmTn3HSohUWhoc1flvY1KPqD3TTvi4LnyJ29XaWbMnQv87AcVW6/x014FwXpjlD2W+yUKYfJ
cW9qt1kzRlyFEhAzfcdS7IiVxd5hPMVEczXh/0feS+QPelcLcSGeLLzR1MR5Fb074oMr6LQ07Zai
+UsqviT6wYr4PdX7gmPEz4fxR2xk92Y6PhaDhKKPdoCvPl6XB1W8FQZalsJ1mMTgK4ghkhy9Y6Kq
Z0a267arVpO6tEBmmOptGwt+aXi1EqYl40XTtTknQZiNP6p5583TuQeZbNwXbSRHM8y2Mm039hz6
qpA7gUCNzfK7l7GGxYL0fs7GR3W99cideLKGfd0/2PX3nONVJtsmZ07nJNupG1ZOWdPeHtym3mqz
PUtk43iWXUoXPwXcOJhmjgn2FXG0gka+mvcgZkgZceW36E/fsCDZzwKlVGFs2qo6G9Q9K8vw7ofK
ORnuPSJnvgaxK73wIMZwMy47wqOYBA97wvlQGb/PtnPXdi3eR23Gktt8CerhBpv9VxZUXwm6C1dV
jPQdw0EfIniqLw5+KXxmpkVtRXdQ7e3wGKVbezBe2o5ttgCjDBPAAs7sZyIP7nBJXmU4VmGhg6dV
E2PE4ZISP1mfVMO7yV2YgKrt0uxqLt/GdDfAvS/CDCEDm+BHFCwrzwQWI1L65CXpoZeJ8qswOFVF
8a0yJfMR0urZQDh7rB6OzYLONBof3UzDa2lr2JiWDWdfZd6rLsic1maFxULUgGkn1aUBOoEGNE+e
492i/zvXc+jh+W0kJ0a3+rYPuFvxKouwNE6+Rf1wS0F9BtfOfECG5BTk0b3j4tBQWhYXh9ojtGDp
4OKzwoLnCwnSj52TffTlcNNmWXSqo+Y64yhwj0qt4dxVuBy4xHXc4DmUPDj4zNwhFrVuhPkWoAfE
YGstlSA23UT08hyFbrwmXSnj2q2tnY7xt/Uuoxd/ZBDLPlaLy1FY8LBhuw/UfI99IfX0XD4b+bJJ
swo5W96dih1CWecWB0zUcpiCKUTTftsE+JoESPVxaNx7k7n1yho2NIxfeeZnuLU+CmzKepfZA8Ci
SPRbHQ3PpR0goGzUcxPXwXrkl4W7/7zu6/6cF3fMaLNr4LyNCsMaVm0+HQdRfhuH4evSy6eoGU5F
MoIshOleF+atzTiRstV8q9wq+Kgahd87RgJdzN0xHYsBtG70W6yHARSvJlI92HrmDUQIFtwgY9+8
NkwqVib+qljCuBuI1lcg2+6AQDY8aGu6JMuHEtHbOPNTqNyaZJfn2tfolNZFYnwzQd9zRkExKzIM
EIElQlwsZpYUuBlkNwVzMMtjuOWSD4Xv/pvZyx94JzWMvz2gTwylORBR/rlTAziL5wJmduc0C54Y
yb9DvLMAiG6GApGMPX6M9ASOwwlld9+iiQH/Q1iO5jryjHPHofQ0YoK8S5AurhEqm8cxYt0lSjPe
jSXORlHl5md2eWicWXqsYTAlj28cQqBNfZr/mOFje9MMCw7PaCC2wfUby0CkVsLLgm2ZWf2lgxfd
THP3UtQ22gM7C845A0pf2So8x1FKb875TWBZ9eYEyGWwohi+20antujXAvhB1hdZ5Wg/9eLuSIHx
rXBHzELT5ewqzCXRzqR+YjFULwInRYjmpjc5vou72Law6UBLj50Fbkmkgvlhj3tIjsqgt/iWtaJI
WtiAuNfRgWe3u9EtdpnErMTs36rpSx3bZyzujFXuBXdSkVohQ/NIeeHwnNJPrPRu26w5TDxGpDnu
m7bzsQZB+2+bN2H66ZWeiz1o2G+EM9/osX7EnJYdg4Fo3kwNaLQA9L3Kn8y0OGIasNZR0KCTGKJt
JYvHeorOC06fPNiQkvhJUx1dp9enokuAdjpkvDcV2U2XTk/ZnW6uT886RRuboPvYlhjm3OcxDaon
j5XpoFOa9WGMqjcaoHAr432Ly/HDQjjtMwpMRBbSQ5bMmTb26xA9yGbK+I2PdZfvakx2YEHlK4MM
tRla48f/ykt4P2OQSF+lejSG7jCb+YT5Uef4tdEfasPlsrbhv6r5IhrxGeNuIwbxrae+tCv8BOJi
9x/Q4zfQ4wpu/HPOY/VRff+vl+/Nt+8/d1n/A3sY4spaskgnDgsGUzNK+jvtAdIh4SNtVBVXONLk
hX6HPSz1Cw6Z3KnCsem15DWJ4/cuC6dMbUpaMkhHdJYmIZT/Rpdl8xf9RGg6/HnmLJ7mDVwFqvR6
f2yywtwVo2OT5jeZGFClds7/DLDd+eKA6R0HXHLfK+LB4NsaKTbVVYIU00LJLQ5w+UdpJcco6PGY
YzjqrqfkKljLM4pDt+rsD1uX4tRrE9xRxyM3X7AIjMXwZtFvAVIGZq0p8q90LvPX67r6bGC7N5Vs
V+pBWJJpqGe89nUJ5p2U8y7qbecTuwfjw85nifjaGjc2zmkrx2URlGXDfFAmNUHKSPL5p1/q3W/w
y38VfX5XxkXX/u+//Uqq/g8Tw/ektbY1CIFnEyFiX51Lf25GS/yx67SQP1BRi2cJU7+iQSRqzMH5
nYz0LG+gJ3KMyZwCh+DI7b86s4cGMLMVxloYbk2PBtln+N4rMbyYbprPV0lLww4hIlCrJMuYOeNg
+l3TcLpYfR9vCqRH5/+Pz0GUI421KTxa9T+xPXJo2b+P5Q9EsNFDHgTfI5nOu6xK4Otdw1l5Yfmt
qUi5p/6Tu3CIQC/YF5EtgI3CrKpkFXSh9RlkwXAMHKpBLzfPQzIKtohRc0qLwb6TRZQgXirjf5HU
8Ue899ffgWdhHiuu+Yqkr14z0n4aCDTSzGTrhT+KPMjPhant86+z0rkbxNlKZfkbu/ZPs6D+FAxy
fT3PcgmA5nfKb1X9mo350+stI0nQnlDf8U94I2XzGQDT2jA17/ZdWWQn7IcZDHNBrcaKqXgy5du/
/mXJ6833x4vOYwtoClfb5IaTjPPHD5wn7dSAKH6Pl8y0cMVwcpz12qT+VgaF+LFkQQ2L3LLP5sEf
b+rBnD9zG1wV7MeZP0aL8m1DkCwyhkncOoUyCVFcsvp9QFm6WdC7RQSDUaCCMxrxadDCLTalpYwX
GMftGEGDrGPB2NJnmaC+eLA7+HoMWI8gCio/EGPVT0ag8ffoM12d/vrDiz8m3vHtE/TF+MlhY2h5
EG9/+vA2fp5hFHVfJexL7ZfQpEfCNca3ZsLoH2wqLreljM0fhB4IsIcApoonQtDeZJh1PUYwQVBc
UA5oYcZyxnoWZxu/mav+1TVMVsauvSzbydH3rm6dlymaxhv+VQPuVNs+D6MS/6uouVhOGT9NWt8r
SqbDX3/Gf7iggf+4jsm78Uhps/+cw8wtUobs0j+rGicjyq8F3NagPA6tArFkYP+LxJerifIfryde
j/9YPMbgER11PQx+uqDrhKmenOvPHvMbyj2mEzMZ8esi6/IER05PfMjUU/sBFWPUBdRoadA+CNwm
GiypeCoJFQ6YeImEZywDk69NZ7dvSyOZ2aSL6R0NU9dyRUoM6RQ9BeNqmUV7D781PAkl4FJqCOcn
a2ILCr1a+2apZIOvBpKpxpADoBGOdNia9T+4/61b9GOSdX5DHffX3/s/XloIG4gINklOwgDwz2Ho
uR3b05QvX0cPe780xM4BWkH5EyYXp8pnTcP58i9e8v/x1TNohevkIHFNU16dp3/66iMo386ppq9m
1uiDl3YL9JZiB5eimfnrD2f9w5HO/cJjkl8xwg9uHMqKn1+KwxrBbtN+nUHe0BfQy1SEfX+xCiJn
Fq9MV244svvHAJsFplYZQ50kvcw2srl/8VZ+FVz84QHGdc3FRnYfmoyrKuOPbyWF89SR8D5LLEO+
oCXOO1h4u7kTCWkxLMQxLlxF06yek2DEecywQ+MtIuIPtoao+gIni9tJ9mW2tsx+4Qqdiu9YitCN
kP46YLAzBP0eZXPTsiJvihOhuLLCsgfKA6eAwOUlc6bAf/39Xgu2P91F0oKzhbQF+lFct3/8UOb/
Ze/Mduvm1uz6KkHd84CLiy2QysUmd6u+l31DyLLEvu/59BlU/amSthwpTm4DFAo4+G2vzW413zfn
mNFsV6liPqW0mJdz4mj+VhvOBDWf+QW0P6TduZ2zz0lNFHQlX87LSALwqol0HX95oMUu4sqEGgSA
t9ugmynWChOOTYv+5NeAseqVbAFmBE2ZyQ8KZ+0GRGtzngQTppZR9vcVjegLRel6jaPXLvGr6CoJ
W5qE1mRTkAIexQ1QW7QSq9ov8p02ddOPJO1qQTkLdFLZGmCRoY/pZdGditTKqM+BAnNQtQDLhRoM
JFSYsm08B97ht0adz2+oFNjqVJ0boFu8Gx/voOzbZmgC7Sklbh4txAh8nKQVlFvkS9HfCjMO400+
1ZYnnDE7MQtzpF2FLTaZ4xQUWR3EntpbcARSylpWzUK+io1+0VX5+WsrF5JJnRE574wBWniSfIur
t5fg/zeV/m35Rv/3x511MJXt+5PO8sf/aSeZ/1q2ZgLnijCk1FSmuP+QtWv6v0xsWfijpSOxqi1t
q38OOvSMkLkbgFfoGVFqNfhL/xx0NPEvrGNCklJmmW9y+L856Hyc8i2NDZTBTK+z3QaEa1hHMxFY
n4IWo4nSydaB0+L1KtIDvcdVDJpUT6GtRLfvbswfjgzLS/xfc98/I3IOX6ZiXnfzaLEt0QGh3LUC
ymU2KtRim/nfhf+97UA/j0EUPN0EEoi1pYX2blXBJd4C+rWp4Hr0HzqMx5756h+iXbS6GFcvXOmq
M5/r1aF0nW/2Lke747frYxG1eGZk53IMPVrRplSUaU0NxfXr57C5QGvBsac8oa63CgKFjeV5RiZ9
Nr1+fVs/j0tRhLeMDSGDWxwHPl5z1HWQUlXGzVsJD77YKrU4h2xxYso1lbn1GJdXWmpsbfObNPnl
Fflws4nTNZm3MEQgpmMn9XHg1laKYEKS4pJfRWulr4EDWOU67XtaLhJCvoCI/fXFfnprlwRfRKfc
Yo1M2rfT+7vnG/WGnQUdQzbl9KsZx/5gxXa7CjvlEoTTXU3E63WTIYH762GpPNB7ZfutizeDyvvX
Sh37Co0LtMBiDpbWI2qpBAjvGvLNHiWwJx2ynyzl+etRP30wS/wHVlG6vog+Pj3YSthKRcApkhsF
O7jbiTZ9mFIbhtLX43zcdfPiMg45j5Q8pIDkKo+mAjNAUNRUUCz9Bv1JITYj5BW8+yew/765kR+3
CstQBj5Ug0oONR7mxKNXxgx6iZaPBZ/0yFU0n4+ATvT5m0E+37dlEAJYUZ6pyzTw8b0s5zQtBGYB
wkQioJCW7zbD2K+/vml/vBLqVJhu2fYYxzctG7O4Rs+DMDgs/I1ChuBqnKEhxGro/f1IbIRYSXSL
qBhxdDlB7MQa3zivQQjPXqH0UKQuH983F/Snu4aRiqVK13gPloXn/TuOKcPWMZ7GkFZC5O71TZWW
3wwh/jjG4spiUZTs+Y8uRRlEh+GDJ9M38GgSX2qXnNmLXV8XN7OagXkYnMSbRNd7UnHoBdL+drW8
U681wsI1YpQMiveICL75YX/4XXxk3F6beYU92NHvGiNImypoF/ZTOdTHliyaTUbA2fVfP0kc6LyX
mgVCiMPPx1sMBxTHCZ1x2F3sx2H1NSRi6BwWvx7m8yqIB4V9Ass7vnUsGUfjAIYVqFnhdLGT/EWg
1rgJ2vhWxdroqQm0G00tINcU1DSzoIIKaGIARwLVHCJDTU6roIp2ejwa+0ovXUTEWEU7jqUD5whv
Rg/y++ufu9zcj8uIITWYOw7fEgW445MgEks9dXSLuzLdpONvyz8nef5qkndfD/O2/n4ah+oCdQXL
NvlsP9594YC1TUaZoEkwD11JFs1AfMK5jUZXgb2FC9mtGxK8V5PGBpxdeA2iEC1ITbFyOylJQXMt
rb6Zez8vaGwN0ekumz7YdIv18f1Xh6FCU/HnsIYqRKKiFL4cnf4paXedsUcirOzySijfLKLGH264
xEvEJ8gek3PbxzFNJctZVUTiVrq1LgZEhzBDDn7RflOePP6qYMmzRjNFsnKigjreEMVC0USX8WBL
SHQXTih9rxu07+KKj1ev41GWX/FuSwAhy5dwEvl2i0rzQhks8b2ziQ9KVmvK0N03T+z47h2Pt/z3
d+Nh1I8CfP+xa9RnujiZq3vxt/PE2xCSj8Ey2O2b+vEDKtSubh2GIPfJzOdVRkhsAdTnmw9iebfe
fxAMo1Py4XsAR0Fe2NG7pyVJl8Q5gmzDCIZTgr3MberTZ+wh5UGmrJunBn/cJqIwNWbjZSOYtWZS
7JtvfsjxBPD2OwRuteU7kJ8ud0wnQRbthPgH+BOsZWRqS0pkiGGo1dR+HTvFN2/m24T+6dLZiDBL
UvdHnffxIdoG1nI176FHWyiC9DIDEdUhNvFNma7A2sQ39HwMD4qL7lUEIuGv0jZjEl4mgqh5oFHw
G3YYaoQwq9u28s+/fjR/eMd0agHM3xzP6EwcvWPGrHM2wuOPe2lonhVbJsRkNCyFWEm/q/19N9by
fb17nytieAwtZlqc6J9PqvxNRswGE8s3l7S8s5/u+LtLOrrjqonfYZjZuYN3tclLLQ8gCN3B1C9g
314TNKOt2qJD+kRx6+ub+YdpCOn1cnJmr8be/Whk+vEtkOma19xUusXSh6RJw87y9ShHVUbUnywr
dJAWceZymdbRfWRxpMAUaWxrshADZ5btJo59SDFVF5PRpo6Du2IICH/JD30XblMn/GZi+nQQZOuu
mSrtEVqhFkFaRzNhoKABId+TaIMg+G21+nkqU9J2VBggGTrIur1VO81rCNfWan//9eV/eouOxj56
Y9uid9Sk6Wu3ls8D8TAaGhaaBN/MFG8NgA9v0dEwRzdZlAN8ccoIbjVMa8vqyKCInlpKLCtTQ4+Q
EWtN07NKu720FJ1KOjx+0fTbry92eWM+/QrkvLbBgQbF79EblVhVA3aFR90meJnC/oA1ea2IGCGK
TwBq9tcTJFe9zAMQDZgrwR18/ERtEJyJHA1aMWYCbdraglsEoLmpTWNJl/i/uclUcbk6h9oVB6mP
wxFO2CPs41lWAx7PMjqERn/VONEhJzpIxM5ZaaJZEZRpMV9oqxK702qqv5ujj3dGy9ts6XQGNItO
Esr5j78C8M/QDS0wwznM9e62bTTmqJlMugslqfT6PpfdUN6kuiwQSqWI/66/fsifpo1FCk6tjeId
52P9DQrxbl7Mm1GZ25ZNYTIPp9zlAHBR+JcVlOWwzQKE4omCBuXAo2ssYujG2qjWLiDdH4bRudAe
Lu3WuTbV4rH1p282fn+8pHfDaR9v6QCoEtAAmOFYibrVDB9h7Lubr2/b8gUefRsfLunoGDnaekix
gbYhKyupXkONsBmVjs/XyJzwzQUJRCDH43EwlmxeKH0tfZXjb4NIEjtMYfjjTaf5OzY4QjyDKI36
tZvNKQWXqMCHa0wl8ddO6xc3UAhqtMQYwMgfm2nq0ZdoYgMPkB2XF3bgd+FDGNhI35An5NahxPSE
HrqdjPlGm63xPB2E8khAk3UiZ3VG3dtUPnE0rV5gjTdmdm1h3L/Wg6hfRWN3u6Su6kvbAhr9ktuR
duGrfZ3cOQIyMZNGR9YHSVSkq9vrBhTVHWab7GrQwsE+jbRmsHfT4BDr40Tgb+gSFFe1WtBTFA3M
ZnPuRzBSWs+GZLanC50sjP1oSmOt4nJ5jVhWH4M0KM80utjnMSb2lZK06FeT5NUwmlnfN8mIKKPs
BfHWQTgHFXITgurbGh3JekqDwNxOGgdEoudxf279XHI+It2CZo+N0Zzm6iGn1jyse0MNKX2Sn/FI
1oSGX8DPTwmQiCNXqBrO9r6N5GXSxptUa8MT3Eb+oRJJv0kTHahkRSyfqiRzvTMmoZ6qItevaHVI
wJzzjQkr8LxCqLIHlNGABq7tDabcjV/Fub8XjWO5PnlJa+KPwxYTnl/AMjPSKSPetRg2fae3XkaM
2EXdt9plC7WyW2dGJje0mkZPTMrc3QQoCO6MdsSWrc8kynijbUBx6u18PhFJqZIooWXcuGxNX6mL
VkpdoTls1PByyCYs3nHrzjkebFslia5MrEezSJvXWm3leurpmtPeca1yBiYBCisbS+x/Nqf/MR1f
bRPudREmmInVMFf8VZVt8XeS2wHuEwC9+bvMcM26JiaxJJ5TT4kGJMNgpRsMToEk21NLLpEpqFc8
LwJio0gVZ041/zJUqKkqDw0vb5Byn3X4WGjwiAVz8lfZo2NRY/uyWKpKhQLFKoZFOxQ6eONK1R+S
Zv5lyQg+VSpBTjcDgMx8+YFRgse/MIEgFhDE6J9CUyi111LqkGCTIUSknkRrAPF0sJyVkiZ38Rik
gCjJVe1BoSFcuvbDF2dq7Bzz2KQ8jkZxMRU8Y6alxTIBrlnWhTvMExmeZda7/CHgrNY0HOpluVcw
+5PJgp3BLzuNqCpwynNRQIaBEL0G6S02segvTNY5tzEnsRsyTvbpQBhitUY9cpti7wXFH9MrMIKl
6NX3K3j30c+8YevSGFnnjn71LEkaWFdRWp45QqA0rv3kggan/D2MnQrfygz1g489II1PKMuJgTT1
PHAerXEiODS7SNv5LjMeSxwinRjuCl6P/Iq8l7FY2wNBfnlKvEbYOBrGhSRPbgaFds1KFZV206mv
OrE9Hn5KzwwdD0b0j1nTngKF12wUKmYMpVE9Hn2L8d02Tpq4Se8aH4yrqGITbTxtgUPLxFb1EaY4
pdp0iqk9N5FibqKqcfYZrj1rHYzwMBJxttBeFnIraIp0FTikMBPO1qTGIQ+DzTARYdA2fEAEYGG9
GzNigUiJX6na3LtSYMS12+I+6NPSM2mBY/MG+TDENVCkhrYjcpj1jBJfD8OdbjdrUhr2YaaDfXN+
GoAlUJN5LctDOkebXidhN+4eRvLj1DhiOCx2IiUUAaJ+wRFl16BzbvVybY7droS+C2IMVQpmFpTS
ve+xDKz6ohjaXV+a8qECs+cRmfnIPOY5Zqr2B3UiitVHxRGq8ysZ9a4OP3AJcLlvy7EnH5VpITCN
eEVwwlhuWJXEL6EOuKtM+sy8Fwe91uczYppNQvhiOWjQYzg24a5qntEjPcMvuJrVNN3ZsblQdzHH
g5Rv/XUPd65em7l9IwOedGPoIaK/WSlWNob1DeK56npEDcHzlmW6AjquXmqLGxqbIrBtbCi4gP3f
dgMmnERu817NgxQ/ani2sPLbULnPDf0xBqNa2jGsCdu+NGU+rq1G7oJpri6NpK+uK4XANMcZmV5z
ZYig140Iuq2gc8TegHueHepp1AmUozwoRr8m6t6pYPJarA+orB7avIA2Y2M1XmdIxscDDuKcEMFg
64983v6sdK96VnbqmnCHKbzNW9LnsH6PGG8y5TQwU9/czk1mnbR5EireZGMyRpOrE0moHfjkglPb
LhQP6Z8LUt1tQwwhQ2tniM7Fc9OND2o/muWBdgKQ/n7wnx1rGhcinzrDSzEuU5mVnNezxBvM4kwd
ErFjU4tinBQr8q7tZDogCQQNV65bSJVaRJJND6ivK5txF9Ghb1cO7gCKfx1aS5Odx0NMMpAOFwfk
zXUTSPlSi4oNTjmgp0aHTNjYmVTDMwok28bHvUpIKl17vzqP+vOooaBXOuSmpWGxT1OdbMyBqgty
BbO6hovTHUgeAYmgygjlwWDHj6gHp/TQIAYRK91As4IlOEauBQySD5pPFBOqVu9rYx8Hsr53xsQ4
oCEDhA9/qSJfMU+dkzEwZreiPkEkdqwSU9aoySqfqONQJTVXYTjvwiGYb+2+IyU8LSuA1bLvMQeR
etuv7DyMNk6AC93HVuax8XkOVAnluViSTgpRPjJTPVGCLimZtzriiNGZrgINEM5MgMl5qvSxRWI6
jCe38Sd5rsg0gzETLFSTwEmGlGCaBE9CbBfIjISPl2BUirPRmlSvMGR8pyR1MeB4isdd6nSWW1BG
SJDmGnW0wxYI2KgOnOA8Btj3s6rLYUuawuywpBgjsbmQ7BuadaBSvD5ygAgQGvHgYAuOY/OxscBn
yBQFHVqu8bTVlL1RVjfkoBQ/I8sgW0Wfq01pKsLi7g3DmpCHASl/Nl2SrI6oRHUeZNxWZ6Wl7Ma8
GEh+gwqytUrCOvlTwYUYiwLeBDO1InHICDw7aH2LudwAY7sjo51eRzWUiK0qJz5rM/A7cRAEj4FW
sEHxI5s5NKuIo0c+utKM+Yc+Tec5UWfwmwK5C+3SNRFkllvEvwTq5c4ArMgfwa/55IQXJ8Joq+si
DCJv4mzutaGe7LIuDE9ze9i3oYoZEBIFMVLZjzru9kMOKXFdJXi47VvAns2F41sPCCExN+VyMxtl
QyEQYqdfU4tUiMTOHoOZ23CSNn2yLVkQXCYx/xxKhbXT5/4CcPiNnRgAOaaODWGfIOctiUi6lqLv
oxW5OKR+sOdVQDvp13GlYZhCi3jQp6I+ATPaPKbTeE3a2JX0xwdlklswnm2wS1PmmLRdGzLHmFXm
gfmUDAAn19AmZbZKVBFfyojVpfX39az3l1ELHg5FjOLjGCJ69NcQ5tVD69v1dclO96JqchKom7m8
7eZycUFltQcD9jqKyBLUWghmSWt5RVEmr3OowqCrx8cSaAF55hG12SrV70MDgidSwCeri16ybB5P
Q20MCNAmQ+pQWx1IE23YipGLKHJN3QDiu5cSVEyddAQZjApicJL2Vt2QngRGAfs9jbWtIpdEpwUW
0XR8lm2tEQGlELXOPHADYaXyQLaN5MmV2P6L6MmsQeH0pfVaWyaFgbYMLrLOPphRsi5tc8NB1DXp
W+tdAX8rZvVPK1mcDkLmu74g9cC0w2ZnCmCGIbhRz4F2H6wGPnrQ8PPy9blFaF5OCKP6RKvO8PKn
tG2SCr49RtGtk3CWxTrFMq3R5u1PcPEUIHFqf2uOJpp5gUQpLijuqlMNWqwYVdBzsoWLanEEeYbf
QBCNMWiuXoXDz9pn32NEwS9Tgybf+QHhe2FzDf7hZ15N4bpXgVSdVjVYcGaMqeXtD5N93WHzqUq2
VGHbjhdOnRN2gdSw2MD8GVcmsYeJFyVqQDOM2uAKZ1y/LoVJ9gEtH3BhlWuNNVTZEabYK0lbyr4e
S2fdx1Wss0iSHrqOJXNo5tQUoaqoAMWaEfY9t/FaRM2vfKK52frRQ4Kckgg59k9TVDFlE6xWbtK6
gwlhBchMeQfgpyfjfb4E8eqFQoBj8or/uL6KzTbHbzk46UUUsSjuWibNkKSOgV2naCm5EENcFYHH
V5M/zYPjVAdOyH5w0s9amZ+OOSaagm28hAafQPy/JmMZOQYHSmA0nQAZRGxTmyU7Bw/ZCMmO1BIg
TqyQ7RmOOdJpXX90Wo80an7bhOXcvK6p1MgN3ZVeAH5UnT3MCTgU2jBXBFKpcYeLmU65swXhYxuA
81vFCy1wD106yekhqnVNh4CPrLKLFcxj9GoWLaZtrQAfO2xD88XRzNZqjLeSs9y4zWw5vsrOKp8q
069J0kgSwHe6oaZ3U9NbKZbmabqjlJ/IbVVOzkugJeQy9LpVIsKX4aXVpO2NA6XiR6cZfr4O5ikc
T8u4Hw78SaH8HAI7AKgX1vY9Mrse6FORjvJXRDT0JWeMgimYpA95we7DGu7DTsvXfkBkCchpZbLv
eyXI/Yuw7AmsCsrRik4ByZnBeSEn1QDOHxDkstg9WH/a07IIxW6sh+shL2byPCqDa6lf6jYBKmng
w8B1zalqRZu7lgdM0pXzAOWw606oPKe5q5TS2SaJ4WwjNl/tbpwjOI0KhyatNIJkzUrtm7yMzvkE
euaMdjua9/gkXwJx/bzSGhhJS8Axs1ryPNRBfReJITwtMe5zvgL4OTQdGQtG0erjXdRLY+i3UAEV
5yaKoPuaBadujIfMBKXpu6wiG1a5sg/P4V6tCBSJguqmJgPaP5iAWU85hwd4xIYeBxdHVnUr1Csj
4QxMCnw6IsQHr7sLZ88wMHoOnM6URnh+qJExa3Qq1LfIJvwdcekmb8W6t+Wce9zo8zTyT2RkrEv4
BLJ+0K2f0+y4cy2ijS+n4nyJU0uv6loz/R3gr6Fz55nX7py4pOKqzBfq9SUDFo+DJpD19/ESE04W
8AysXJzN/kNtL75+Vx9PpqbzvTA2KMbFGDLDWP9FdUNxh35acsbr/LRsotOwUtuzliOcaa9Khbtk
DuCthV8TnTO2wyqJ1G0/zupLQ4OgW0XG7FuulHZ9m7LxNxK+u4neU1+f4ICS15idqvtBq+7KE4wf
9amF4JeVsuRfr2M35nCttPqpJtuSzMQCq3yQqetEE+dmFQc5szksuU1JMLrYpGriX0SmOWFJ7TA3
1JxpujHGYvpLQ2Nq5iPswJbQN+bYfO7gUpcuoWQYecV66HOTyT0FqtBHrjqQOsEdsmQqVlihsr3h
wMJZRzC7FDpoEXT1JIiq2s3N8Ar7nVQ2kALD9iwzlEOogWSfp/HZCtLEKzQFSF8wSBs6Hf5BQEy5
CbcDnt4uXyCcNaX3/NROorbeKGMarok5i7ze0cjrUNOpwc5Y+VRvpI+2J8SvCDGKyaDDNnDbTuNJ
0gWhjWO7/DHCGAWnOLBf02Eo4d3njSeBSkyrqgtvK/Rk5Xqw9JdGl9vMah7aiiPXLsva0KI+BTjX
ojN5LnKg3Tnr8jrhO7llAxpctw5UGWLQg7Uf+sZeE9Sb5kGVF6C7YeilSlDZK1ll/XirmyDeqXNV
biRsf/AaqyFpqr0dzbw0f3WCMNSYIF/KHZHhShZmV5sNdOSrrGG+yzchMR3KvjOUsyRpCLkP68OA
vbqHJkiZzTl0Slmed6q+zgtVeFNnNwkxIXOPV7iDMoUhpRgkiSeZgiXVIjqw9dqAyLVyzo2zsqrx
HLNreCI0Lh6h3qEEsfJMo3iQIK6jcoDSOOzJnYF7y6xoRzOHLqt4xd2dxle5Pas3DphFwCTNDNJH
TZUHQFjh6ahYan5Bxt3EDq8d/X1nV7VGernWVWiz/bqbD71BKqNETWWvfb9ocjYLIW9ZGswe8cdj
vEkoVcAwn5P8NkycYT/jZHkoQhnnp02oFeQWJWkF98LUkgFuWR8AoNMmazoIQkv13pxId1KGuV1h
cdBfVRTwJOYkHAZ70BNeR3V07+QaCe/o/W8b1vzf4IYSZZsWPvljDuY1RZ+Ex6zXXqRxnO9z5OLn
sdKKTcKvPPUrxVbXjoiDnT+jwXb9pC0WlCNylz0mOrGebEGPYUNQ1ljlGwrUgCSuy9Yi84fd0uyE
QwVNqOTQ+WOIpM4BS9HHBvC7aCxm95XaBUh9xAYuAP8EzdkEqft2BqA4bsOy5Pxv4AW/ZPOk31H4
vgR1nu+STMqTSW2MizHj/CM6qXisnkN8IMEzvY173inKD6Jo3EztbZ1jWBYbaw1P8JJlmarlwPUn
tTZXytMwIJFRCNFLsUaPgwGOgW9/2v1d64AX7022ZBoI4enJH/WdsAbNYVgMtdu0tRdR5ZqYvU3n
1h+/ae0ct5aWgejcmcIE84Oy8qiLqI0VnuSeHgWtg9YlOL50MxE/JKH5wNl08Og4EabV68U37Yrj
/svbuAaicHrRUBqM5Xe9aymFqL4DJUXS1oMu3ap1gDV8KspvOtHH3cllFAMRm4lWyeD/Hd3GoFXI
KEy5jaFuujIXhM1rxOJZ9ibPzH7f9lBSvn5wx83ftxGXBqVFiiw6uqM2Vhv2kywGGoZ5dgF9z2mg
VIbGN4McN3qWQeh+Yj6kub6ofz/ePLaUObK5RQ8Y7akuc9aC7olvn9Xs66v500BYiXFCUQKSBGl/
HKhMNT3TFrWFTqk4UHzobEl9nnR5dR2RtvzXgxmoEmh0CoG+8liUFo8KNse0ZbCeMyGbDjbYTVG7
fL3f3L9PAgVuIN5BdCWo/XUUAkc3ULXiKUBHztv36FzkEIbrOz/Dwdyxj6EsHm1sY2+K7975P9xN
JjkuET0T0v/jC4xqh0RSnwNR2oS5FzaV+jD62uDmCaEmfhEr39zQP3xjqB5xNJgGpwn0PR+fXkgt
tk4nXhMHMjBVWbVZdbpYf/3U/jwIEZUackLNUBexy7sP2VDZKQwRnxheZlgdVcKJPNS/s8j94daR
34OeA6UeFrlji0ZHG7UZJLcuty+y/joffuvhdZ3ef30tbx/O+44t78USE6SDySeDQT/uoJL9miVA
4SuSzeiIxcl9Ew1PKQvZYKYHGceXKHc2WI2LVUqqmFXbEBLNUw1QCQWnO22BDSoNAazwJS6tofn7
r5EPEVXo4s9ET3g0t4TwXKqO/QJVJ5HtypzKfD+V+b5GiuNKxES7r2/H8ug+3g3yJpBjWrysCJWN
o9lTDJYstJKvxG7irRNMLvi+8xjSjOymHTklG/JsfrVJ+vj1sJ+fNQk3SHYXTwNf/EKRe/9GRaz+
VYJnz83KbMvK4Y1EchuNee239jcv7x+H0vERL8Z9B3/Bx6HGvEq0filRZFR/Qa3hvV+JmgP2N+vQ
8qV9vJMsCMg/WegcPL0LAuL9JeV0tZymZB4lycmjG+u10OxzAQ+yBjHaimVv/N0cJ4/HZOOAl3cR
5hjoc5yjr98eTFkrFit7B7KALCSxbQmfWQ4/dMTVu0YkP5qi2QW0LyqVk2pCrU6213FMy/LrB/rp
6nWTaXZxfeFyMD+tIr0imilZpB1GxNXKKzA35KJmK1lzQEt3+XfOmE/v7TKewSyBVwSwhjx6bw3a
WWpdaDQH1ullezKvIP6600O7/fqyPm0uGGaZXRd1+eL2PPocc5PSgcmJwaXqnQOmqyyAytN1aSi3
bEIhxWm99/82ovbxNXJyaWcavTrXTH/XcD37FN4oxGFHaTdLHujXox2L6NAIEhvHgoWVy17m96M3
CD0SnmybFRgn6EGYRHSAiik5nS7hk4TNzs6GmNBNCBX9beS/clDeFhn/99+Xv/NclFMdBWH7BjP5
r/+1fSnOn7KX5vgPffg7zf94+8/BS+E9tU8f/sc6J6Zquupe6un6penS//j3//mT/6f/8b+9vP0r
t1P58u//9lx0FI3414KoyN9bITETvbv5yy/55+8tF/Dv/0Yi0NMQffoL/8nidPiM0VIumxWVxtX/
Mk8C3KRrD0HGYGJ5w2r+p3lSceDHYCTAK7UImplfeH3/cU9SAPgXYndEdOy2DKqQ7I/+ghPDkvBx
12uYbDCWfRvvCyo1sKBHb0rmx3E8azNM7NFGq+0DD5tPkfOrGx8X3n2YLw1jrmGglq7XaNTYX4V5
1lxGTmd6ua0Rmcde5dZsI3s509XUG1SYXEEpThtHwDPGl+4GczOi2+ir9hBAwN+XZTt55pIWPlTQ
14YTw8y0F80hCWJR7M3+NUTdNT+udIuiB5E50FVRx/JeB+fJL6FLqlX6IWX0shNYrIcLWY9InQkS
BaaV0/tPKV4pSenQ9e9POAtnwOuUV0VzHroi2QRzt25IhN5PArvYSIetK3VlPVIxO5TDQJRtTEV8
dqjWUhRFQl37t1X1NE1ylYyRsQO/iB9FNxm/EjdBlmwcWZy3uqJvsABREkm3QclOcZx3pV/tWsLQ
qLPviAxN3E5NqMMPTbOqwvCC1jV27gZNDWXlLjLPdCW586ECknCmZ6lzAdn7geqQi67DhV2yLhKd
tn750zeXzlpLASyW2ovaNOEPNTBpocHN302GULysFLPbVancA5iHfe477gjI1BoCZL0ZceMRxfvr
HDyCXkTPtSqzk4RMk7XSNRA38c2s6k59JoaO3HXjN9yyQ6gqV7C1jDj0jGzTJ92Z09IYS4fhqTaG
bostK7i2RX1eJc2hbB/y5OBPNAjjZom5l9TttKHYI4h85I3KXXztJ5rTXucaJUjytley17Rt2pmX
cz691JYTe8S37p1+BDtZjL+CYdolbVJ5lp8chg4Sdj1nv6Ooew7IGZ5N3qXaBmmtIgKPI8XHpzog
EaPhE+v5PjP8jcwWXjco6U2hdzEVAnRIgEnXdYzWhc6eihI0r4F5EqG+APPTQ9rMp4BQ9W0+DNFm
kERom+mmyQXkUHDdvh8lO7VsztlKd1iOq2e/E8802b1umvYy6aBWAn3zHfjstRCkO7UlxHUiwrsk
eWki40rU86s2+B1NmXYE1BK96LXcONq4Ak3tILt2plXeRHe23t4lMVXDUr3RFf5EhpLAIrXR07Qq
9XA/ry0/3BdzdQjN/FfTUeCyZrqKvV7/0vv+sXdkkrhjLC5q8Ey5U986hfQkrT+hpCQPhKQx+u3v
oKUFRTdTquZNVI/5JShBcgPpUsYUccQuDrRnNJjaAWi97eWjAzaRxGNK+OmBM8STNsh1TY+YDtZq
nvbUV+kbXM7BiRHQR8bZn0eA44gigpVQOwKlvnGgMrotu0PXb2aB7GU0lpKfZvPxo7eKKKWjCMzr
LXJo9nt0NYmWIZPyp5C8M4ONvDbjWxjS3hulepqnD7K5KUbLg9dJRR+QbcRv55N3k+pp0LcAHVGx
PfS2+TtMU4q4RW8RUxKZq7mswD6hP3C6wip/Du0gEBbWeQGtLwFzBds2QdcBjbwwoIquJhlO1zaV
wenQE8ZFIoOcIuPZiHvdiagcJ4uLN1cigtQdZB3hTzUGtIfMiFCO/Eo1G534aCpp1Q8Q8JnYhQQS
RwenrsgmWDVWVlo7Uuinye1a6ScnczoR5NgMQMo9VdU1EidJeOZHtYH8VZeZfaE6JJ95+Eb7qxZ9
mkIHUy/3dCtz9v4z1Ae3jccQTHsbA1yFiSMfUpC+GiBitay3TSVN1BGBCtAzj2e5buK+Z3ZGmtDK
FanyleMqdayb6zRPyVCmgx/3QOknBUVhp6QxDXYIJnQ9unFVVtA+nRWGbsQDukyLSwIuLHLZa3sb
pnrwI6PM6k8pH7xtuKoI6Yyaep+f+XWzT/nKyWhPHtMZDGczi/M8Ti90O1bOqK/KW/xSqGpwvQGr
NacbKdjK4I1sfxSE2Hmj79+T5op5duh+O7pOEEI5ZuQK9Hw6LbHzRklm07jLtfqgEAx+qMAvc+oD
q3nSGsOZTksTh5SbUcswSYAkYIlY9HgdJKAs1eJykM2qd2hjSZ67IuhpUYRgpp12wXwQA4U3n8QW
S8nOemeMweq0t1EUIQz5n8yd2ZKcSram36XvOebMcNE3BDFm5DxKN1hKmck8Dw48fX+ouo8pQ2kK
07lqs6qyql17iwAc97X+9Q/4Hbd6vHaDyj7Kgb/Qt++zke1sh9krhhm7PLZ3Eg/KmqIO9ylmBys7
paFlPq8D5WWK7Nay6oODEmV+0Mitzkj9u03Yj6eNOswT0+qwHFbHPePCJysqVw1+l1DDDhADfMnE
AY07n6RWR3dWHFw6VbiZh+w+QJrvVfTwD+EU5cdxGvWVhrOUFY63xMjleyPLLvKGSTMuOxhEmgyF
oSxteZvbHtwXAn37HmTZh5MmNEWMsXYAahVWHymp6CGzuRZ+UZMRnYt94Zp0tzdy3rK1E0T5Qj7d
qEP+0fTK0Qi7bWC10GPFlYNhsDG1m7CML3BEveloOHQ9WqVkzU9xsu3D6yKzBqZq7lOkMBGt5jsL
yNujvhjgXeUcOtaw6qoUL7R5B4nlgwH7ja3nGdhRlPujMW9hUjtrdVSOg9lf2c0SJEgitonFAhZR
rjG+BvI6SMn0Mxn3bmUOhE0ikzsfmRn5Pd6mA+USR6kzvJVm92QkkIUrm82/G9VoreRat4lGndSq
ggzAqX7sbMIfomG+IrRqZ4GfHi2sSsmDuulMeBKMkAdPGfOb3ExTZtDJwxy9Flj4Em2xGWa5twPJ
dET0XlBVh2BMvuWzWE26Q4ZSwfFS9+5e7ZILpzSY6/MEKju+a3F7afqtZbMvw1bYtU4ZruLKci+U
NPqwdSyqDOUHNus7h5QtrWJuNmZ+BRO1c2sCf2oWADkR6TaNp6cKIHZiaB8KdRfa+bcwaC4ZCu9q
jG9DAbNaKUitx5Mjz7FRoBYzuGpcps+62e0sk28xYJ6StXyGInQA7MZir5vk3aKhntoRizIXbII8
jPimDY5RzNqqa0+ZliQxNmOX+UZ1nEdYo9XjYKBVEda2k8+13u7EZGVPqLM5Ba/dWbjbvCN8KVB2
GjZVo+Ku9LxdmTYs7fp1yJWfbhpx9DPjHcQ7KoYLDdaTAcnGHDs/C9xtHyuPS57NOsTgb1ukTv5U
SfdZlSK755tkWm5zymH3dVmaYosFwYeV6GvRUdLUrmT3hbPKUTmuioi4M3DDaQmfZFpaPSu1Q1sd
qGtnksXWxI+XGrrwQ7jHwoFczMwTZfVVnujc8ncrZCJ+0cbYj5rrZCAbp41nnBziObzBp+7ZdOKr
PhHLwMzYstRsL4w0ATmivxg6jgxRvo4GNh6dc+WmqrKvY3ijOGPtsDGxmCuj7oi8iR1snWHZjUXd
/CLjoeCk/Y4Bc+mHtRpiLj6se3uL+huPWnFldEqxwnrM2QVaHTwmMti5MeDW+DLn1m2mtqOvlMY3
t/4xkD/YaxHsnKlbT4F9a+NN7TNcYGdoB4+RTOR1ad9uEosclEjKFU53ZMGwfiYNO3nrCmusbejO
rY+4u6YmypvHEnIgQcO4u/2sCOLEW41AG4ZwA/OwmjAhp9Okr2pKekmmT+bXlfEAExM/4Mq8KfNp
hIfczh8xrkLwUTyhwj5NWEOQJW+IkXqcp8VGxj3Yc73PoCl6xJ6tMHhaFIY+IPRRz+wN1NwNnle+
WcPjMhjDKLmt3M6TBSEnj4Yn/NAeco0Ki4FC3Ukow4wLYR9lqyBWn5XAIhIgIHNt2DdMi7KFS5/b
7tHBpTYh+ThykyulcJ6xyPpZtQkRTbdub/4gXHg5XF7qkejynJFj368Th+NJBo31YKqFAnMRas8S
3ayEDTmJ0OiS+VJLQsgBA4hvE2iwcIo1eod7sOHrXCI/IntwBt/zRhpXDySv2VXQCL2W/g5OPcxk
076piDyMiG9yp+7nAM1jR/cQMeqqVrUV7toWmbRRytWwePC0OI574ZBOO9UZcdcEOCNwGyeoLn1w
OWSjPMWzPtjrssfzRD30ZV5uAqLQvbqeDrEkG1J9rp3eXYnI1K5J8/ppxspBsn8FRf7DLewITk6w
nad43Zm3HCsPJv9QY/RyneqIN5rGMDzytDyJo9ihGvvnVFdgG/ZXc6Uu0mf1Qzbxe4hndh8mT73b
YxXPXKlQ4xcDE2BjgtgENjvxWmBhdBlJy+X3wN7EDT2BQXlbJhbnq8DaXVNXCc3dOsuK57rs3ScC
K3GtN5ydkdvjCjHfxlDF9RxzIpOeNOEESE8Y6vLZqvTvRWaovu3GV1mnvNZzvG7gVkY1yoYkX9JY
1TfM/Vaw/e1DO1zX2rQiHXRXN4iFhAJfqTLQ5kS4XRjFJmkyUh01qtPKrm6z2iFEzK49PZYf4dxw
i6hM2CJmEtY09lXhsmPhn7+uR+2VRBvm65P+FkRW45VmZK6aMSeucyw2pL75etBtrKIcPN2h+dDt
Ib9Qx5YqEVdYu2AfcZGkhuZ078z6DzL8sMK+UA1ynexhBFvYdH2/ybFcJQMWs/4yvJM99INAu5NJ
uB40e20SnUqexlvRNjtHjvdWUL1UFO5Q5ymV6JEgTtUOXufGBgf4x6A8Fm1+i6lufReYth8Pw64x
yGUi9KyKfmCLuY3lM3lN9mVTQ3QmMBSeDKKftaEGIw6uUX1HsFhPp3CDyCP6GUaxGNi2s+g91Pv5
MjGSAH1AWah7VpRSrruk5wVTkOA4gXF3hFHTeood7aFVtepGqLM4pilrryZNF9fuuH/Oi6xfmQaJ
jJltTXCFaZ6Deb6sc0pco7KtVWuW5YZ6PqKjZgHHWqj6FkOI7Tz3LWeF2EhX/AiMaIo8IUJ1n+aE
q9VmPe4ITM62zRB8V7SoWObmeI6Tc/EjG7P6ubVVexs1+bDQn+NtEVSOh0dLuzcwHr+hhVVvyRqW
xPpY5o74gIhnn9f6Jooc/VGPClOulAhEH6PbSbuD75PA7RbQeCCqWOZDwFF2YJbherNSGGg6Q+LG
+2wIqOpTc+LQQPJ05GhJ6629KH7kAnO0addfRlWkXhdWIA8kucX5Bm779GahX1w15Gzt2YHKPTr6
CX1OqBxmWEkWrpSrckkg0dwYqYVwAcMje4SeOMPiSbXxpa3sMfTmoeQA4GfeWeMoPwLqKT9mHrst
9CHYiViO12OQT28Q0Gh6RT6tJ2xfq1WL9bHLGJ0uqOTOymOahNFaLasZ9D0cV3YTOluF9fCKPMLa
uuaU/mAjx0wZZk89D2LnCKcbfU6q8R1cH1PwYTAxbU8t/UFaHYEZfWEcdX0UlVfCbt5huRrvRG1o
Pp7ifEM4trfmsOhDi4XyUucP6C4A26M4gSbEw7/MC6glIlQwNFF7AYhkDyapgECFFVuJpd8DwgSL
/4t5ZWmd/WPUchxT8pTnZekEhrgC0JchTfAwyKi8IMFYPxKplfq5Ki4IGiV/Y7YEYWqKwR9Dflt3
axuV+B6aUf8t+iUoaLpuvrXjmobEkXn2I4wLio2xReegUd3ubIJfsI6f9B1EVJrY3IzNt0Lg4kys
ni6jVRB06b424+aiSdv0YCplckwoj166VE77pNfJv4jjECFH4FrKqtS04KBzVW92uppY7LIxKdfL
Wn+mfyLhReGQCYS9j+Ni3QXz3nStW3Q0iV807t3Yl69aQEJFExxk2oTbSMVVdvHOIeaBaOp83wVd
l3sw5EAASrt0nFWWm9NFFadsI8HA6e+NOE+SWVC45DZAA6SRHx4sRWp+gzcJIRP09QiZO9uk92Ai
7XaKWBm001sG87buo8MJ7kqIoFvBU5nMaSB2iFjSFMvlzO/TnmYnlEzoFa6zaZxK9fM2ygi8sOUr
eqTnYXDVG0WMBnVAcZHp8rJSoL1oKUFFKdpEYoNn+1Ix7DsIbZvcITZnRC3eQZDqd2VdI2hpZG8j
SOjq3G+yFp1gURHWrC5fqoy6fR4nsB10bapsSNhNfFELzczWXcqWmjlzs8U6+ocZkDwMSuSMl9hh
k3IyZTkRTLFChPmkgLbmulakHg6eNaylssZEuYMx3SDqWJHlU72RYwDmOdtWyBsdBaGKRXMrBaW2
ptFLUYz0w7cIlSDyuT5DAjOTku4pEF0CP1aFQaZx0TwSHF+RicSfewhCZG2xYmfH2TaGXaKFewxH
sBkPRX8ptcpZQ9HXHnRjXkqP2Rn20lDJf9cZ9kALM1CLJmnVXo6B0W6YtZlHrQogbsIMdjdQd6lK
CTdUAVW6bg8ogwyMNhAjpzUSKbFt7KH/odZ97LdyoUhbi4KE6A3XGjZKpG/7Wh7JV5N3WpfT3fe6
gDmYlcKDeaST5jyl5kx/DX0w4RDf017V74TwRZuZqS0GHkMI3yA2o8sRL4aL2WqBSzQtQsxd9Qsn
dSpvUMxVFD952NwS+al9D+nBXK/u6wIy4WjwtSXhha6yYydpM1xD2H4y+vqRKHGAxY5owUHtVoWi
WX4Nzxr6Cy+sn+GHWwmiBrVhdev3nbadIR9+cwOlPGY6SBsW0gd0AUtrE38nsyDayaz5ZuXJjTp2
D0OgfrCNrOAweJSl9OEKJD+7orAoQWsM6deifQEC42+ZAkipKoGZpL6stCRhLZWOL0qLmOmCNqx/
NqGnsUrxBq/tb1pp3IMkqdugQcnlZvqNRGbjCYkPI6qANi2VHdGIT22dRX44G90tONNNXJB/Bbaa
iAd9Vu1jaaY/RvY/NWvAexXTqIltVOpbRQFMb00lXs+EwSM8oDgZ+JIcRfFUG7wumuQm0gLtO+Zd
Ec7dUJMkbLlH6KNrAnxXaS8eJvD5xTTiemypHFDf/oT4fiWMkswicpj8RYplmMm0qUxR/jRZKxW7
sq/32bWA0LeO6mDtIBmWtryHl9ltZ1FUd0MvnLVmjEfG3s+kIP9sO+u1S1BK2isRlOt4HvRtZj+X
uOxtSPIDc+py+NApAc+q+Tq7Fg8xth+lcAn6xnAc10PO2mEFisiUFa3Jtk9gbncSyVKFmLS8GUD5
hrYiy7pac6vILjJa7Wmdd0TMpNETBr+c6zlRzyiYiQUtYKfilg7gatzBw4cgWTQPsu+vA7ePSBYC
8Jr1bSzoF+JME+t4yt6jdsAnp7PvBlEnu5Q67QjesCudML5MVYo8ZpwbXSlICsG81lPd5l1Htkmo
blncABDfjVT9njXQKwfSvLdM8zBVgNt1bLvrDpNwWCA7ZjrGC0E+dAXVU2ZFG/qi2keH9y7jRJLI
WxH4hkmvuI6TQnnUNafY4yFt5VvdUr6BHFz0MEY91ZFPjgYN2x7HnRja23oq3yoc/VdzICnRyvyj
JT8JfOVjLNRnpyYLuNQJXjCMZEC5bMbbxiFwCUTlUcag5iKsb0NRpQfg5/lSiYN6k8uw3RhZDoPK
snu/bvVjOY3frSzbu6HKkwMN82RePoDGK16bi0Ngxd22GQ1j1U4twyOGGXsTDm8JT9f2tMAsL8ve
0n2UD/7cOluhB8IXas2TC1bloEUez9kEyxlfJjMN/WJwj2k/a5fIchOy6hx5O2JEsOoEXWzkkqkz
l8aazmDChr2DBa3PDmfufKzq7DaoYmc9htqDrcEaJrNO+96bkdwJKawrnQy32HNdku+sBCXZAF3I
g5aM00v35jStuZ+VtL2f5iH9xkE+XpRl9GNWgvibMYfOVUCoadGzXELFoj1Bty5mQq7Cqj7QFQU1
zgjoCdDpQ4YlGFnnm3DaicSnVNnAbvCNrDwGPQHSc7WGc/E6og18A/ZQgKQYjLn6dNmZuGKO8h2V
Gmqo9CViDlMyHloNY7qbQXHY0QLcWEuxjqLevNQsvtNqJBjPSN+0JNqQgIHStIdSIINNpqePddNZ
eyxVV4YKUE2awVoqCi8Ja0qFPi7QHzFdQV8eEbPmuN1H0tYvhGdHR3yz/CnE6XkJ1umoMDw9nJOt
FpP8ayQHhO17nKxAtdmiIzrcWJ2H72ZNpvIQQD0PCudxlvrPwY4vyH0/kI22S7IUaRN1VUqOF/SR
CDo5RuX1kfy4mrBeNVilLjSoSmOrdkUw+4w0Ji8qwnIlYpdNLeEmwa7K6ljj240wMaNq7c2d6h4L
w8RXoMrSQxqQheNVBvFYVfowBfmzgvqFKRa3O19bWkE+vbFUCNGLC8DU9xkhjXlDqS/FfZzEjyOm
8auqiPZGPe8nQkmDQr00G2ubMMTymPpdYCp14GBswYBV4nWYa246Ukf9hNDm2Wa6kZAGuUgbLzKV
UDNY6M/tjGIklJLIqNFUD4xDEITk5DHjPlAr9Teieg1/sAPjMuVONuhXlFW1hK06JnWb/lQm31r5
UbcMOxSWPkl+5LTCc3/vCDAmzcFrbGNX5rrKAKsA8MUz+RHtZ35Ab+gxr7nSh/mhjOPXUjTfBKrf
FYnh676dVjK8qgfUCF2NvmHOImOToHf2XTpMslQ8Te8VL6A8o2zAaqPksmar3g51kns5zyGJSY0l
DhOICjKQuOhCA4IZ7g7Uy0ANaSloILAtMQqxNtWNtEhNS+adm5MfBjtbEMAboKtJ+yvMQFU/M1Um
XfF4GHXd2CJudx5tQgA45tTIJ5a3vYaB97Nn2kFk0XYZcQ4KrnUWmjW/jtTCb6v5u5mUt0lylCny
mARlKO4PNDBZ+YAJ2XzEGoENXLUe1JTfNyUcebNo/FRFtc+DZt2ZgyAq4GcyNPJHx/xwYyKiV9Ib
sWR0tmXgXmEcdduYiwmzfp1U4ECyyp9SDbNi8mapuId7nKHJXhdw7t3+tWF9JV7myicdQDap0WpN
nXUrtHA3dzapE+UWTJWhRmQwIedoJ/YDRPBOYBkCQQOeeJM81nNYerHUP6x5U7TcsWfU5aJ/C180
9EKSvOVtq4W3c86wcSQHsQ7nu4ASxBAwD3NGJGH+gWh8BaIde5aYl5gZylaOmuuaTd6uii1xqT5E
Qa/E4nxVJMFFKPMLGGa0n7PV+3aa75JC35MqRXoH2bs/OVDC1eAa1aZQ2m0Zg663ZYnmUYOWRndC
cZAX13xaqd+X8x290MqyGMoFJTHA+KOUfknCDhEQ8gEEGLirr3YBrGdVfaPw32FJc1lU9PaJnb2F
rby0subZcAM+Pd1dDdENE6HVwEpOVTbkstX9cKqPBUVh/pzJfq8GDFJgbNK/9/FTTnqgPpM3Gne4
DTpp9VPq2V0r+cqEJfaGRaLYGF8g1vMTNXxJbSb4lVp95KgvaTFILuQIwYglXkZlE6C/GSIJGuLL
PFJ/9KlVXiI6JGWnNS5E2Pc+qWNrZYjWbiGn75bIm+cYZ+2tVAD/bEAhn5px103Kt9FI10VUA9GZ
0ocHIldNMjN/TQ9G/pYlwVVXDCt3ijgdx4fIQIkp5H2plutG6z7AOplnioAPK5geUb3H3/uhuJlo
VmUDQF0N2HkptENOfeF03YVW9TfF/C1EAlk5OdwBFXsf+xbYbgv9FlluvF6YMRprMdCb7agC3pX2
xO7cOhs9k/usY0/Sp9bPh3gJ+kRZjhAkd7qrFveLsiSowDauGQ/sq0TdjKX+Ewdmdr+muywGccRm
33NRrvTt7aC11JlQOoqwv9aL2h/0pxxr/ZDBn2vcF3Z56CZxiKKlFDBksOLMpgMUvlNwIjrKi1Ln
zJXV4aK1JeyfaavqqGrV9phgJ8wp66PJb/fkLqyUYSecnCKStRc7226Kfk64nXRI5gX6YQx0KUUF
KmH7oQXLxw8z2/aGuUGTtSQF32lt/RwR/tel4Toi8mUwkQ1zQEYfesguG+ol4cDpnh7fa3ILOTiU
prAL9401XbZqzJelSaLcQvx5hkOqAq3kt5SbEvYdKdsJdLw8eTUx/0bl99AR3C2GcF0FjHZn+gad
3qJRGRtoF31j7CsL7dGs6KC4ZF+0/Mxca3K/xEgHxUW8K2aYACM+7e28JbvmkCcwq2YLuXf+ambG
82BP12BuGfY8z71VXAwNqaguh5dZR7dKi0yK+c+E34WYwOmTanrXAlqnYDI+CATHX4QHZVZ3wk3v
Z/PgFp0/Zdp9XAxXWPjkbOwNHVXVrkeXeFP0MtAiyi2jxojuXKGPdljZE+fjGhbtlZ7V82NLecoG
GQG4AqcYoXEwp2Lt9GTkzeqMWUWxjZv03s3me6eVu5jIvM7MXWIZnfpYiz65gpI0X5fDeDFqM6VO
8PYbq+7mP4zb36O6TiiNv4hqhIMtOKnuakQ/nBDVKneYg7RgaQSlbV7jaWmRj1j0KRG8TfZMaBdA
alxMNi5n1UAFGE2dtsbtN8/OMI9PJAiw+Rbm3RK25Qj8YHEi+8zljGMK7Zz0Zw/6XvtKJiNvWgUT
zLwsL9K7OleUN2B754Gwv/be6XQ8evFw6HxlttL3X4/ln/iWl3Czyrb86E7ZlJ8ImNfVe3HfNe/v
3eVrdfp3/n/Iu1xIuX9JrCButnl//Z13ufwD/6FdGjokSYiNaLyWtC/UAP9Nu7T+y1gUOAtFHQol
rdx/0y5V578EFji8U01XXZj6cJP/XzifBiMT2oq7RCL8Ugb9A+dyIab/Z3nv3/73/8IOEJ3cYt1s
sJod/ucJoTw2lcXojTEY5ufaRoa4AKWjco7hfEKPX9jay78Wi2hEEUI7IVJHICFaRwSgt+gKXzo3
G3c2c5tDhHXGAGtM5mcIzp95pNzHL3o4DBvsXpGUmMtt/yYmGRkx5facmt5Yt7QPo13tsRrpDmlh
JWcu9ccTXC5lL7cHf5ZB08mlpqnDxUYpYWiQ3fedRJlqBSQePfy2nr7acBZK9qcX5fLODdIoVB6h
hlz58x2p1hRGNHPUL6lb3RR2QEWuSaW51xSlXkVZWb5jPTCQNd9r+oZjut8w8y5eWt1itqXO2Rmb
xS+eMGuXobjOA0YVdLJwoA3J0u35PYlhAmJrdgA63nYt8wiiCP5+819eC2kFVhoOr/ZU9RAWWCIQ
8Gt6LcEE11Ut+4fKRh8U2xlMuL9fS/1ireJsaxGIgYskFOTl//9t6ci4mSZ8SnDyaRP9oDYuTAgz
dNZNiYuOSaDuDQMNSI2iowMn/zxa8CoCK3EI8nCishbpJ/TJUkuGi4QhLTVD0J3JrftizeG6y2LT
MLRehAOff+PEi57VNLdwtVPwTtDDmj657P2/P4qvrmLxFJYMJbSdp4osUcS9HTlQ/OzaAl61Z+Mh
BYrNzjzx5ceerGxWELuZBYcTHtnJ5hC7eSPzNLSwm52Z5859uE+I1vhJHGaz1/OJuOJINdz1ElV6
//c7PPW+XfYJAsgdodlw4h1dXVbeby9bMyqZdGEEC4DICWDpjuhtN0SKtqH7JhwOisIMaYB07R4b
F7y/3KbdFZatwtC2ZPmO0vpcIuQXT51VZyOX4tnbbP+ff1JIqpdVpqC2Dgzh27RKR6K6nfzh73f+
xSonlwEZAJoltFnLmfT7jTMQkBik4L3SqfC+ZD7jLycwE7G93DLnjcH3/PPvV/zqvpCYqphFoxPg
GPh8xaDORF2CO1L547jAc6RTRFHl//tVYFCi1HVohQ33ZJuUQFKwjIGHQBjFmtiSxptKxdn8D66C
FIJUseVgO40HgrmqqWPOBD9uq+FGLeHBO/VcX//9Kl9sew47kY7AlE0age7nJ6ZoM6OSnJNFo6bY
qpHEJmpSSGxWFPvfbwjPdlvjS4Ba9MemZxcqplxdbsL3mQLI22ngF8F8zgX5RE+1fG0u2g7VZMG5
qH5ObkiMDR4QCAKwYLB69klp492QrvXAgtml3UcTYqdMd26GyD2zYX7xKF3iEmzOEJssltOtzDGb
rFaq2PQMmUReZbY5TheDtdKa4lwSxIma69dNaqawUNqgHFN/RY7+tqXYeWp3I0c5KablBvEAI1q9
ANcCFVMK7VC3/TlN6xdflstZIFD1oM8Fv/i8Tky3pJHPOsPTcQRieJy3fqvjd/HPq3GJNFhiUNiu
0XF/vgrocj1ruHp4ZjHoOygD0abv8uaKmYp+5iP+ap0QN2Sgm+UIFvrJRwxmKAdLAhOOwgoZNTja
Phe93OKMqx4THQIPPLrsoZnDYSMqQ5y5/FeLxeTcWxJUWKjWyZ2WWPUUVqexh+QWx55iZJeWC1yR
LTkFf3+oXy0WQAZEWci4KeZPio0C5ynkpAOvrpEQQYq7KQ4AH9FgWEFC8nCfnrng8ts/H7Y2gaSc
LnC90D+f2gr0BTukM+CcwghT3yRpoF3EcW2u/35bX13Fgeix1CeOhUfW57UyYsvSB0FhMAioct9u
O21TZkzT/n6VP98T/RRDNPSwgDFIfT9fxUT8PochTHvyR617QqLcn1gTd28ZfKbtmUt9dUfsXdTd
5GlomKh/vpaWMn2hWsSvs5RwMwCNqt7XY33WIQMM5jVk1B7DKUcOC8lkgLiJR9OSKVpLQattDPH3
OeBP8SzCUQumAem0D0O6Mh8WQfNUxfjirEdZ2y3EvT7XkG7k+TdsfxlSCSvrBsIqmvhywsso9bVu
kMilEqV+c6Mi01dxJIaKMblljGBYGmSoqQMmTQEkgN9ihFubLo6halqYxemcjNemWSTPJdpew6sq
fjo/WrOQVqiF8QDVirq+y9wCrju/+luEmXO+1orYZBKkwD6KrDo8BDZwr8/atjNPuq0y41VkgILD
mRljX2Sg9WfUz1+8BBTkNsWaoFokAufzS8jGxI6jRQ8ztKZ2CYb93cHgcn/mVfOHnHwhJIyw9ZBs
S6La6VGRVlEJUw0j8wSu6AVitmLnVG60qvOsPbeqvrgURgEciqa7fI8niyqpY+TFZmx484h3SWql
FgquCbVRPkywwf5+X1/UujYCbaxSaMPpGk7VzEWmwRHM6KIKu7J/yt5UsYvMsGRrxorhGwUaBqS2
mwcrtREuDBJHm970qI23OOglt7Xpdmce9a/y+vRZm3xTiE5/Oc4v2+NvZ2Vf6UZXUucy6deyQ1dB
KgFlRtCoJPBp8a7LnMvaZLV5iPVsZ0Wg63jVDparezDhOs0LY9Nmxq0XNGMZ5j+39eiIcxb/f27S
vG9iA4ksWNKD9JNNunQ0ND4jZUuAKfiPtsb6OK0U84POX3uXk2pdhVHSv//9dX2xual0ALQkpPcZ
pEZ8fjR2lMFNKJlXVAzujnnSG34uYpUJUaqciZH56v4cUAVh2UuO3Gl2VcpknCarMD0zopsVDtAw
+Wa3TVy+T2ZyZctyPnMKfXVzmAQBORFeSGLzycLXA5zik3DBTHpZ79rK1J4y/uJq7scxPrPuv7oW
mBMaZSoK1/yF5P62xooCrkVSttTqasUISCrWypR6dVRqvNn+/Z1xBQ0RPwgd39rnd+Zw5MH3pG6Z
O1Xu7FywOpgnV91ZG5Mvb4q1aJj8h0ac5ecryTmfkmmgmYLZByuAwxVrcNVJNhDEm3NJnV9tu//J
oTZtsWyNny8W2bprFgEbksSHF76OMW/omq0ff394X1yFQBKaKvL1KNJPux01zKF/tWxPEXLD67RJ
SwamLf79/4PLcB/uEpiJdP1ky3GFTFpFshxGsI19EWn60YpHsfv3q1CaUJnA8FPFqbESGxkwmND5
pLp2uB1dbUKz4mpnPtxl4znZPjUwIANzE/pQgMHPL8aEEmt2mWJCHMfaCDenj0Dtb9QYTpkCnvL3
W/piybELoa0Hreb0sE82pGTup2DUuRgHjP6ilnhfuSKS2ybS/h3eAk+lg4fWucw1fmUx/vbJjobi
wPizTM9GkXVs5xFZFtysMz3vF09Px2yALo2CbvmSTp5eq4ZlAlXTczJhMz5s+j2RbMZ9DRdrhRRC
O4OYnsyMFlCafxPvu6w87k+cnCOj29oTTwuwqSqIabYLyHOmanQHBVT6FhHI/Bans3qvTuQiepA6
mcbz+7Z/f49f3TZEX/AESKoOLf/n255hrAUBJZ6H6Gre1Ri1rXHE0546DOFXU9DJM5/CV9fj2CT1
iM/hTxOVnG8kyGbuOmwEFkOEG25cGUWP3RzM8CNM5fbv9/fFOmUsInQLkyf3/1pM/LZ4mmEEEf8F
Fittv0Gvo/rqEFpr8LaX/8GVgNCQCVv24uDy+UnGiSECOxsplQVidUkM7MpNBjjR/SD/Gb+wgdzs
JbKW8Cj7dK2GLpLv0OCbroVx0+qF/QRLar60nPHcqGZ5/Sd7CgeXS/IG1HRBmOHnmzIjjWjcgCs1
2pDeENN779jK5GOvz6QmshGZDqKxdhiZ2mc2mC8OAHAugC7GqizQ08Ib2pLEr5M9c4hGeD4mttUa
irUzy+OL5Wgsky5+OYUH/+3z/YFr4Cmhs7c49ph5jjK/2DXVb6hG720g/32DBsRgswRFcHBrOwEy
aqKhxKCxZ1phUnEWuOTWLRSZKRFyXQGpnFkmXz1Cxi3LOJG5F93j55vL5hmGpEUIQ9rU4x3shWwL
Q+3cF/3VVWwOL4aZWN7hDPX5KhRbGU7grPtsjh6ZfPdrmZztDb68iCaYw1AjslmeVDj5YlxaB/Sh
ZRZNl1bVm1eNwEH33z9hoH8gVu6G9LkFifptsyhKnSjY2jE9ZKDO1ogt4zDWBkxZNVH+B8sbQARn
Qvbe5cz5fKnI6CxqMwr6uQrgr4Sji621Yp7BjP+EztiQaFMAKZaYy9NJ62I4Ql3LCiBtMt4h3w2h
gtvlZtDneS/rEqNmpTo2QrIIS+ssTMI9nG4eVG+UB5xb7B8n9xjG6oQUYeATzlPxlFVt+Br3LmJJ
Vw/+uYVwKHtI2122evuPpgVj9BDmg0m5ODjTinyh4T4q+2w76ghM/r5I/twSuRQzeJLSzGX/XU6c
3xaJrLUIbuUMbK0MdbQi5rTAx6Y2X2MFEYtHdozvkLm0zA03/3xl+hYKYjYQFukv7sdvV27qebYU
p9U9xzED7B3M5D4tTeeRHtRByl3i3UC1F/vzpDHK+fu1/zxHaQgpwJjV4LTGoOjzXeNalEw53YXX
xVq8WhqzHdGM4X4inurMpf781jFLpBjR6Qht649Q44DMCBTnQFq20ts3aSG7fdAN/36+LOZVLjIn
h84a28PPNwTSiiNjxg0ZU4jeZDIR37rqOebBF/ei8c70pShYXEhPPgGnjCY2ZspxLVPwF6gxG9A7
vMT/+eWw9NlFGL7Ttp9OUpAyQ+6tHN0j/kSs9W5wsTsn2KdtjfkMSLMciJ+/aVcXyIeZ2dgLIHFS
909EEeQSsNzLVLN4zfoCFDLq+lesYaZrmVbZZog09Z8PMi7KZJLDjGkNm/PndxX8H/bOYzluJtu6
r/JHz6GAN4M7qUIVjUQriW6CIGVgEi4TLoGnvwul7r5iSb8Y6nFH9OCLlkQQQCLNPmevnQZRmSqN
yJkm6ZOeF8DwxAK8/Pkp/uZdsc2gLwUoHZTW4OhdEVLnkku0MCI4Ru+7ZXZjKkNz/J9chSmZ4xNn
vuOrtI0vjKLnKjBsEjxgLX0MVbm8cZXffK5MUOvRbC2vUqB5/cQ6Hk8metvZUDuhR9CxCVKLQnIt
Qmd6Y+r9jWzHbMhBMGBLww47Olo1J0pn84xQtpFBIxGzG0yaRiCGjvZm0q40K8BjPmHY6SyDrMrJ
rr5yVKWjUGpXnZSwYna+8qbboqvtePJm96914nW2jnzWP5R6ojFfPwvlN7Or2S9v8PLjA2gCk98k
f2vW+nUnyVX4HhB8qJnyMF9fJVXAtiLBN0jihn/vBEF9TrgfAXulmVVbFsj8jVf8m+FK6DJK6XpR
loWjVzyHfYS/hFfcpr55QTPhsichZ36jqvK7q7AZWgUFTm3OcVXFNvp+WHIfslxQOZ/5NR6GZHjr
y/uNGL1OxIBSKXCjYR0HSGuGzOz1axWjad0LSPX+mY/R+GOnSC8jASit7ysh2q2q6uaCXJny6yKy
geixseguvCCr3pjlfvP5oDSs7WJoT0i8R0NmVqEnQBPyMjlc3gJJyE8aX/Yf3X6x31jUf3MpFh+0
u3U6iNhGvx43bhmkprJp8CgIRLgCbkIg/Vx2cBES9caH8LtLIUPRj0KrIEeqo0s5TVD/qMPJJpQv
oV93J3OR0Fg9lnnxxiL+m8/BW/fpiIFsypA5Xt/WMBlzQjcM6gYhHady0QBCjCACguAb+47+3r//
GiicIrQy563HwqM3FrmcQEKrclHlEyA0uFlOfRKQ3pjrjp8gz4zuWmqmxICzDXKO7mrqPdkHiqvM
pNScyp7wChM74CdatP+2kRCWNx28a0uOy6uyj4egP1P260RJ1Zuq3dYQZrHToEzeeE3W8fe9XgYp
mF5hagtwO48mbxJxsLSNXCYUGEIr70QM8PTyMl5gbA0qADNpbzX0aghT1j5yk8+LCccgVXFlvwUy
//Xp8rusXGEqQHxXxwqKXc7jYgYrK60uMfxSD2WZ78OTJnL6vxwua6MczxcVhdYMeLvHL9Kve1Hl
tGUQToI/1M86SKGAFv5urV+vQq2BQuuhzO4e7SicspQgkQgZkZ2vnyxv7u6BoDz89UUYkr5Lvyl7
TEbm6y9tJmSlHTqTJJMoAOop7G7rQvH/2we2jg+GB74IVFIu9voqfjv1tZ54YMIJ5c5nX/sen714
6yru8byBJGjRiYDjgZYLjjjreP3pjGN3YzVR1IbnR8fzl4a2xqexCsqnxW8Csimx/33v20h/Fm0S
PTsT4YgO/ETqYlMxrB5QfHibxKqAjUl8KddMeJ7E4lkG5yPutuDTNBQNlrC6DRQRT5Vxli5Nm54G
edtfD9YIDSfvqAedsQeuP9R1UVGj16PzZS4FZoucjNzTemwIuDSW2Rm2NZ9Khzhm2hgaKkLoYmVP
8kPmTbLdSD/rHx2VsM+rSj2kp+00QllmDQlPIVkZz90QkfMxjlWBtcv2c28PjEKseXThPKenYWKY
PhitwE6vdDSIy3IO5rvRtZph268BdiTGAAcoRV3Y+7JSGDssc17UmYmHGJReU1X3TT+QEDjnLfR4
f8GNpKTzCRaI9dxOttsRA4M7YdOVVlWdaLYu+Lvhi12wIRBPE1ALQLKZdq09pAQrupBFwryX5XZT
nBUiK+2tYmdHJmlY4PJyQh0ZeHFsIpENq62ruCd+J4zbAvfWiU3PVQo3aNL9VvltBQUsGsH2kc8M
D6OHcLby4bCntYahIBv6cnpuzda6c+ZJjluRJREEkBpzpOtpvzvLyMj8kjk+fXddpAd7y/Smbrys
FNfuqEh27RJd4dOqcthshWqS7aw81wet0QZQunI1mYS3lvLCNhz3ziblqVkBheLO5L8Z5/3on3aG
gBMAfRj7Fdlzo4rHKGH6L2htJk63WgQbA0xjgBeaCU5vbraYl3Jp+y9JUdt34GbA1qVDzd8gzkcT
iRR48mudqiy5oL1qEcRQGGANTWHqHUCU5B78EiiYAAvqbTAO4XWbCOcMXlN0lmeuOjeJut4Ca1Cb
iYbspxlM1x0Sfudv6EOFI2w4PQitZHFAs41E4sktEEwisOhNq/RJh7Lx1ST2N4/batIM9jDMDSZB
ZbywtokHYSZRuy1grQ3bkJYPvY0Iz7lV3gigUbbsOHGeSVmdo57hb/OtVR7j9CvMzZyOwd3YNRAW
F/79l3HUZXVCwJv+UEdYqDdEwhSnpN6UBBDaLmZdAr8sEJyh1F97XQYvU097z67QZqL2Tltk9xqx
oY4TAmavfbptwrg0GwV03tJhUm9KzH8GCTbtkO0oV8A8hNajr+ij8J8zleNgmqLak/te+H2/a3qf
DgdX1qH/obDDYrryOuU4n7zSglXnh3PKxyDJvtzW2JScuPSjiVhRX8BWoE+ie8zWEtUJ/oncph/H
A5ZZOJ1ZXeBlm8btaCjxoNwwxEmpJZmwtczn+7KbJZRYQveK8EkuxrInZV7DhfIrMZ22tB+CwqCW
9aiyBfKeDOaS+QFDn7UVXpt1m06P6mEw9Xibwo0BhM2zOKudAr87EVhhft6S7bzEvZUGPjF6pQss
zmX7TL9OifPHxPExxaFKoQHateppoljGZPzgZSZA1wLK2odGYkDdjH3By8ML+1RVPghfP+ye2r6i
WhI60iP9aMSx5U1t+9iOcweAxPBltHPA+BHANSl88mk09VfFXBA1p014RRv6R/lDQEb6LstFej3O
0ACwttrLsEkpUZfo3mv+qjEp7zsYP4jVQfls5TAxMH579iavzGYm7rjkmaSwaSMs1U1bbtskczVM
kBUTWUUAWHZ9mjtXfSVtO+7LZWqwQ9q1jQV6jqa4p+M3PSVOpJzTne7JMj9DFy1JJF/wXn6aVTLe
pNYgcJ4QUejeSXfEKV94vfWUWK71pAamgvPB8rTz7Ps1R+GzMXEodbZhlFzMfL/TdqqV/WgQuVoz
/+d2sKXtU3i7DmrBNXoaY1M6qsv3wjN8HrYVVkTQR2V3kwdZ0dFkIYbwxO443eDtjyKxI1RwvlTR
Mh4Mx76zbSxT6p3UtXsJjKH9lC8BQcN0wwXeuZ8N4zdauBZsirkzfRTgh/PmfoCCm51JjLSfKwD7
rfLPB9Opvs+pgkuBkXY5F2KcFqieCZ6NtdBE9qkddsN24DwPs9AyOM9GCXQFzJWWOHcyLwIXV9tQ
FQAJWXFN5MMT9mvpQliewxcjo32f+9Plt9ZNII2REmzrPTwQOClh5dLemzfj/GzgY/5MVDB0o8kJ
S2LR+aDQwssyV0QJtgUDuCpzf0f/cXC75FTNYVk6aUxfPnwew4QVLU2icDduWszRDode+wJOl2To
kF4ciEfYn2m8qIb8LO/DNV1FVh3irJuNSLOk7GGjxmNP5LVOxImcRH7TW/m07FjCANz24eydjpGM
PoamqFJepK/JRKD+5MVWypSxc5nyblqdk+aTCfDsWzYFBt9+FJDW7pqW8Z5Y8xGQDsGdpIcVWXSz
JKN2t6aQ8hKugLoc+gAIjpstyc6kGR5oWtP51wz0BSRnzQL/BexjlmxdVPzxcoaN6Fx0GvPp1ZJY
k15AwCTBd7f0DGM/6DY0ryx6YwuwBz3fsS79HpeqIC/tyhzcnLnDYpTChcgKm1Z4P/Nvc7dj7st9
f5jhxiau/9DZQs87dzAGeQI5n56qvFu84sIo7dm6jaLJIzFXkCB5xpGnGc6yJShJb8/g2uwBAUDT
N6IS3jqsluFqBph12y5JAggbTBC4QYI/R2uXBAlDlROxVz8O+eh8//OG+JdjhLUe0egVoIjPce24
7AVHvGM6nzEzzFOzy+zK2wo3FVeBP6XXf77Uejr6WQ1lt7oWV9ZDC93/VB5e71YNx6JvxFmZRLSa
si75fuwrYBgbt4/0XpEfd56nnX3WtTMQNYyquz9f/7e3StMCAt/aCHncQzAJMxNZ1XGMyUnNkL3n
fIbboeOwVPKNsse68T6+VarxHOlX8yIb2te3mgkC6UHiu+DhKAAbljufyLbXfylR8EAh0bkmDiDK
KzS7vb6KAeAN3zMrl901YgfXVtEU5vY0TZlvxcf85t3Rz7nqBbQxUW04UkMWMyyXHiL4phR4u+3K
oTnWwz+7CTPfuWQiy/fF0mYXQxG055OXhF/+/O5+90APxRxaHogjOr6+LOCksYWjrzxM5Mk8AyqY
PMqof77K70YI3hdUC/xDtCAdne/boYK2Gk2gRlXT7lxtEE0dsLGYJwjCf77UrzeEOE8xgwoErVS/
HBFhIA5C1SGtHQCEdgtVgQu/88Jv/8lVMDewsqEuHQx7Px0QrQCYTILiBBKf5mp7DHU86aJ/47H9
qotYqy+Ejnj+hw/2OIUnz0O6D1IuY3TldMX5O9g5ZQoMUlQElquuDS91pwnomkd96VeWsWtmIYyN
R7PJWdiB+oQgmlNejeo3iiHrJ/D6Q6SSD26SujFdGQjJrz+RapYdFFs6aNzFN5/T0TP2IJMAayVs
0UOMauTNwuz5D16uRXvQ2iqEUusenf+TaB4altR1piPFuKvgmE86c96Yz343hChBkEHGXEbZ7Ogq
WgxTz8zpboa6CvddNd2bpn6rYPGrxIBBFWEGIzXWI27n9QNkQcvD1Gd9oIk/2mS9NTwQiWtuLLiv
N01l6R839V8b/D/WqME/2ODl8Nw3Kn8u/x8s8vq1IX79pz8M8Zb1zrVwma2N6Kt0uyILpm9d/z//
8N5hm7IpKLG0rpWOteBdN6rP/ucfzrvD3+aP1t45jJH80b9jiN4x91ALpWkJIQmLYfg3MUSHev7P
39va2oKbm7YdelExjx/NoEJUTTvUQI3tlX5nqEQ6J6kK9LcFiwmJfYZVJrFjzdanlkxmcKMADolV
r61eXZRtGkxxRQ8Itj1vAo2hAy8jZmL0xUOE0yblsDS1pLlExvCFypnx7Emi19+D5cGpvjhm08UE
UxjDThlu+IkySeJv3ZD01H0+h/5D7wwgRhu3gTpJu/GwMwB6ZXvsWPrMbXErfBgCw8EPLBOlz356
m9c/HsHP1Iv1Y3z1YFzc5ywsq6kHF91xc0nqLtprPY5KtF6cYyQy7iy8KmeaPqAPZWFYJ0WE8ENN
uknv/3zl42kCnyVoi5WUwFKz1jlff8GZNbgk1nP2T1MfKy5hwbO22os/X+QwD/x8f0z9DLq1LEU5
GD/d0QYB1WlWA5FIJLJb6dahMWza5FAEbkyDnkznzKNgOb4PVt3kxhjN8aYw6gwGWmYMg9h10+Kr
PNZDKxoYrqqdoJWjm39wjQ56uqCdotsYZepUm6G0x3ZfzS7nc6sOBmamqXN7ZFwZfLaiseFAonoJ
7cTQnCBc7Y2wWXuqEXuyVSAvjbP7UZAY/nVuS9nEEMkjZ7oV7M1vh8nSj0oG2aXIMvu7arSP9pMi
E56vW9pnxwzQQzMbWWljW/SuUBuCzznPsn0Bac85jqM/6eWUruR5hSZfxMasDUKJAL0UF5oyyRK7
TcWhu1Njne6ka8pH0t5duQPpp76F/jj3VBCW0N6JJcnlpiGmuSRQiC71bTMPvnnqSoQScM+El0Qp
DV4rxm4sdm5rWw8owkSQJ8bAkS1Px+ZbheChT8dJ6o9L3ZvuSdUClNp2eZEZMUWKPAIYiGr2nl60
HFP+Uo5NHISKPHLw7ymyAAUMjSz8gj0JarodZV33xjpmOa++jXDt6A2Z1WgmYF6jMeNohBpLkxMi
8bUBc3buSWXcjDhG2k0W4hYhCohs5xboEjf8OGVCo/c6l6C4zXiSoqW1IktPD4P5v2sQ0JKfPutf
EvB2fYYmlD+/YrHwL/7JYgne4XBZJ3Yq9tT2VpfBj6XHsd8x21vk3K3Ig7Xz6d9Lj+W+o87ISoDJ
kCoA3t1/Lz3OO46DFOV55VSxKBs7f7PyUHB+NYqwJtMDddhMr5Z8jkbrKPtpr1uUszZ7XwMoFXTY
n4+V8q7tFpIiM4SdqnMFrWCgYb1u/ArkmpOZQTyKxXjslEJwVYVrqweZKZeA28hP7WyLpGyr95Ay
ikdnisbsnPSXjG0qghGlzBKlYWeRpRae9bIo83M1NHBis6og4YLm+OQRmHdyjfAuKtjhwmpjw5sl
w9m2qq99W4snUQlrZd0CQz8pkFY/IoYTLJIrZpCtqEU7xn7YEn1b6im/caTTXyd88mycfbSiE9NT
EB35ISwci5xW2FrfqjWHLfXOi5kZDQqXqbwTWXut9ZmPfmrPOEpxbCvnCHLqKMCwnammj5KYbLE0
3evKTJGuTBmZV7U7G2ql8cp0L5I601QyEby2fqBqoKf0p+DlZ2PLweOqaOjSQZ8KzRwKfiLniSyr
YmUPs0dV3Q7Olpm1cR0g4e28RrX+RAKAtUqTuuBbXyNp0uVjUDRp92kUVD6Xsxw2aRe+2Gau9fC+
Bq1jDjdjAFEbQCItO0V0OUym34FlNgjjJjqso42RNZXUsY6qSj64+K5vCQqwxYAmZ0rqHKKrFQL0
CIMlYrFqyNEw4YsHexaebtj5ViNWjoN02vetR5fB+3woxRONrk0xrL4XGV5Pc0aGwaKzediYkarH
j2nJ97JzC4QNSMe2Vd8C63bEhUPlQ5wE5UgOilMWIP2p8CwZztYBuS+EjwKEjZoacc3ooPbZ0oco
79tETG2wbSZJCMvs2cNZVw+6YxFLomVT1E3Omarw7Gnn0ucV7MHbUMfD0G065/acmXBi5wk5UANS
/xSR8EhUiCX663Qc+ZeWw5jbLCJwAWCWQXfSp0t4zaxOBElHmYSUFn7UB95QcZV7om5Po4EKGKXM
XD8EQQGAcIP5dR23fjLme98EsXhGKWMNIvEHCwRg2MmJvuZxtk+0B9qPJ5M7aIgkTtb0LCltP9Eq
Q3ZEmNdduGmccZDvI22PxWYmXBXjuJWkrboBEhzcRhYY4FM9mviOiJNc5bFRmcr6THqZWZ3YBzUN
gRdlTRxUNpZKFDdi+sZyoPa0CnLeHKxswvyg2pl4V2q2KAdpr+jZHz5Q1Ef4mw8iIAGPCIL9wrKY
w/de9cK8j4wg3xIptsqJB2nRO8iMmaxS2Ls/5MeDFCnTDFVSjjUBRatWOYwC2ZJudXVprVqmIa3J
3eLWCm+AXiB2lgfh02064312kEOngzSai1UmlQfJ1FvVU/sgpJogS704TOFMYfBZxdaAmtHHYVVg
o4MYOxyEWSyw2U2qHXHCVRFuu4OIOxwEXfcg7voDgXN7c9V8g4P8S5YGkZPFtMrC/qoQewexOE9W
8ZQApkJsDWKzzsODtIx7fLzxV705K/LMp7jBh4+W3WVExzcCeToN6AraVQfZGhp/+rlYtewOl5SA
il0h+015Z+m9PEjfSuQlga6rIC5WbVwfZPJmVcz9g3gurSQ8cw+S+rSq68lBaKcDHdF9PAjw/azl
sE26jL1TcxDpy4Ngj4ZrnrOXRMbnC6m+ExRcvler0E+iFZq/uVRJ1pA+IaeP/qEuMLON/IY8RLUg
d8hoBnm9FhGy2b1sD5UFf6TphbRva1hivRYffDDhYmcPJnXZMPShM2eHWgUNPOpmAd2RIJT1VDPU
obLBSkaVQzDnXdeH2oez1HxQqb3WRNwysh4himjmCXeYoaO2qbGjxJ24BZBkewivZoMvmejCMoFe
ZBMkEpL20BHguW0jU3savKjDK1CwQtrd6iZnpQt94q7aItUtwZVMXpvANnS9sXp2XaQ8qFSPWzlF
FSFfmcqoPRm+f5MXcAedveuX2O+F6S3hpuwK814ZdOie+zPRqhvyKch3nKKwCrZR7VpfbVNBVqLR
rKvPW+rV+GLx6rZxWStSqdi3R5BTsTsRDWOSSGCraAjIYm37AeCMyAmmcXSpgEFBC3/fiqWWgLJD
4Py1EM6FtIk6JfmT7em4M6QPKVbmyhk+T5E7fEwWeoup0Jfymk+Ae8WoQ9ksUsZINkLCbUeO1dwv
NmOD2mPWMNd0FScQIgei4T3IfGHD5eWwKb5zPgnCM8ZGu2wqxCVieHQ5rr/krMCjUeut6y3t0uUd
IGZo3uOQDeknI/OM9tLMe1e+FJC3ebp2Qx5SLBKvMF2SnXCMqVjOxH7tl5b9emz741RQKRKmD1W1
Nu46q+vGbUufxO2YTk62R3MLLxvUl3m7mOV8LXhypKM2Rp5ujAQG69Ybo0zsBGyPZ/7efBeMfXQ7
F8YaEFjq+dNkjsHl1JWhSVlUygfPmmyKWVoHzvky2WEDGXeKvhsghdNYiKG+jMwp/xhxzrq2CTkM
NzWpXfdRn7hPra7Gx8JQywWlSiKEApUTT+Rn6pPD8QfoqIM2ta9c1sbNkIP/WMdXQ3wmKiS/ddZE
Plx9ALy0oHQR6VaopOxjCC3QWy9Km25T6soFBVzp5QMQbHogrLpKT1lO+2m7AInf+7lMq5PMxwFY
cyuY74VQt4anp2GbDrL44AAxop4Res1dF07qckwTG/AU1bLbsGi7r1PXebdC0J8QW/RNpLs5pLuP
cCgcC9s+I8SjxKXRb8eaTLelmqbgjMOvB555ai1/k2uvqvcmUZifPTNvzw0Fmim2u6n92i+ZR0dO
ptUD2zNaLeooc74wu2rWYRcPE628oifqIEzUVQYrOCOCcJR6yyApq41FOAOpMNkwnfZYHavthNT2
YXZam91m2JpffJkhnY75pEhd9SIQ3dRvwLpW0q8/cVxz6ve6AtJPj2TIhqeuGwI/B1/53UmUhTNA
UjX6j6YlaOGYncavP2R8ne1mjlZU7mIMwEWBYrrtbjEFHOjBpTllF1jS4L24lN8H+hEeCseS/Ngq
m5nxoGGKrcnupaOmN1RDTNx82m+HYDG+qiGE8kt2K50ldO/B1lQ5VsmYBBy6jP1+Dj+v1592nU4w
7m+IxupNgAR1wgG/TWAysFzIwdlMKQVTJjhHWqdNOulqLyjMQX6hsB4T60Y0hjWXjsLbURkXQ9Ao
68RgK5if+NHCxrylUYt8lmwwTzWApg7IK4lrTamScF9VxnQ7ER6SnswQSIDmhvSP+N2GArxTwm8e
vG8Nt2R+nHQ3xAgHur5rVjQgEFzXzaMT2pI4RIAfXMzbtek5+KQ6kmNjeGTdh6QpR/Ju+769MXoL
WnkZTOo+kkSvkqMQhUQFzItBQu8mDxoDsK4/tbm+kCSflKS11Qm7v1nwyRMTTRiwtxehjG7UEoVX
qaoZI3k26FuyNlvkLacleLemDmduTPaQNF/ZOB6Y1k0XpDKgQ7YK0q3G2K26aNinYzvfhWmZt+9r
YUBSqbKJpEe/8rt5U9Du9ZzX/czwmEsob3kIzdfGbejHpM6Qi0B+X/rPesJ/z9//oFvvTwfwi+cB
Gmo+dD+fwA//5scR3HfeecB6kPEgO+FBXkFw/1R//XfgpZAV6b8ml4oz+L+P4IZlvnOofHBwRzFm
BK6+/X/Jv7b5zrNpfECsxXUGNtX7m0P4wVT1fyrgyr/wQGlBGKTgRM/osfy7FAxpIegLZFtjnRsy
0J99WShw24MGUUGde991koRp2dPN0DdL8TyZU/BdShLCfnpybwquh1+FHsz1rqwVKLFqEj/LAXU0
d0YY5EhWHClPMX4u1Jfy4TRoaSLfsrz0NyJMky/4Kv7O3QBU4OBTXLV2OsfxkxwpEQB+oCQ4SxNH
RnbH2YnAllp/K7DiE7vsvFF8ey3vHi5Gcycvbq3SoPwfXaydle8ZImR7ZbhzPGfDs9Ma4q8KWv+6
CLwE+mYZY8fGBvpAVMpRqI1t+oDPCPoa4wUvwMc/vzL7tYTDZcijxC+4WhsoOuHDff3O/AxxGVpZ
H/fRVdp+rKcUvvkNQQpLeid9i2QYexsNVuxxRlk8bw0wX9GaMcY+Ou3ss9aa44F20yV0trjX3/NY
WLLGraXbXbK8NKY475erxHDjP//iLl/XT+r+4RenK5z+MHQuyo32+uc/aU8NjDMj7eH606ZDNu0g
4VfvxRTK+yQkfmyfoMKS4dogIa+BgdpoIujzNCtu5NgkhA/D+ibrWy06nmcjIjWDXq37fN1Obdyi
Dh/cBkBPVAFkIQlGuTjJOzOP82l2bvou5IepLCdRYyT7SQFDSs4yq+svR1wZzplNeKK9se3OZnVQ
hh2wUyUh7yzqVIDDTrkD5vuKikRdOHdKp5Kd1qrlczYYAmvnFR57Oqft1p4y3yMh442H98uzw3C0
Fq5WFxlNzEdmBEKKGkNAbFh3BOLCMBPKN3n0loPxdR1zfUOUJrCggoOmDeUX6kuf666yequPJ7OX
cdSrVdpONPWB0SSM2a63f76rX4cyiiadBBZtNSGG+/XPfxoRvlHRbJipPqamSsDUULOB8en8StvC
hF6P5GPNJOv8+aK/uUmKSz9QsLDVj4swnEiwSPhsrjCUXXeqFad9RiPX5ETX9ZyXb9ziOoP+PNnz
SNdCDy52zCIsPUeyfUpSQMnubi2pdPSJ1VGzo/78dTCS8C8rBEwGYLd4f8zjlPIt/2iS663W5rjg
RqhHgKI5YdteXIctWU5wUcNP4QiTaFB+GqNQorbOMqj2sNtoTkNWCz75M5i5vAME+eMR/Hen8o9V
Xv//V6tPnl+a+udNyvrX/1mhdtlRROwkVuQ07Zo2w+LHHiV8h9LPq2SthexDLfT/KtRg2alRUiNY
uYpUFxhq/9qhOO/ADeHLXyGuNrZgHIl/wWx/PWapl7uwSsy1UMCLp2XqqGfCLcNAdtSdMyWLG7eh
YNzmaCS6s503+BWvr0RRy0HzhXgIBY++CfCtryeAngxrwkmxn1vkXhxS1IiypZcwS9QbX8fRDuDH
lailUN/lQVFQeX2lMEeG1Bw515J7bBcuccl61m8scb+5nZXRvrYP0NeG/+71RVIvVFIREOvlgTyF
qZJedbPq9yFgvLfccDQfvp5ZmFJQGGlFWHvn1j3r0eSZOC1KirfSbcEYrOmTMrkgTS4XO4mI3MYo
KRF1nqXzd2U6OsP7yA1JspH54oybgby3ertQQ7Rj4lA6uQlT6sHIdQojQCTYdX6Mhtx0dslMXve2
aGrbBkPXiSsxObY66U0n/YLeGKU7DvxoSAZxoveRl8ywjSYS4VBxJ/7QTqX/Pa8XDDXEhZDN6zSj
9z1fyLHc8iPc4mauJBe2CNb86ho6Rwh3bHQQY5po/Mb+HYXnSREQIQV3Xk2XJoj9zwOG9HTncNhD
vLIIhNkoWtG/BED9yu1oJwjsWkQl9SERzI+6M8eHrHMDsNBFwsldlWNBaaEGurfpA2KrxsyTBEsF
ZvetFlOV7EpTzy/ITvpeT1X1nc5h74L4o4locycbSJMLl2IvUjsduXE3M7ZRl3sPYdW47XYhrO6l
G6i0J24lPie9p9QmdxOLjvmB8zG2KnB7DySYkwsYW1nVP1Qhza20n/Oka4KCntgD1rc220nivPqp
+FAZVkhCrRvgU+/RMB8UoZovdZfnL3w1w3M2R16xKZYGxZXolJaQecfungOrW8otGZANOTAphXL6
zSrifJxZTPxgOT2uhCPvpEIc6Uj6c8JHlBHn0nY6Ts4qHQseptPzS8hR3Gs7nCXxAPpqacnTBabX
i4/1oCiVA9B376xRr8mRwyxf8ijq73VSTndSsNJtcn/OvyAOdh87lqVyb8/9dKHEhH1Fa780N2JJ
9Ycw0qxO1ljSx5C12vxmTlPxZaS1n3wgWELkF48qReW3JcGSbt0ZaDvhKE6SuiB/Km/YP0R9bnwo
7TIxtyKvW2urUeNAWldefdOToky29qKcJB7UzB7PatJ6RJpZquVGLzTz1pU1PokpyF6oGqXBbajy
9GHwaarHbLJKmUqGJJjOBm1lGzmYk8X/bzfLbpSCkszYq0QRp2W1XzrZOXS05cHwAKOWhgtCp1C4
mr6etti4SrJQE01sfB80AeGIhSEujcVcu2F7H9Gp1Et1Wzth9iGhOMKOnnW/2TghHf2AM8X8NBY5
Ba0SUIcDn9ITJTpQyVdWcsVyh0W2/WplnQm7TdErToyrMblxRjHvsyrG5bNg2o9iZfrZ18EtJ7rW
uix4rBzp39jKsQifLgMwMvwyAgVURerGxPhmv8eDS69nLyzR7kptMv7NlsJ23C4Orq/IrbzHDljK
l5DQmOu5xRsXzw1JyZuoSw3cQYUZIHFFTmVTXEoy0mcbPT6gHTZswfj+vmgG0K1T2A+UJ3hboh+m
S0og87dwJPBwM0gKf1v4YrBvI8EmCnGVmFE0P/QYTDGDEUsSau4UU+aTSsAVbbzBmWTMhKOqs8hP
6ue8mlPiJH0nYUSlM2lmyKkUiZ3EqXH8ZS1hcwlnRheNnJxEQsJ7bpOcrCv+XfXZIWIQCdJc0z+Z
03QVp2nmfF8shoqOtEPeVON3MtZ5YjibmpihbpeXc3lDMl9Z7mx6LW9TbkDsqeEu27AF4e2r0hax
S6ki2Hc+2VMYyZpC7x3ypFvSwOgdPRk7r9DbsbCdaeNTNHnP5np6tChb661FpjH5hmFIoHrb9jaT
WdmIay+xDPfUNul8jvLWDKmbaGLdqIlX5/h5yIvLib1t4xxtjCgTJFf46MzPAYL76KwhvaFydpyQ
ahx9kzYJu5qld63GinSQZFH5F5fRSmyuPSDjlVlYVnEhBmfcIj4ORPENUfZIyxrtXLr20m/wezys
GV4xXhP7yQE5LUA9bUOz1x8Hn8xKbsGVhK5iOHJPyT8id9nRTZRvc4J4s62wxu5LQvxFBvB8cKrY
KVsm3w7B8DSqUzva5FOdyxgvpntfu3WKZy8IxjjLDfPbkDQSnzV6RIV1zj91wjkjFCKwSSt2l945
NRZbngm3JhhdWn72YVQZBFEncd/Pg1d+MkUZvRjSU09WqPFo0naVEiim+vTCq8LusnfM1oEhjtq/
a0Liv2FxZXkeV6rMPxtBa75MTa5vXWtS1ZbVHQGCQJP8ukLBJiR3ttWXVkzWfZqNM5hlMrKJ0SL5
sNhIfIKCtrRAvpjMbbtyCB00Z1KyXmqcZDeNMh2USmVdsywE5KIpE9uEtve2EUDi5efPVHCyEYic
TwHpVIQT9bHJX8d5qlhkZOHV7f+yd2bNdRtXF/0rqbzD1Zgb3yNwB15SFEeREl9Q1IR5aDTmX/8t
UIkj0Y5Uek9V4nLZJqGLC3T3OWfvtXn/ak3MfZXeBpU7L4cOocvngtGjF5lt6Zk7v7NWtl2f9St0
zLY7NzJ4+FHiwVGMFmQGdtRZvZyj3ky7E0nHxkfF3egxipJhEI62v575VuZlIRHOjKoC7V7NZp0x
g8BvjCfM5I0Ezq/ucP75z5lS2sd5OBIB7nj0ZQ3H6l1oNHl1Yu/VxwpQGQnxWb4+8myazw09W5Ig
Z5MNJB+Woj/a5sjjJOqKxrds8/7DuhRJQf8gYwXIupH2bZwP89VUOVZF+Ky7sqdYC+7ZVgXqg8vD
Vxz8tSlvFkBiX1Nht2/NhiqJc0DQMZQYk+zJI9AWcWQyLE/1kIuBSZwjnlfwFh+wXsVvfVIt/SNJ
8OVFbzTZsDM6mwH3DOO7RByxqfEA4HjvkheNnnjR65Uv2r2qQ+138GEDEDT8ou+bOEwGIZP37s3S
2RsM3MCuzEIEnZZbClujL/ZjvwapSQAoEsKabktxg5y7JLbOVAqZoUpc58byN/Uh0zO+OiatCNbc
F/EaC7z6OGLdL42V8Bv5InObXyRvxZhu8jdhyeICRv/knToMu3hh/ca09/2Ujdc0m6zmOICUMi7m
hWlbSFKZ0UeSdMgpJLmju28zjp00zfFtEMiKSbqfqjplfiG7s7a25gLbs6fxE7g5XsZu2Bry2Lzm
jzUh9N5uwUlyDplc5SFCtyqLinlaigN6igAHV91by+NaGdYNnZw+OSD6Wzo8j35uXfeWx8FIq4UN
TKyWRL4h/BHhAhqcXZ7gIHnLpKmkPzhrTnfDbHrlWwZG83OXN8oKXTbHclcYtp/u8pw43c5ykMYz
s54l9hwba1PqIGxip9/+5MOSSIUTbvTSKCGI8dyZG/15Q9sgmfAa/ORFYpgVMGyHXSfRnSaHMRBj
Gxna8zQxwSzE+BXFaSpLMDfV5Jfkw6duq27Wedb6sh/tnNgaHdsBPkAxnpVjldJISY12LHbliMcH
aK9nf/QnU/t7a+0QG8RlYOmVgxPpQ1dZX1oHlMLWeqqWseDtSD22oTXr63M7yGcCdgn57qtDBovG
ZN2xRucs9pI+bnc6Ceoh8vEmEQXIwcJ7NlNqgJDnXMVsziKpvY+69ZlTw3WU7AljUgTOpZKOwZ8r
Ltv3Jnnt5n4RTMsf4qmZ2+eMYbq6Bu+v/OvWcpgLizZhI+Zw978wOSzt/bLFruF2+Flj4o4BSv1c
ffm+N/HyI9+aE4ZLOwGCoO1vtKeXRLl/dycMl9g48E8c0BCiMiXZRPf/EtB7BMphbdmSAml1CcaU
f/YnzD9wYPDfw8Rk8kH/8ne6E99IwP/pqWG6B64GlQI1PkML+sivanmWmM7L8U5DOswoqlpr9bci
O2861B7EKB0kuTZXXkNSfFQN8/RYefV84SZ0xkNd5Hl85qC/fkgLWadEpuuaZAGnLCxa4GbFmLPa
/tbyVL3Hs4tna0wrMIBTaRwQZ5hZVLlT/rSpBtqwKv3BPkpfZ2PoAOSe8Za71cVCm+bZIRp75Ky7
VENoE9Q8hFj/G3+n45iEUGqwhpTVHB0WCQpDexUsUjTR0iYEjufN3B23I3sXstmQYJpbKx3Z3vPH
MVqNyvejUnbOR4klnm5ts6bmYfC8oj3RcCRBeRRLSXhoXa/FDRy1lR0jISZ9zyrJMNZu8mAKpe0h
j4B+yQmBmuaB5XVaD6Lrid810zm4cZI5/uoMQ/Iudif9rrMbPg5zWPuxG5L01sKHu1U/JDcMtlWh
ApBb+ixezvqKbnwHNLEbu4q8+yotI4vTsDxhXmA1DXKiIRg0P6G9axEd5uns4fL0WrVxMdkfkV+j
sCbV2o5gqHWXAeILpl1JfDtZs//YJMgNwzQnoqXqqrTaCZ0N97XQRJtsmStvVZp0RmT3MnifleyB
uE4VIcHJWB3bVpgklhK8ckjmnIn+0FjDeQevqAqtoDZMwqHVMDPWNz116UgDxFlmd1Yb6YCsVMQJ
dncnTU3lpoyxfo5JMdBvrLw3vB3lOr8wQWPzNc+nkYjouZY2+nfHkTgPOWPulDbQrvraaHEkrZ0z
H4hjqG9sM27ORr7MiqpIuGiNUKObtIt9v4ik3WZfRNJk78s8SXKMfVlFl8FL2FcB2PZMwvsS4WW8
qXZDrce2iFbbIYNXlLUXHwAC6TyMO5MIYNRERMZuLkX/Iu2agQTixMzTZ8bURnaeZM38tZJ4+k6t
4ScdleZaVzdJ2bbGYfTK4GZRHbONLT6QAtzo3s9lXybnplOK/OTFXXzXjwh89c6ZxWy9k07CYUJT
DuUXi7WOd0gYRsnBnHPVzsclTLwxA7P5DD17fDcQ0oYewqiZw8MbYSvJSgQLt4a3VpTIkwHXISKj
ep3OUpeM8TFWPQJZZ2upOJp0hmNt5jZB3NY0XZqNBTplEthZQ52QcLuzBtgv+6BlL76OhdF6O2IB
emQ3Qo/GGjne7IOfaFKnANjCBn5AsLyqY72Ql3IOCt9uzoTReH1YVDUxKJnpks7MQWl8o5sSNUpL
v0pFaDrw5NIqLQRfkbZRPCGWuFnieLjLA1GkxH9Xfn+aulLf63Z2fXzpffC5Bqtr7/KgMJ7LqS6u
gkzQomoqvgtuZm4/070an6aWigJJVjJxqBxdonzjdL5v1wB5A4ZvsnAhRnOEbRMQHbt0blr+3lLt
B0p6tL8Ik70PcTMD4lauuzxvfZL36M6SL8p0mq/l7CEhga2yOvRb2iUDcdFM4sixx97kkX76xi3b
rruQdlx8hu1Wc/fydboyrXygfkzQQ7xVTmaS6F2vphf5xio/gl6yTdhLPhjVGtFZfkqkPdyogM7C
McjNSkRUuaqOqiztUzoOHUo5o2nb+5ZjJ6Abx74o+slcd+NIODtEFXrWRyx3mPz7LPHhVqS+PgVr
UA571bTVW9dq2u4jpCSkVZBULGdPxJPfcwrxSXJXTuGfT8UAiSpNm9EAQqGjjCUQmfHadU+TPfHf
SqdTRrSI2cj2iztdFp5XbZSWBGHM4KIorGWckkUzx+1TgTvzaWjqWSAL7uatK7NkH+ORbtNO5AAO
QnJRUrWfZTVWyP8sG6VIrhZ1lF23FMQL5eoRezJxf169fib7W1zZlb2tOXnncR4tLYcnf9ZGHg4o
d4twGDNOyMHio4ZBM5+ALkEn+tWdGKdFQ8WTuIv5um76YHGfsjJe9vSIz9ELySggHDtm8ayWw7TM
HgficRnvnT7jWEqqr3Nn8QtJr0YhSXNUNMPHbPCQexWVEQBEQJKPmCclgjPI1nUJDeJ5coSVFSHO
S6bkyRphXIQjaqeHsffdIbJXABxU5NK/jKs0gaHSVcOdZdj03+KcqunoEM3xnm6YNk6aAddZYVLr
H410zFxK+2kjf/gjrS3TG9N7YxnF4+hBvAwrsPZmlAEekDdOPojQqJb2Nqkr4e5j10zxDY+eyx7X
VMCK1mBlFPZybvrfaOufklHMfx9t3adf/nF8rj7+aIPZfuZfR0gTO+U2QOZ/rB+e3Ax13wZchun9
gc2YLE6mXPw7YOl/HiH5KYbQcpPvWJvvZUPU/WvExb8SDKXQ5TAVQwBBNtNvTLjQ2vwwPYHBCA/Y
wtQNbMEmHU2+EiO0KPkXODA3nEtwYRiAY55qzDA3NmiwLFRuHtftlWOiar/3R0qsaNYquMcnMn1e
qRHR8AmZn6+trDbWlSwf7UVgHDfaPDiVurEfATVZ4mgr4eyCNFtvgWEzdBWtM6XnbHe+8Yb5q8jP
pmXImGcI9dSZkxyPK8Kx/uB2sVaXmZEKkFJVmaiITrfsw5rTDMqFwdrNSsmnIJNNjcwxgcqU+a3N
ukUajcnxgTcycrKpwolSgbsKrZFsoxDklbP3AsRqkezoQkQLK8lmKCDWG4IHPJ8DvxIlQ6tsQfFN
rRZKztGfmCOQgzRZBdOtNXfSZJ/UZhPvcnvYyMCgm2BaOUsdeotiyKO9HhpPTA+QWrfQI/uiRbhL
1I9jDsq1mMf7VvTOW7QTK8Wd4jgSNsPoBNHqBCmzObdDSVyZal52Zq+M/GQ76bI3xIb3sfugeizy
3sf4VjnqEU8PEWVmoFiqvXmuEQV3OdXq2lplvbPtURGyJzv/bWagU0Qa0qJ4EVMs5rPFzznrLxOY
0yiRXTGfGSUgOtpuMApHZ7U+b8tIAqUQVfMuIbp3DpXdoPOGvZULTusT+AOabhbn6UqgmVLFAOpQ
zsZ63xOhI8wHjfuC+VxL94Rl0S36Myp+ZMUa9hqyfGXF5+WUz/2BzQl0f9EG1bS3rMp5C8RHn8M8
MkswVUjPUQUHq9zrpmc9duYC1UJmxP8ONPrfovZPFpWfrmrP9fpc/7imvfzIt0XNEX8AgNm82w6z
ecbsf65pVvAHsib0ZRJHubfZy/9c0gxBLU3FutW+DGmhP2yCrX/P7XGq+8xwGffjdkYQ93vG8h/X
NBZVptuWv2kb4UyAv301fh6zwkp6o+SsL+ai2geBag4crOZf8er5nN9rWrgOrOnNt84aGkDXfSVG
olOzytmF6jn4ughzAgYfxJx1D866YhFRsjh89y1Qty2MaL63hf/1c7FIc8OhgzO7p/fAn+c7mRBV
cwApYmKu0k16kwfi5IuH8hdc4r/7VGgv0GX4oFOCF6Lwd1dJtR1UyBRwQC20D13NXDUMrCy9KnCj
0T3W4lco91dyAXD/FtqHDQGAkg8NxKs9qICWKBUCJITfmkWvzLJ5l9q5kxG9mMzf/Lqf5v9LvjR/
cxN/dbFXN1Hhz0YIx/fFxHCZj/ih7XdFYiOQU6jZfvcboyuDvgXeDrlom5Tlx28s7YWoBxcfgw29
8CZvwYgmeNp+cZW/+UhbpYnmBVyAQNr741XMavFYCYeCzv6SXxSZ3R+7wl8j7VrONw3Tf717f3kE
+UAbi5xIF/pb3uuwAjMr7WFB0R2mfWueXD5MxEs9HX/zQecqxJ1APzDRp4F4/fEDlRVjpmXZKoLW
MeHmSnQRyDh+QUR64bf+p3/GOsFlXASYG6goQBDz6tthKFThMGdiDBgUoUinGcFLbmIL44Vs0aFH
L9qP+rIdXfVMJwUEOF4XZR5n1aZ4KNaq6+6tmbedgi5Q9SGeh23Ij1XscqlNOSKKjAczHHG0JTgC
gTASfTLU+gyFRcOAZTKTr5POGMP3KIBLfDl58OyVvlrAcdoZqEO30rdBLpQ6ZZQZEml0439IkDH/
KlJv+6yv7wWPqOCrpZuI5OnHW846kOjUIMs0WArJQGLx8P74zHughhS3THaMsOwH86Bnga/FNbLg
F4Eqf/NkcRZloi6ICNserR//AL0eOT2j2AtnQRC9hf4G7cb0q9Dov3lVNi28MHktacW+XtwSgntG
fxu9D2pA7T1a7oXdi3EnkC18+vlD/Jd1lMUMxSOqWVbTgK7Fjx8oR/2auUBTQwd202d/HjFk1K4N
ShaQWXZXu7Hl/kJG9jf30BG8l7CtHDzt7qt7SAeJMBrJJU0z5yMiVz2AW1p+sUG8voqF5AptJQx3
ZHlomF9dJbPrLqNRt72dhlnsBjfTc9j5dLR2P7+Df70QUlH2g20rsrbH4sc7iDZZN6nBcJYmd3pu
rq5Jl0vPd79/lW/HBZLFePS27/G7/a6Za5WmhqJBi2YBJloLdhWNxW8unMwPCH0nfRbyAAZG8WpJ
qwA897WFFIBxc3XRNIhk1rE0rn/+WbZb//1bbAGR2zYaItBIqjFfB/diwBxUkvk1KpO1vclAD++M
gXRZGALWoMOZGMb9z6+IvPL1NdkRJCMPpJpc0Xudc1ejVXIndB5MezsyP7WoGemlVQ1ZR7ZmVp/k
EHiPzvhiXowVghdWmr6O8MwqzHLt4KAhoQMH/Njuh/0oTC13ykukEeadoqueOfbEaZ8ozDHqhmqh
kWqSaG9WFvqBoumKr/AMSmc3erTMdrJxELJ49prDZbR73e08gf7hHIMxTAHgtyPzV3uV+Otyy7iy
StIQopr4vz5abBCftKmcp0TzBR0GMlk2rVhM936G+3LWWTV5DXTmqimq4RV1+3JS+stCO3eNtqks
FdM0MX5ZGPeVUWCOCOVmtktBg9JU0yZNSt+XUnnr3gzaPI8cqdpmh3qpG/ZaphUD4dQEObRYE2Dj
gHZlcb4OtNIjWtie/1QyjC2iZkTnc6jwq6nIW1MC4kkzF5dydfyPTrsY6l0gBomprwchTXZNU/sN
Wn+zzh2qtxrj6rkIlgYkqisa/9FKU2azczyz5vprnbVRtphue0xrBVongSdxv7IRUUhX3pRF3gji
DkHJVMutmyylsYtRWhDmFYyzf5ZoO62joK3tTzYPQbkz5Oh97FOsYg9GU8XPfjOutNQMXm1ov3K5
DUrP+DxDGpjxCFbqfhxyx/jYemK9R/9LKFKvlazOGmQ+d4l0x+TU5hOzfidPqxV8ExXvOyW3oDRp
ZOZ7lDjpk7G0TJEYoLQfVFJnMf293tcJnvXJLw6ORfx0pGpf0/OwKkQIypwTefDytEyx4KtB2ecF
DcH84AzG+AQ3WLRPUKB7Z2+MTpwecijG7hGLqL0cDK90GIPo0TYOaGHwBFd6BT0AsC63jk6qIF8E
wvCfjMbUAzjpfB3DOU14zoPCtm/JMQGEUeee6j87mWEtF7qKbeMkXcU4TYmScYARiL48FKpYr7nv
Zv6Ik9sUnzpov/07DLNanw3K3ASCrVGbuyVe/PcJ1kWmMWOb31XGktmneoHr/LGG5oHBeUFQh+1z
TMTBFVNhR2opYLLnOmv9r14lKkzP2nbyTzCFZuMtkHdsolZGFta5DFSfv1GMxEwoq97YftSGJmgY
gdywqiBk1L+eubzx7WcFGQGPdDJ1SBaGdaanAi26vYEfnNb7uK4MrCjeYqF3cVN32BVmCXGlRu0A
7kkNjsb8XKl3ppU4akfXvaqBP4wyDttg9dHc2pkjww5HCO1Np82qS48KSl+iN2I8sQ8cf0qco7ar
yXN3mnIW7V2DtYZnHEQ6QFa4IU69404XxTlOI5w1CYWejpJ+bZ5I/rVOVe7PwzVLTqoP1tiZ6RLW
aev2SIXz2O0+aN8e+v5Llw2UMIgesMA0/n726LUXZymOy7V4QKkI6Gqe5uyKSBAA3URkOWsjQt9k
lBXs17XYVCij1aVmf0HPKiFsu1zLZ1RIuQz9tmMU17ZWcB8k7DRwIIfZD6elVw+z3Po6uJ8TKL+N
XdYHmuy0viaUQgWxLkyn0FR5TMccoKp16NBSk2GQbnYebRoIpOiuuNaZ0QdutxsYHA+fp7Vb0ECP
atAXfZFZyCY5pYrjMuOMvmSYBUKqLbLFjVqFmHmXrRW1qByxrJ/NniGyvRh1/taYG7Zs157caQ9P
x21PGRl5NTRe2UK52ZwmpZNs+PMe9C+7vMma3eq8uuuJHJluBWAd3swmVvPRw7Srw8FyetbptsAB
7THCvDFKscbnbT3FhAIgkbjOvbK6ynJeAk7TcXbH7/Bo2A2zWHdFl+niogEJRT2xACHZZr8TOIJc
puZp1WKuD2bbyDvuFEIj8NPV+2ZJfILaG6/80ivFkKWeLJcadY0R47Ho1Nm53cj4I/bBhYEtNYQd
2si0jQhGcfvRsAbGAn2eFve2mffDYYbFIE69aSoUIq4xXhpTXFvHXkPgog7Z6OtuUgXlwWdVeej9
XrTMTjrrnoYe1WNrjikib5UAyNSV59DdW1bvuWXrZAgvrExEKRbep6rpTVz6+K5PAZoRfP2MrYIt
943V2jfN9QFFHInWVp+mEyiWfrrg5XAVU8C6vQROk2VIjsQg9qsVaxeVoUq8sCEJrYhmUBF8SFgt
74acZMCoqqdum8sgAP+SNbwj7/hjus0J5I+P1ItULvf9Slxbe0FAmz9cZLpncFuZQOH3QzegJh5q
K42fHH5s2DFT9tuTqc0picCJr9MugD/iRiNTMTfKlbCSu2HGG7+3q0TWEWI8EGluXBbiUheGr7ck
HFtGDWN4zQNaWM35BnJCZ98q4A2NpYzhGNBLEYcVNvN6WvIgGN+AkrfzC+ZdZrafLWfJ9w1sTvfJ
tbINY1uMbjGdKhTA9sEPGGw9DMIBW4jsmb9OqnLjt201k6oU2UXdiTekEKsNIVHPWt4wKWMUBx7C
675OeTz0x9ou3OosYXdgLMbCnJ2t2gSPTtIbFHyDtQUpZ6DSd12RxIpv1ZuY3WgZN3syhQyiXOLA
KCNyM8A6eFNKQ3hd+gENo+PB5TAylE3nm6q0Dv3eCqYoHch4IwDGq9lQOTvZ99gaBhtFQi14wUuq
/rOaQQHKemNEcVBZLkB3ED6Su2sU07hT6TQdJcgZ9Mvw/Id97RXsYZTHDWeYrEnGczdoWO6zmUPZ
khrA+tMasnWo6P69JTggzvcjxxak4Sv7FgztJs+ifPabrwvLrIywpyTvfLyNPJOsFDETVr/zDrz7
RR4aom0CjPg6uGSeZdFjpkWkQB5UMVyGxcvfpcKc7N1qaxdpdokobt8uw3Z/Cch4qKqVd0SWMODC
3EXVd2BvWLuozAzKciiAb+zEYC4apMto78FLEEIyuvbyMDAXv9KMGbydFXTeV8mXJkJXrWWz7z0v
FvsxtuIMuzztgvkr6Dr3w5YvMt7P6TwbRxFz/owMcApAZRJMEPuJo9+jDePjU+aSUf2mQB+OikfU
SEY9256Xc3uqgUE49aaN9SaEkZUL/ijC24v/wS1Td4qGVgfv8q5MGXoyWUHIPWfifQ69MYh8tlLO
n3NnVQejHnyFGq2x75yqsrtTgmtuCHVnVv6u7HyKer8q7YQBKDZZbBV+IMPGGHjT3SZ170svbz46
fjzlR5XEK70lVlQRNcXaMxRxDfi9+HJmeePXdHQOXjJq/61b5+yBqBXLvT1kRRrVpaXO12xG/dPY
jXnv9dACwnQt6mfGozX3p5+Dl40YxUqBTAWJ0uzQpus6xhGodiXiQPow9ucBa9EmFSodgDRpZdoh
Yv72fTcVsIe8cq1oG9ZFsJDA0RFxZnqrm1FhpGxFlP+Fv699qW8Gm4d8Z43DIiLkT2a+KzWjE9yu
RYPE0dPOQzsI8is5rZUXI7WNPLi6FWXYO+NM9dJky83PS6mXjKsfqjcKQ7prBJYTNknQ9asaUbgc
Ts0Vrzu8q6U6d3g50kj0UKzeNKTgeQeEAUZwXNrYwZ+eTYpJdbEu16vZz5zlC7ApB4Ic6mWX1uXq
HiVglCR0oHg216VwzfrWGfUo4ekk7nqQiZFbJ7wt1oe+MepxD+cni28otROkXUudMWFqPO+DJ2Tq
35u4YogmIAplJ4c2eXCsfH7IVzsOQGFlpjjmBc/F0YhjAw+FQchNWHV4jD/8/B69bqrQsNtg23AA
A9oqSCt+LNZTlbZxUrs1piUTqpe3xmcxOdpYKapcvCudZbj/+QVfN4xeLohqD2YOnATyi3+84Ljk
oLMWr+Y4JspPcDeqHUUH5+Rm7c1f9Aj+5lpYVnHMY7zlgi/G8e86EUjQW8XxuglpFdmHdeA9HEj1
ORLqGvxuawXfPA592p+YqKV4Mdd/d6kAKbx2qwS8k2zB5RbL5SKz7hf37q+dAQbVzsuUaJv5+Nu/
/+4iuQpQDY944qp0yL9WuZVed1U7nX7+Df3dVTBoMo7infEYlv94FeTSlDYUOfCByvHMzIosMhG6
H39+lVdZnJtnefv9tFR8xKAYmV9dxvVEEZBr04b22LPw4wsVeDKY8jeRpzsybuUgtLrWLb2Ed97s
WeIOdhPhBJTsPUZ8YhOsN+xMysNNYi4+pvukQNXvV/Pvf7m8kyZwBJOMQP7y6r7bQWsQsbjdd7+/
hfCCnARX4i/mKH9326Xl4+4kVgx57KsuoDkGo9W3sF5Av/SKc23byd3StnL5pi35ryOHv7wVG6WE
p5QRG+M2oA4/fr9F7Y+I7RJFYlDfH4wp7QtyoKTBiJyc7d99BWnQ4fn36dVJHt7Xo6h0HWhcuWsX
0kDq9mtp6AiTyUNnNb+KVfxLq25TXmwaYPQXOI1fLyyW0/kZw6gh5OEdQmdpphO7GRhFMGOX8HWR
qg7Br+KM//KlbYumJfDkim144766l4z2B0tLhgcoJ+OdQzLYwcJt9K0n+L/B+T/NbU3+73KgN9lH
6vznH/Tk20/8Swzk/0GOyQu22IFEJV8UP/8WA4FqJ82dPioDcAZTG/r2X3py+Qe0li2aHCU6wwTa
yH/OzZ0/8M2z7tFOdl3edNzcvyEGAoLLq/SfAwiwOzYSfh+LBqsGS+mrd1oupTOY/Rp12ibKngo0
0FFRSorZWGUzPTtLbEyRqR790PBjazNMWcU1E/LWhQSoeu9ACnJ3qLw4rg7xgI8z7OsECQuZq1rs
ClI/ELyuhXhDbhtTGKIHh9vUqjgtLLVOEZgMyWpEWHm64xg3WXrQWO5jPDgFR/9Rjp2HU0saX+Y4
9uF7DQm9dPS7ZJmQTnUutjo/tJXPEjGUJqlBPirgjlLGCC4I2LEfS7s3HqtepeaZgzj0HkJV9cWj
ODxJA78RLiKxrzien8321h0CUSgjlp01Y2mL87uO0/r9lLU4bgGbTx/6orTOx6Ll8O/lAy6mJvbH
pyRzhgRhylIMxzjDfYJ5vEaD2eom+Bpre3w3+4brXjRqIlxi6paV04RHC5DiWYN9dJeEIkxoeefr
huourefY2hmc3W8Be9nPDBtbFIJeLs7dZWmei9lCuFtBNH1TT3hNw5QF+3EuiQ44ZoiyUNPjD+hC
m9gNPxxye7xIVCfR0Q/W8AGY4XRRqK5Ge26mksiz0W+v16kta3S3K4y81R/yI8NrWiWtNnd27k63
FALyIsFw8EGZdquifMRsEJKbllmcKXocPxjsOTbZrWtdukVivgVQ62MFXAL2DIc0tiuW2NTdTbnd
X4CZLd7j9e5Kenw4gc9HPtxd71QzuX69zXFrwBCA2TQtN/e4g2xtN056voKI73pUIdr54s3Bc73Y
+I4SRFH0BTwXJFBel97VhJYo28Vmp+9nGayfsQXMN/EgneFYNW5QXWRJ27dHa4KR6klEZnbbgZsH
Q1fatzGV15daL83n1Oin+DQSFH9sY8wQux6o5ZXhocPfd9gWU3SqzmydleiwzuK6xG7s69i7ZOY3
1KelNTprP5QJI4RlcpfHIBuBGcs2W/DuEaz5uMiE5FfaE1Z/sMBQv9N92nWHBEvJfYW5qjm07oxY
rZ2N5YO5NgP0+KRA2lyIrn0LLSCb+MYavm+BKO3KrWI0FUmtKqRZ6SqfMBiBiuY5L6Z94breeLmY
40asy+ihUErQE0OHNSi5o3VYpvj9pvq8njjFH2TOL977KsBHD8Ua/y22FErRzMKmiIh3jYnEG3wk
X6rQmOZE5cf3sy2qr/iDLftg+zbeZ5EMxvse2ZoRTWRolvTMe99ko0OpfFiMKXjfQGQBwb3UgxdS
zJs8h0rfNt1iXsKM8T+QfIZpDj8ssjpRdMZwiON2/ooWRuhdtZI7FLpWZVxrJTKcACZhiz39SvpA
dU3/sKED7+361VxR3PeG8ZyntkOgoAUqkqDIQEZYk71LqSRAVY+HGTEayryDFgRQREta+vQynOGM
YELcXp3jNS0nkrW5DxbPdveLo1t9bndm/pUzYXyVI9hwokpRwWFcp4K4DawkfZYxNhEVuisxzoDr
xervPMRGONfHIoPi2aOdO/Q0SYfrHtX2W7WwWN9IryDCLegW9OM+i4vcj46OD/1KnRgWfqdECO06
p70qdfcevkF3Du6anoNqahzbgxJvs66m+yDxztUhPEC02UPbfxjnQPPSAjDAFZQ0067wZiDhgzeJ
T3JcDH8PnyBQt5llFd0uT8X6UJajeF8RVNaGmJCD5k6BDqZgzMGQ51fT1NvLVWX05XJgQFZmu8Ty
AT2ShGiuB02JLnH1lcEVvnQ/dyO7SchArGnmZTe20WDMhseWpbtV+3kZlRrv4psVogbaAA7gl8Cl
PBklvGlPSAALbKQ9Lfdzn/7QQ7swtIoS5bYQNgwbv0fRKIkYnFM72kwiXHEaWq5RGbtK+8xoTDyR
4uSj0HQODV6EnfaXvji1QdF86IJU3MQlkdoXdQbKA2xARgEgY2ndL/noVWc5i9clzIhkva5XyKHH
oAHDgC+hlmHOBKzgRaAuPlCZz7doMme9KVeteVvTp1heoKKz5iu/72NxEv6cBWM0aAS37gpg9ZCW
tSN2A/35a4MvsmTyxrq20DyKcXLrYTgaZjOevZxY/nd4+ydevJ8d3s6+PHef/3HS5XP9+R/b/y8/
7Zr6ufz3P9M/HOu23/XtWOdvEm9IWigNOcARaMKB79upzrfgLCJq9BB/0NMBtPjnoc5wiUFAzbfF
PiGl3Obmf57qNt+hyayJGs5hmMNB0fmdY90rZQ9nOceid08pSJydK18Xrquje73N2U62AF5aB+t6
7uP6ByqNtc6kH4eUIzuMZvehCdL77+7g9bej4w+Kxa0f858TJUweF0s7ETYO92cLudqKu+9aAEG/
Spq2cc4hSXfXrcADxQQlbh7RZVXPZZ0atw0jl/1IuFZ/6lnW8AKC+ymi0Sv2wCHGZs9Y4CIfPBJ9
sF2aFxnNLVKTgTa8z6B9w05vQKOgWCJHDoz7cp4Qx3y75tN6b+fa+gRePX23rKn6auR4LMqV0UkM
XGOfm8VwaYLceMYJcz+XVqKjasXpRrypZbxfjDq7LoPsWNf/z955ZEeOZNt2Km/9zmshF7ToOlzQ
6SSDKhgkO1hBZdDCIAzAuP4M/sT+hkdWVpAZFVzZr6rqZLJIhwMGE/ees09PidW1sC8OpsIp5egN
jSqwv/oXRPLp1/++gD/suIvi9z8fnna4694dnZb/+49XzOB94BXTIYLpNuHly7H8z4OT9YeJ1AXx
qOEvBQJGwF/vGKJiA5ESlDBQYQhjnH+/YvYfSJgwyLOq8tewZ/wjFwXD+d0w5+C0FG2JS+J0zZVS
un0/zLHvD3kcfI9pHqYge3R7cdC5ZpgaVqJ9lY2pnVVBjt1scIUyUAvqwwxDuXFYksDC7IvYctTa
cYxBD7E0md87gxbNrtTsMj/FtenLfdPIJKbfXSTDl6honOG01eaA2IFRJy9oRWD5rM5I//S1U4tY
dTo6tLSHQzSYrL+1CyeTygJRqD3KDAA6ZZrqe9j17XBKAuMQOqSed7fAwburKqJdvLZ0KKS+HQWH
BBV/vQ4qq0+3HkHQDyi2CHUj4snrDiC9IAfOULKd7/k0T/rF3MxmfeIHAwhoV9RFvR4Nq6/C1DSG
N1/qXrMJ0mTQ95S3W+ukx7lXr73Koj2Z9nhnT9woc3bMRfmw9gJp72rMvmiJOGssGb6lbE/SNiYP
CYhMba5qo09ob9IROsPCgs+Qtq/zWhqldiC416WVBrvGDXHxo7/x9Nn5CjvIBujYGvVpBXA2YAs+
BNWJQ1OZVg4V10cOY8V39q1DHvqIdXaCojaiRzEV11hwqQ4ldFzweeGR/MqBI321RSGqNWa95By6
THHleXWPt2LGvklyuRPLM4QPWrMVpIy9gu7BUpe3rvYVHHss+Gu+Tm9H6ZIRY7LH3MVVg+dLDyK5
05gMjW0ZBVGzcTu7e7JTG6hTXaXejW6kbCX0xIyQ4KD2cMOA9muxAbnhRSfDhKxuZRV+t3bsluB1
W9jyqcNQR6uQ54JrNtCyh2muisfaw2aGpaPTNQ5ukxUOBGIpNisxgmy2kgAIyIcfthiD1T4aUzWt
rdKx+3WSlYioHMmpfYSeA9CAkXVQmUhM3KtxEu+z2sb34Q49l5pqLXfPiDXNXJFIP4COJvSEUl5W
QrAQbNQu5zlIn6whSVoaVYb3OoBRnUOSTbonl2P0vbTcvt1o0HILbK1xBCaDGvmhbufqqcCMAoAD
kMqVnvipF2qTk7z2bu1eWER155vMKMY6xFMyzutp8CVcaymKF63zMLsME8oRHkYx0sK1lPfVi2xa
T+x125iYFb+rDgRUGN9yx8svKhvF7gryOb0gKcpFfhL12Q0CAGdYEXJR1Turjw7u4LRPlsIpEwoI
Mvd6KpS79jk4YuBM60SEqpPWmw76gZ6GHlOCyGY7sdGbOUjwM6oK8U7piXxhb5hxdYHk/NNOeSTx
3HadFw5RSxnfcHvxJvWMjrAYcGFjqi54oAkl6bMocmZ9J4gTi/cqySJy19BU8EhEMEwokOA07yo5
yJu5qtA8+3Fr+ttosHX8X50LRsUmXWxaZUHywvECdY60M1VtZVejy86krTayqdjZqiHSsECr8i0S
CK5CLSvNl8iz0uwmiT315tGyeos5qEFUzDTOGaB9o4Tev2/cA7717p1eDQuS1qDgCpPG2Sjdyx9t
JyWkvpL00mfCu98SUpaTbTSbwXfmKcgFHtgULArADs9dEYlXq8WldB3VJvfFZUjSW7Sc4rRo9Hne
9GLUVpHGY9kT9JOhUZA1rXMFG/9x1hztqoYyON2JwvbvEcEgDZ4pOiFxsJm9UXVh5hWcFqyQY2yc
7PJgHAts9LUrrzsLAeBDPmCcP/VJf9sza0T4vipvcGmlVnBeqhm5HYUzP7+gB6t7Wy2P/LesJb8D
zVPnEKRGNNK5kSXasPOzJHgyTOWXW+HG0yIHVPKLUQdUh2AHIDeP66xARirRJNqA7RGN82Ek6SHE
YF3Ruksflr0Ves5MI1U4HXFxWT9O5Vp3Mn88gUtQqzUHIPfWqUYgEUPXiC/JEFHoscZIXpca3qzV
LBtn3qQN4r2QHHH7qk7LEZFX4oBviDuWHPrpbemtE1/H2wanHlsWjImiCFOcdLep72VB6LttBnWq
NcRF7kTICHnu1Vnv+oS3w1poXlgMELgsdvKCu5US2+EImbWhyUQzbx2D3t4GRNhEYbz2BJ7wScYu
1Owq4o22EoPAAaNNvXvT1xpmSc/WOJoVmYr3gvGpSIquOPWjG0ytMEOQkK/bsrHvmkgz602f4uk7
KHsavnnm0vmPBz33t5lBxWmV63X6jPJRVFClTV63swGTrnGHuSg1wxEGGG3znLTqq1pGqb5kBSBW
y5Oh+zanuCV2RVAB1VtReNVQWKL4oYsEMu5MZA3TsmWJ+DGlRwbtzqjNK9Gp6W30swLhVkwHLcIu
1xSPIMLMEwO4UX9RGgiv70cuy7qlzDlnjAryutelM7KvrfCVvzY1ckhPOe4uccf0yp0Xg6GPL7pd
866dFd/KzrKpjwI8uOXIy6RiMSSSM8mcy2JP1g3+5s6PglVlzONblKP6QHCpSDU3rWjMUZezUyOP
N6USY5RR/K3SRf7U4osgzF17xOVeXspOevUJeWfyJoqbWjvTEATzDCK/vG8EWUFUJgdBq3dtRG2v
3qB7TA9kNjgvhSiqcqfQspwJjFA6HmfcmnyojP7suv73wMuBFwXBbzbcf4uOPf7CX80KRFIcahco
vouAw+do969mhXP0IJNPygGVtgT76j97FYb5B20leps0EiD0knr016nWW/bw/Fv+A+eWn/yjBL+j
UePfB0uOsstfos2JYiJApbccx38+WKbdKODexedIheR3knYI6Up8f3hNuxmihZ4U9qVjADFH9LdA
wmnXDtUhYW/y5PhoyPdZh355/dPt+8Vp92P7ZLmmBcVjmh7/Q8Tx/pqKokScNubn8zTVN0WuOQ+1
mvJg7QJvfwwCob4GKg/uHac3PpMOLH/64+2ga4T4n14iGPEPtyNXphYNXnpe1qm2BUjlnEFvBdKK
IPCym4z46fff9Fcfx+nJQxKBhICg2Pff1CpGGv55eu7bOaLgOJbFcwrG/jHyK4IC2X2+/P7zlsv/
+PV+/jxG3M9P20o1V/Z8nmHOENIyvd67Tavv/JR//P0nfTzJLc+Q77Sob8gW4Fj3/pNiCnzVNGfn
Wl5258BIi32KHuwTr9OvBoqJP5amHiUR/EjvP4TcpKAHF3le4VLfITI33iSxVGdT2uZ7M+qap75x
1Vrm7mdujfe1oB9vDSWnhRHrGZybP9zHNkNjRuftXFDJoo9Q2lTmMyWu/dnxr8uxHw5jTg2yyFzt
OgL29hlY/5d3F1suQ9RerL4f3pDAA/Ph6Hx+VukbeixqJ1QjP+nh/2JwGnTxEQp5fIrvfjiMZ45P
LF8Vnyd+4jz3+qTtDH1Or8Ysi8/NWnaXvx8xx8yBD4PTsD0LEBIftwQav3+aJks11hhxno6yOsix
1u6rxEwuK92Krnxy0x4gX7W7yQWIqveZ3nKIhuoT6orYh99fyi9ek0XRw38ZwgDqPzzeoRwY3ZE4
72h+hl2NJyainEwENoStf/xJBLUihdGxCGMTXh70T3W9XrK5LyLvDA2IuLfGJN3LYHa3Ckrnye8/
6fgyfLi92MwWZ6JlIwL5qP8oGmYyL7XOEj0xYAkU7aNXZ/4TFfq5P1WecO+8KE6XFKwi+06acTCG
U1qrx99fxi9eWeq3fFubciwr34dbSzIUZFDXOPatEVbntf1YQ93eFBwqaKOJ4m6e8mJfEHp1+P0n
/2I447GjgsWS4rCqfpjaizlOvcGykABm/ok5BR3RlbEHXnaS28goxf73H/er+80eD83NUlSDQLKU
dH9+tIEdLzKcMxvwl4+ID5ky4VxBZa/YNff3arDGMxn7/bdE840TLSqtbxJl++r3l/Gr+/3zVXwY
YMzxkdfX5gJaQkAfTZRvW7g6u95pnVWZTsNuqoJ614Hs/GTA/WKOWrzHjkscAZPHx/B1t8xICZ2N
s24s5tOsM50TAxtI8sn3+8WrSnF/qT8CEfhRtvz5LndKRnpdG2cUkTsgPQMWgBgCVGuU3Sc25w/K
teOkb1P8hFTIxmypT75/oJ6YB80ZjLM0Z/7lCDW1Nx5lnS2sI4tUuNwV53SG1T4xJ3Ndork9c+CK
6quycJpbT1XVhWM31sUInSNeUer5VOH1qxkUzB3qVwv+JWXeD0POR/qh2c54ZtRyOlOytTcGJqVL
M1HuDnDVSG5oEWzJQIz2dU8MGcWAZh9V2AR+P+h+saukjrskMgF3ZIU0PlwIyBVtaDT3gFsq+xJR
24d1YhP0O7jtTndyRPTeZENxB7odGWN+5WP8OiFtujypWSyn9SeXs+wD3k99YDJQA2EbtdCkfZz6
rLFXFT7PwyCrfEv/sz8XRRLcIN4y164Xi2vpef1JYExUKWiWb5PeGe4+uYZlK/fhGkCnmzY9Ibgc
9Onfj540buYA/+ABTU57zlnQOzNFFF0ghdTW0vHK6yAZAQkCxDm1khKtTWmVlGsA8XxyIX9/Y453
IkDXiLWZbtqHC+lHazB6+xAVbfoSuU6NU2vc+9SXrWKgktd4ASXDTjYnwIaSt8CQw71fNyXJAta8
j2nQrUpyqy98NdmfvWLLTfhwk9AKHk9K5hJJ9eEVMxITFKVrHfCKCDIQenQtPYJP0pTG/rwpvkf6
nFPBJtEYTzYotx49Dzv5/hBVXdygiCft9pPbtSxIf7skBGN4gGwaFN6H2yXsbtSyST8gv+8jpD8F
mp4EN2zdsfeAz5hfT2Q6hX3ffo9N5OO+XwX7aKimq1iCcf9kZ7LcgL9fDdJDpjzieT4606Hd6RDg
rIOfq2wnvcgF6jjCR+tH2W3mqqtvpyghJ9yuy4t5hF3x+7vxy49fcKy0I5kFj8K3n9e0Dkprq8yD
GIS9neJAIt/q9WytgiUssVT9FShPfQce+IGsa/uTFeU4bfzt2/PBvsfedzmvvh+6SWn3eu7RxSzb
5oS6VLKjY+ltPSfXr3IZGI/G6MvXoIg9YMh6Eu3HIN97dF9WJvdnXRRB949PILS9uBmQSSy2rR9n
lrzUqO/N6SGpqvk7AdkM1Rk8zcrNhN2GFvVp6qps8WjGyP6Tae3vCyyiV2OZTLgVBkvg+7uhxcrO
aMccDEJhiGZGMUPFMHv6/RNfBJMfRtwirbX4AN3nvn/cNjlJV5vNHB9mb6ouJrcdKPVqtJUl1n6r
8+xtzpjYpXmEMCwbbQw2NRgwL4bImffW/FB1tp1CN2zE5vdX9vedDRdGQtWChWH1/0jxySMQ8pIL
4+6YJ2NlFBeE31LQHnE0+SUe6KmKypCX9pOZ/L3geNkGoPpj/4r8F4kn9on3tx1LgR8jAzhFR+Tn
67HyZQercyhLoPM0rta5igQDTgmcpb//xsdj3fvxz1l32eqwh2dp/fiVu0XjgLvkID2nOrMasNeF
SrrQSaGCkf8ddq7RbIp5vBJD4x6Uks7W0aZ2qy3Qf2Rz2aUk0CekbtzdeHbzJTDK+Wo2HHleNICA
m0E8S72/7dESnk4pJrMSaj3mwVbbuPzjJ7uEv2/IvQXkwHK4tKSZXt/fSE8mKCt779Rslvcjx6O4
nuPI2kmnIdXMIhrg6vf37+9DeflA6BHMnJy6PqJRGC6FOdvu6egR9iN6v9lmFI4/mSJ/8a14K+E+
0b1dTjgfhgfhAfWMUfOUiJ3ocvBsUsibUqThZBj5hH431m5+/63+vp577PgAaPOCLpPy8vOf5mTy
hSSbDnnaTU2yDtpx2OSx4W41pzQ/+WrekbP08wCkRsXel3Ihz40vaH2YgJsy70cc+6Dfl4BFuP/o
LEGYlt/00kV96R+VmG5UzN/MmpmL9uii1SSoZij37iLhNOk8xStHo2GNV342T9qj3nMmuabf9IsM
1ADkQ+hH6bu73AvGaF8sktG+motXbaQNd4P/IwOv29f0K9omt+5A32Zng9UFz2TkTDG23Lj+boy2
twitceRubB+fHxngfv4s694rwEfEvcLQZaQXNY+r58zbtcHWJBYBq/dYOBt6pZoIK/Cyz50w5zPQ
gaol/c6SMxEnrR6x4kLjWqHuzS7phvtosGurf+bll28N2phDRruKxmGlskVU3edvOFpga8c00V9J
6EmvOabqb205mldWosjMiGvpKeLoDeOp7IxcrLVsnukscLD4niKCGFYDOY2PdgFoEqdrnluwwfWU
AGE7u8Jv3vorrEPaLUUAM95FNPXrVYrZcTwAWKzIArBNg9hvc4QwKSL68COBINy8Cj5lV/fVPu2D
MjTpT71KTkFfO7pfgF0x4DOCaxSuG+yFnbEjfSd1t3ksv5k9QPJ1YHSq2aaxaBpYuFE8r0xiBIbV
hEwxCU0XuQUBypHzZsW6PNWH3L3HT9iptcVC6UMrLvmVqp0DO9STaQLL2ola4ty11KHSyA5Y91R7
27DT82EOaQs2ZMq6qLNNp4wVAkBiIVZtyVK4bi1fnbRtYRFzu8Bo1rjACly3jRN9KeQi5nB9QszJ
XEjMSzsqtHgn4ZicdqlER2JMUyNClzwRf5XVkuuhx5qLDfkEToXuNDGiwxBk2Dx6dBO7mADYZ4ce
KsLXsmNUtVYyAjTPy+FucGqtQlHiTEDmHNl2G0va094CoPDArsqsV8w80VPvxMsjKYWGYj6Zsn1v
evKOSXEcQzGN1m2BsOw+bpuR3AQc8S9uyTq7cuLGvpYYjb111C35H8U8IfBmWBLLGvUl8Ce6k86N
0m3twY9JcN/0WdykYe3m6gA2JXd2Q8LBeSU7cqZOxCCD5DSJ8RzTUU6pE2htPxOg23mat4LyND3X
bgKZpiny0lwRSGPsEoVMflV7c0GyhxRJsBbVXOuhocUl0WwMnv5gp2CUdqSiszUPzKqhEVWNFgHo
UE+heUq0HixgQVqEtee7KFSLAsJxM3WY9zPkbuSoi2x4ctPBI1bb9uJHb3ZgkhqTletbOvjizFb6
vBv0hLAmzU7TOwYyimeBUfhLzWYwxgpQkBwvSBY/s/KA3CZFblCzNyrHOhnl5C70ADQO2P+1olhB
LpAHhDiwrSse8rChFRs92a5I642Vwc9cC9kSI4pNXetOwEJ3D5Hvpx3SU6GundE087CJaFiuLG6k
2GqWH92VIB7I6EJAa5PCo9f+OscxlNHa7ZtsLRuLrVMOARHiWe0DBewSzLPssvQKnGfreuTAk836
XAP/tDcAE3xvE9Re4Z9lU00g1ERTltDw3CgJ/EqZc2yApE+isWO2QBTFn2cvM08LvfHR8dkgi0lQ
lfqqyjKt2Bn0/yW6AxeLf0YGDjgg/NA3LgllElMzpQG0GX5qUStDHLDJm34RCtTLBhuHQv816TMn
Cw1VlSnV7pQdSW+U08VcaPNXwsWYdsRgYs9PQTxynlPam5fYzkT0nIsxwHVGaH4L7W3lkjgHlWBi
4iXWoB3Oe6iJJRNPVV25VivJhBoD9U0HBfTgmNI850455gpUc/qVBzBcC1hwN2aSa6QQF+UwhYUo
9WqD3N5ON75LDMgqssY2QBFixOXWBO90E3CapS9f0UUIWzLCzhCfzw8BggKa4yBsyVkYiANcZY6B
NMyXtS7WmAMadzUMPsL1yWZNCZWKrBc4G8m5lZbIsCe+YX3iaHN8g56z/ka9xXwa9Gp8HlFvuxs3
JvTL4+h6aacyuNNcW10IKyJ3TWCaczeo2twehqMgnG/OUQOtdSOKsm2XKP0K/zX2GETfPJnAGx03
lLXNOSwRLZHXbMi1y8pfMPRdl6uTJLDSb6Y9GK+UYqPLnDYaijp9dK+rCIhA2Mwzllh2ufoZxH+D
Y7WcE2/Htr72V4OaWSVBJ0dEvOp684awSu9JVYqJCVImQfQblCvkLydoj4jAYlBW67qXWXXaOo66
D1TrOpshAV6x16kB3aMRy4Y171Xf7SfHcOVh8mPtFmW8s9Ga3op3Oc6RBQoSoCYzyzL/SkAXSlcy
Nt0vutbkOTDyxb+SjjquYbfw/D4sfIK/VnY/GWdsWijYp9qIV0lNGrM24DiJqECLZLayR1W9jrRs
QJrAdiFharYliTPSCYZ9PWbl6ZyykTCY8L4kiqbKq4Pa6sRgrQE2tBAoT0e0KVkYJ1bVhLZR+V+k
XSXosyzBlG5ltfVoa0XWrNkM0ZNvSkI51lnqDg+ZdJO9MlsSLxrLgtQxDoZ2XeYFzJkJP8ALZI1u
CgEdUJajGuYB47ENGYUlctlrjtxzuubDc3AovVM8t9iB1db2JFRFNTmTtRd54J6UDeb7FZ1V22JC
y53nGN3KRTe79bNKZIYrH4HVlV142lNlEV9BKaUk1pr0CBIlsUnmdUj0wkLwipuGCSdIbyy3Gy8w
agu6WezXWRT6bkm8jATerbnJ9VOd08jM+dNTOMIqZ8wANcRBv49UXYK1LyFPIwsi//vcYP5hTzhx
oLjEOYdG0wKPvLhcgihWyBv7dMD6A0Jjk9Wdbq5MMr55YQH9ADHqKZ5vABb3d24VsacYmqSmhkY7
apO7jrxvGwM9v/A8kW6l58bfEl26Ly4SmTIsB7Y9EMQS88XuPXUFEEr6q9jM8TIA8nGvhmiBFWUF
NqCVnArQQFbJHQwjn300DhPFcu7PsLAANQuDDZFvOfexlsRnk3D9m3kW081E7RU6TWw7e62sKcJw
7CJSu9CjOtn43Tg4IVFswFvg0CRrj2DMb/aUTa+OVF2NW8xybseW+IUlEiUhOpwsshXUGG9AbllH
X2L6NmobFH0XXTeOFIppCTQiOyywHqGyZnLzQGHVRH56aWBsl431ucZeoQ7HFIXOqkOcduWpKX4s
UPasu2C2z33TaTe1kcPHZy/PnKJUi/QWHb55oQVqmLdRE4Bdy/g3j2ZFwZgUCMDkm5Tp99zphwGk
mV40+1THs3PSqKm4IiDM2zHJ4JpLAWXNGxG5lAAiM4Y0YVd29BrFenFdk7Cxqe2y6QmT8TO11tXM
OmkxfaqwTbTCDe10ambEjl4dbOcC0tmWaEnD2Jh6RtZDlPfBG5SbGhcMfKdsXWAaIQkhKDrjPMhs
U2zrwBYQwfzORsvQz2Aspjlybkr07V+xUEbtNmPJt1Fptvh34lSTJH94TXHwIzHh3yTFwAj7YXJe
0qlKvxNojv/NxctEwqLho0iEeKOT1aoE8R5TR8lnqC2eST75VU/gOWK8SksoByyZI7c6cBu2aQN7
9Q3q2inb6G4kvtWJMs5pHM+Poz9md/ANLUA75JiHtamguoHMIP9waPudO2Ye1L16btj+TMO0cymY
RifW0N4OZPDsLLAKBBhkbLZ2ljQ1EB1xY52Tws4JwUuT9KROHP+M9dZG1OhGLTsPp9IG0zpJhwLt
HP2N6rqe5XBb2kJ3VxykZ4ROKuueCrsaHqa8nK4LBlVO2F6H1FIbyalYw2zt3BOmV+L22snQyYtJ
8+ZAJ4YUh4A689J5qiGRpaM9vsi8YzjEECjPZ8GX2dRtOzyAHiBCjxwl82WcEHThbLPqbd1MiHTh
D0Y3aFBBu4p2yi7oRedv3pzqMI3QY+F2c5akoMRARiaMqnROkxTZLfR8VGMn0st8g4NV00KbaAAP
EZHZAGXTcpj3J3Ywdu7aqkdph1rvIMuMY306s3W7Z0Shgc62URmBWyM7pFg7TSpeKWZ5Q8jai7w7
77Tx3pVpb+88pUdvuTGYe8eayDolPSZ6WLoRF3FHxs6ep6A2zO9IrmPTHO8Cyavd5m3xxRc5RtdC
dTY+0znmYOdmeO3ifDnamLOprq02Mai4Ul/aekdTnUUO3DkG4MVqF/lEvQ3NZIdx1ounWC4ZfHZd
kW4XxAg8Vu3RuhcsLj5flWm/chdvHxAwbH7N0fLHoUe9zUcjIB5B1K8IRBRs+sUrWC6uwWnxD7ZD
blzmETdsVR4Nhojqgvu2Z+rY1u1iQRyOdsTajbEmzotLEf0ShsW4oQG+VYuPMfNK7bZJfSh389Ho
OOHahtnv5Fj1keZghgwcgTHSsgC3hV66GCaLo3lSK5zy1DlaKqXTs49GMYjVsmCvuuwEbTbfbRk7
w7msQcBs3Gqcg7Dr4+DRNmXZbqjFYOTUkTp+EVIESGQbH6tnurg+56MBdOwTzpjV4gtFTkziZn60
i6oq9W/l0URqLH7SYwHnv8K5/2M4FIj+s3Du/PtUdd3rOz/Y8hs/lHO284eJXsGiW+/TREc18C/h
HD/RDRI9lrI0xW/0L38J57RFOUclnt8EfQ1Y9yezyvIzAAB0vKhg4T2hN/1P/GDvC33LByPYAthB
f59mDNf5vu6mNbzphFcjRqZ3vkuhYaDCjbOtk1nPKD6LT5of74uXy8fB66FtuFTiA193P5T57DFh
E9XXHEzayAxB6cCccTCy/vQALn+U8n42mn1QLfz5MehvqDJT5HPtDx8Tw/NqtBzKoUGg0gZkiDjN
In0MdS1JTpml1EnUtiXukF5zL8bEeKtG21z//iKOqJl/lxl/XATdFAOtBoZd0Mjvby1daZ0IeBWs
ilpWTylhFVdztpspQb9VVeW8tP3AklrlpFm4yybJiIdtqi2e3FJm9aXLgfcRmjLT0ZBZ7ca00/pm
SKr4FB6kfd8MhXPdDVka0jDLzhIi1NiCVrlxAOO4pEwh8vbjAJMfXTUbstMwkkOrVRyXYh2fBFsf
wqW6XH/xJezPNWdlLgJ077YSZv9Iqrd6BPx4aQd1dOHWnEj8PK62AdEutx6HWmokMmVp8Ys5NDyF
3f2/88kP45th/nY+OX2VQILfTSfLL/wpxDX/0M1FeITBDB2uQd/uX/OJZmJ+Q6TL5ACczwGF+9d8
Ygd/HIcgExENNqIBeB/+DNvgR5Swaf5BZOL3gIr8k9lkmbN+7rOho1+aeDTYuATd161luvmpjA/L
EBCoJIJdUnbHgqBVmMlzrFCbXjmdiYUrcg5tO820EijJsHCDPF3pSo0vbaaah1GmMbxoLbulrlTI
FSi88ptkWIdplQcPFH68S0CFwQ0J48wdqtG+27EXPf937P059gya4f95LQv/3//tXv/n5X/3Q5XI
90va8ot/jUE7sOmiogZH4UwDjx/9KQb3/4A/QxAMHUUHATK9nL8GoaFjswSiRJMMRbRNz/PfgxAU
DmIS5ABQayhWEX71D8g1jN33o5DujoP0kqgXrJwklS+r8btRSDBfRNocZZZIdLdjJAJOM/1cubgb
Ok+HCTjVriaB2aVl8thTxjSvW9Gbk9zrojEKwkMD0aX+y9gQ3Blt47p2qhdVWGTXnY+LX2GOZCrC
4GhjSMpR3jRHcwPGvPJyMAcql+wyn/TFCQEvD1PEcDRI9Am1qxXbOowTEQVnHD6LnyI4Wiu4ZGwW
7dFyYR/tF5ldsH0FbtdDwZ7TZlU0Ru+sZ1XQog7wkV3pViz39WLxmIU+TJuY5r215qYY2Zfp6Aip
ju4Q8+gUEVVgnCCTLR6dH1aShb4hce1gMYlLgx5OPuM7mXHePdqNtpgEF2OKf/SouEHH9UZZRlOY
yCzXGc7UnDrNGvZYpq/HNnHmq+mH/aUVmRl6nd8bd2afUOFIamspf2DRtOKNUVH33bpHZ42dC/Wt
TyjpHqYstuuNjhPlLm8WR04FE40164dTB2Cw2s9HBw/dbdw81tHZUxxdPtbR8VM3ZDyH9dEJ5FR0
w1ZUhHEIYWrALUTBCueQe3QRGbWVUW0+uouWOkm5HoDjYk8TsDZ6K6/PALjiSsIWKi6Co1fJyqm8
w8SxulvY7riZrNltspAKTzVfULWfbj175GwVjaNuP2MbEnZoUWOErkx9RhxiIMsYv+jdEpJAElez
8swmbncpmtxsNduoGEGzwjqnlGPwh/Uu7r/w0FWxqTK9iEj0npUEa9x3dBTs0nA3RHCWD9LPWYy9
ufbdldeaVDxb2HR3ZRl1ycqg5LpXIiD8UhBdisJG9X4UNibPDK1fZ2c702BQhE7caliSPM1/oU3F
oMsDYKBhQrl8gmzCEWdFpmrkHWw7KwU1uzm4JMhs/l6Pqm3DSY8C2ogEXuPESpKlHF3b46OvmeO1
gcn3O5meGmZCV0ASHjIzElvV69SkgOxnwHzFEH1PjWAhrXHQuUug/DShD4uWQBnB32jqob1PtaK8
ogwrSFWr2uw1bcycbFzEA09iTOybSflQs9UgRyK/W5i4siWsewWWwNq1CcLHE+5ODXCXANkwIc3i
q4aS8I7/p3dZY6qM2Sj23Q2CT+uswFHHmcrAR0czscQjS5OWDdNoE824Js5ueEgtbHjs2mQNqF7l
OHxVXJtvRmNW14S1SnjFrU0Cmk4fxl1Nmeq+CbC0c+i0nZNucyPLeR5Tk0PGltD3+7Rrn7PZ07/k
rQCsOTW0iEOM3O6FGjGKbmWT6Trnb8y75MGi14iQTn1HKJFqG47uEraL3aUH0yiogGpjC5V/ov7L
s8CEE4WmSKdT1yunB1213ZM1epTaLDR0F7PdDRJxy4z4nixWB/R4qRdfZyOt7VVLUqm/F0J2Z5mm
6U95QMj9auw9r1nrelVc8aF2GuaypLjoVIb3xaRo9s2MfIdBR0zdgbRz96maGgot5Kx4RLtm8XTX
9kF80TZRfUNpblG9TV75VQx6d43R1jqMVZPj1iZ2c1t5CYJiD0vcfVIof6afNpUNmO+kabdF2zoP
ObF36R4fdUTHEWrvVU8uJ1AiUUyY2xu/ARDf6M055A7yFUo91y4ay8uqtaAQeVPQ8VRreEnypi/r
paLqdMWB713JNVmDtHz4KNp4SLO0NPTTRhbnjldkD730y7tGK6QRFu2g9HWgXF1tBpE3auOQ2XyG
f5MWmZsxF4XChccORFUvWkrtpnjSwLPHVOpiz1t7kSafM1nAtvFg9ircnWn+OhaxM5KeisKSzhdz
6ZxAxEj6Xl1agmYmMc1c9cp0qxQDcRzHz6Y30kZQ2dCxi6oBJ4UuQQD1iiqGawIsrj1vY5WRvzOJ
he4gT6WQxwtpZm8mVIAHrDUi50TWzlkohB7QQOQ4dwvPw3NX/5+9M9uNG9u27K8U7jsT7Bugbj0E
GX2EWluW9EJYtsy+22w2yT+q76gfq8GQ817LmceufCigCrg45wD2kSwqIsi991przjExp/eQ3upB
PzOcbgbCtqtJX6UcBT52WWjccacw16Vvbnz1wkoKOpxl/BhFOSPgUZWjH5pV+5AvI+IMFBaz72zE
VpwuQ+RCNgwf9GW0LHNrcrZE7zJ27t9G0IndPxCTw2A6nR2aWx3SLJOPmtl1t0yx+8tA270Mtwsa
2JWPAxR8V3oZgPNnixAj16kjGvPLkLxsC3moJmUpeZcpOrU7A/UQ0jsfyDJnJ2+JkTt51ozfxWUU
nwHH38HzZkDvGSzmhFOodK8Vg7DulVWzD44WeQd+dxnzS9edkJIt0/8auDEKQ0ajSNUvAoH2Ihbo
IEA5K2bMmHsIf7EfnVYIilM0BgyVGA2UWh7S67yIEQwzrJq1exEpFKosBrBM3Txu3YuYoYMh2577
i9Sh9Grjo7boH0hwTz9I28gYwHk5r6y7qCZYlBjX8wNLCfWK/v0RmQYhMRQWKC7KslU+FEhoycCe
Cou36qLRIGIZvUa/SDdIyEDFURq69Tm8aDtoVKPzqKZMf0HygPoDpTZKEN5z/TY0G+0bnfz0TusS
51Vc1CNFG2bf4oumJL3oS+pFalJrvfjmLPIT96JEkYDFboaLPoXjzByu5jlFt9IX3dDCXmrnU0Se
9Be0ZGhcBliqa+2ifAlTsOwb/HUTKbuLOKbDxw68gBQzxnuLfMZ0FEOu+4uqRr8obNxFbNO2Es6X
XCQ4OGOzU7fIctj1nPTInR+iN4EZfo6jGjhcfgHFeRdonMjK8VYuJDlUxvSwL3g5Zvn2taHXnJUq
IBWlz8gd7YKzsOlqOBb2ShjxeK2ZC7zOYt1DQ3KB2tlpCeAu1ibG4f2Fe9e78Kz6GKv3tlK67pio
amQF1gLNQ24GPy/hHjJYZcDqpcyIznWysPb6wkHsUNjarBNCtvD4plg2sOMXTJ+O6/xIwvLwMbmQ
/BSnTLflhe9HqE3GMXTB/gGb9+aABQ+WBH+Xx3ZBBDJngxaoV4AC9QtDsLFLZre29GDNIX5Oy220
IAeLC30Qhb5ySseFSWgueEJxIRWKUqv3Ywa+0OmEIJ14YRoOnQnfsF1Qh82FehhfCIiVqcQ2z9VC
RozG2tzICy8RlZP8qAnT++ZdeIreha0ILh3Oomn2Q+SXTDierQuJce4UqIx12OkH6mP5FE2TgG2x
ABwb1pl760J1dBfAo7ywHvMF+5jDf3QuJMjJVuy92un5q7GAIvsMpPsuW/CR4wKSDBvdO6IqZWLb
XUiT7OVAINTIlipjbmCUUW8ShFQtiEptTKFVKgu4Mq1tzgY1HBMvyFxhhStniZzZRCbIy9jOJjga
byRMqaGHYSTV3xUXViYj9vkEYywCfXihacbpAPjau1A28wtxsy0asTEuHE7QcjA56wXPKdCHRSvt
Qu1EoM5xn0iIkfz2IYLsWRBi0fv/vJq+rl/L+068vnbnz/V/X5rKX1BYiSSKu//x/q/t29+Jbww+
d5/f/WVddkk33favYrp7bfucf/rGDV6+8//0i//t9fJTPkz167//25eqL7vlp0WA0N+3XH5ZJx9f
y0WC//aj9l///d80/T/KY1P7Y6lhyVCm8KRYW6rTt+rYMPgK3ZkFXnSJCqUu/W6VvvSCF7MLGDDk
r67Nl753aJQFT4QPZUG+arZJb+UfcV1/crVgP7HwjVk0lWkfuS6m0/fFcci8d0KR9WKRB6TpjyPU
GE4S6FZK5dM8kd1x54WdVPZxSzyFb2YoGIAAUW/T8YMR/rV3jUKoh6FsjfHph2bD3/Rtl7bsf3ZM
3341+sN0t4kbobu9uE9+6B7pkVPVYdZ/HWNbQzurhCbwB9Rag6+Nfe1sf321n3rRtKkIhiVAAde4
TcPKXaTZP1xtmEdBZUOURBJpUWAS5vyAfqL+R3LdpRmGNJhWmEXkGxb5n70OcTxlFBFluooWXR6M
iHafA7H+Tdbfexn596ssfkgdZ4nnOktf7ofX4qqVF1FPoo/WinQz1FK98khX2JWA0o5ZrHhrNa5f
zTaafvPy3n9k3y9s4BtAtUtrx13e5B8u3DTe0MqFOTnJKN9ObFt7hNbZRpsIgfn15/XTqOLtncTC
ay5NdcwjP924czlyyppFuuJoTUhMx9gvnpvPUpm/qUahrX59tb+8MHh7PNWLtNv1aGX9dHeAiM21
VCUdJJuiT53ZqGvXpG/Ldvqbl7X82v950/MO4hHmEiYPPghAzEzv38EUFYAwmziBT6opgZ4mxbo0
pblmV5W+hS/46Ilw+o3j4y/3PpC0BRONBwaHGzfm+4uGJgHnI9G6K3TXSPPg+/bfEK7E2W/exb+9
Dg4f7HP4jrSfgw6HJevXTrnObMbVoxWim4ySOn359Wel/eXW4OXQxr78Z/HI/TRqsdJ00jvd5fC+
eE8pw3PKkoE5dJR9qIV5zuFx5SnRX2iRmkbsuF12mT3sZ7U6Tx45jJqorgx7vvn17/V3rx4SnQ76
Bqk+cqf37zJMnLKKYVNRtVjlXrNo8WRD+Lsb6G/uVKwcuEe4k2A+/GxTxM1euIPJe1xIId2VqjHM
WlkthBsf2Fn2Oy/u373XTCtZ1YCXw5H56dYxvTBb8oiQWaSRspGm+6wN7rF1rQMC438cqs0He+kV
g6zUXV7h+3eQA4+GxYOLSbMod8WsdrdaUnF6zgjlWod60/zuVvrr47jYUjAbs0VqTER+umJojamQ
Go/jgM72Ko3dx1ZzD14lpZ8ZYIjnrdI9Jt4EfVYP5rCeg0LNdgUAbiJxgdyZEb/tVKYPsULZ90/v
JwaoDIOpuelxMlJ8/24g+8Y+7FLJ9TSrV/xKqq8b4Et+fZW/3k9chSKQMS27FpKG91fRkKVBKnaW
DEPVno5jHS+HTLxR8BnCBE3jry/3k993WQC5HhRPPl5WA97499czZKg2yJmTVa1Sah+GwUZFbdmT
OBGtVB/tuuteUsQUqa+INnLXDZ3fT2qcmm4gSF0///rX+eszS+iODmrXdBhREVfy/rfpELa4heDV
F5nXtzvEY/24Gye0kb953b+70E/bWQXLzZIxFypBIu0qTglreE6/Wxx+HoVf3l02Z8YLWF50Ai3e
vx7iOpsKuQ+qOor3uw71Y7uCRBZ/E6WhjqsuNOwH+ot9suuo26c9LUQxUkdkavSbF/x39xUCXYaM
TCdZpn76nCstdyYYreyojgJwj5VxU0ROF3hk4+1+/SEi5ONlvdtVl/2Aj09DnMyA6rJj/HAuUVtD
KVMD/lQZSWyWCJroN5nCawuWyTICpJy43gfdHAsyBKoWJZQ+Am5gn8Iz/1ULNfdjUoQl+FfCt6BF
s6lU+BNghg9u9cIZvym/iKUhduXhxrnYGTALrjh5RbWfpXMTPnXEjWkHeHRA6McSiKyPAnbMbhWp
5UAURD6pdzEpXdW5RJZEqiwpk2G5RceDRROxv8yUQJusuQvCSp2v4noZKTAPVVxfmQfRbTy9b7r1
MNrdEJCQbWwL11MWbW2afI0Uhl4BzZzIPhqVN0eBy1wLJr3ssmxLZAAOBEwrlY3PZTIGTCtVKIJO
HbtiKzxXNAeeeOuZo5FRnDKRC31b2A4UdQP5nzOhrRxkbqNqdeIFj1ZQVmD+gfMow7Og4xvlt7Ey
TMI7qlVEBu8TAGwtIqUyj7MBXFxcDJ65mzxtVGI/xjU3uYGrRKLfO1XYfQYx0N3URZ7cOm7tdD52
mGoIUkEB5TeJWU9BlmvzfeZlTbRV01p1/L4us+ehK4qvQtCkRMicaXXQTg7OjEGG3g299fApKVKN
c0BfhdGq58FLDjoEe3ev5cLN1u4oEjtIRiNOAlN6Q3ywQyN5GhRbFUd4evSJmFtPBrhFToTiUZUm
wrQ0ypWn1shd0O3EXi6RpQNwN97g2GwOIbJKhhF0eM2bCGyZc2gKsejDGeulQV+PqR2kJE9sUepW
mJ1QUKPC1ozoc5PhGluFWHyIksiIY1h7UZ7UR+S304NpFS68+8akF9iPobmLUAOHq8ioCtrMGpZ7
LRBZoamr2sBEsupdmyFDGvfwE4ghLRhlTS5M+sa7LRYJ/gYZ3pzBPjQjXNBC6nVerRxZJ+M5dSrF
8ui/KWIsOVi5UcuFIftxx6H8+BT1mlf4ZdfVt8hZBoXoZFuc2hYja8DJSHM+lMY8qneySAVCN4MR
z7Y2tTn3VswUh/IBEjpDFS3q1HvmnjZQeh206BZGvu1EB9MkkMw9lmAXlGSfsmkle2qb0t4VSFBw
LsR9XmzH1FVvHEVNXzDndfG5gp8ugnLIUbYDwkS+qLU5zFfKhWgVwTAgHJfcTcR2EZnPAKMlKk+E
ePErnbUQt0Tcjt6anGVyt8bRIq8k1VOaaCSvzGDwvMEg4o8uTBhkQ82cytM7td/ARyBJ1S7LMYGo
6S4/UluGQGmV8tbRiu9CHjj0o0HNEDfb2W6nm4HeuvMJwT8BAA0ajjgYTI/41Xr22muquspb104D
rjAl3lpbNQ4THtpkUX6yi5LGKKEqZk3qcl5nUAwNGu2EHWqkT+Mq0317TAjPLpJu/syEzfqUTxqQ
zhFE8D6JDJ22G5iwLNBUpX4i0lF6Twys5vaTGaZ5HHR6mH1pclfjKZiFrW/tyCy9YyWwHh1cgH7O
mvCyQmwEU9KUmWJhPA8hTbBNU8/sOobHDB0lqJp+iV0iubbFFKs7zBxJua5TEaW8nMzGLmfqUCRb
kTbNhvOAY/tkMeB5cnigMdrUpG+TsEsnHvtX0ly1WmU+5h5BYlVnhzTtsHr1kP4bxyBtXCseM0+d
i5UsdJKdC6NklTCwkMXIUIYBkmoYgnVVuqrotlWcWXdRT7/WB+vNNNKeieMlJTatAN8CHMmPNNmb
6R5fcqYjgyKtwdzqelzWjNmQU2qbFqycWPeXLF+kLMm1Mjsk/EZvcb/yLfyX4z/H2XXzPRlYOEaP
rNC5pAYXbxHC2iA0ZorWJHjCek71/Q0Zu/oeTm71LKMUcf8YEqYYkM1KQnH8llZ8SS6GcrvEGIu3
UGPxFnFMSbIEHnv6pGbN2ynxv/SegBJx5DMK/OHIsTQYv3f7rj4XNA5vPiskgX6Jk89K2/bvOoH/
8a/f1DKO98fCeoB2SCVzSQT4sx3IV/hed1FmwVW6gP3/bAfSKaQRQK8P8hIliLbYob+3Aw1iBAha
40tgiTSHALp/opXhWPvuoKToGpotd+Hxvz8Xck9gGi6VdFdVZrINbUBvpYJzYdJn8YyrJlyNOlMu
S5HFTq0SbYsfNia6iPiLSc/1el/1OiY3100+OxBpDkIdowfLrCgD5/wxle3z2DftVU2z/miVxQcb
VLFvuRxzRohVuD+LaaWHPEIw9jHsxGm+zTPvEJOqcsdJStEIkB9BEbfutRL28pR7XfZgZZn5KMDv
VsEwcRgZ+OXP+Lmfw6gnL3Y2UImHdbgxdcUMKKLuNeuzniNxGehH4Xhqw4Ad0y91bNBa24IsNJbj
VxhPOzqPo68JZN5VUfJbTnz3zmoV+YXEn/A+ToWmrAaUHCc52fYzvgL9EHGkWNcNk3AOaMz426k4
EQdYRgECgCQg07V6xS1U7VLbiHaV4ogjM9nyC36YcCNmO/pAz8d5cDoWOgmmhoFoJg6Kp5G9GyXG
LaMJY93a+rzJ86w/xBpYXc2hFiFAnj9m2JdWVIt4yJzSu7eXeGTsrphN9LI1V7SUoysOH5lfauaw
xypXBgYr6RfOxgh+U+6tfAmcgZeuCnloeDMPVaHaa8trDUYoZZcGDCnTM/tbfZ4Uu7zJQlHuwsQi
+DTPOnXDiKLHo1GVZ7Oz9V2dqumVDUgbRc9Q+5USOnd2GhMKOi5pVFE1fJyqPD+weXBojBsRFEWR
X891ldGuRKiOxaY6maFeBjbpz/aqIO508dWki7YkPvc1Mdtdiv6gsJUuQCCJPdmi2WO6s7bG3Dcr
6yxOJ3y2QiW9CKqEOxofC4xz69ZzpwdwZelLFIv6bCXDLbQgNkZR6X7iJe61I6jc27QLt2HHx2Xo
CZvq1L6SnJRd9WaMyibW5Vul8n9hGf1QFfz3/bDk/83ZyVIz/2uN4emVHJ64erdmLv/ibbnUvT8Y
UNgsiCzBsK4Whenb9ER3WC7pIiInWMYXIDD+Y3qi6O4fdBf1BdcJWcR1lh7Dn+MTQ4VCixSVCYbq
XJbSP8dG3ycSTJz+ZfwkY5qlAfBjZblMTmBi0PI26IFBvH2/cIJHdht1dIiLT1u0HTbS8qrs11ko
lUfNFGuo0fkpV/VuzeD5oBrNc1Pw9NnDrmnbiLiQuN9a2bDRBUHbhol8mn5Hh0d6vG8M2jppnZ2E
7hL8JAiJM7srjOEfJjQw10rbbJzOSH3P+eo2xpeh0DG/S2BgRXcDh2Q/dOlzZDKyxZZLcxOl/b7s
SiINDEvgRBEPIbj52MH5mITeCABLXhtlfERtZQYxT16ZJ1tbaW9sDFq+HWtsCc28x361QpwRH2lL
w1nTcD31PBXG/Awoep2ltF3bRG4aZfjWjLZkrSLOPZpf0iy/tjMci0rNM29i1rOc9BkQah/Yhtg4
cfkNq3flw5l/FKK46RlL+R7PbWh5LLon04r2SfwwKs3wnKpWswgKGxQhM1MOGenY0/gth26iBIii
WvlQpgjjQFePHdkOUnPu3MxO/LpNG7/miA9AYX7knQ66fDS3KnTx3DCKwIBEY7Twwo2+vS4TeWsO
+jVhif6sU3Zq1RnJcbqCP/1EWlS+8urx4GWR43dqebYWNo8mBBHxi8TZzXSVALAw3RK5cAuFck32
25ZggZGs6VszzM+GKDAkGodWwKh3lPpe9OldhGCRcbBSbcDr+9JUnC/wmG4UZ2G8uBCpoIqQVG4Q
2QcdZavkmF0Heh5YBopWOfIwrHrOCqvZrnZtkV/l2I40o+5vSmHcK26i3GfCi1ZlGJHHIL1yq/fz
g2JGRzMjqkvMTbaijZrkxHhbo6F9U4DlI0yz5W7gFOK32MAeEpcRWWmQyYi8z9jrkzz0abrE2cah
X+RN4k9kHfipNcKl4Mhp2+2NEOG3RjPOdl9/KrNSBKIyJes1vuSk0bE5xxt9cBw8gO20UWi8+mnj
nRMx7abEw6TWOYe4WHzPU381OSrldD2ouBM05bachzuTimbT5I5CsQukoGrix4yOK8cpZKpZwgme
ZLNT1otHkXsfVSU/O3k8UaGpS8q7Pl6ZZbEnGLsPpj59kr2WBaFohrVq1A9kARTc89WV5PziK1Tg
aypvjJJEBFUOyRWOna4TQ9156Tk3B0z52D33HQ1xv+gbOvGm1HSs2tVRSZuC7oU9bRmAFADtvQIG
QD6w8eZfpJYUZJcLUO+dYpGI1h/R6X6kXhiCjnNX0aA6kzEwmIiegpOOX7wSb3dHCy8G+IBbTfF1
URyckTxcZWwW9cULChDUXUnmN31eBkUCRiR2rR1gPhFk/cR2mq/j/JpEjgb8Y4L697YMlY3nPada
g1muSb9E8jT0CJ0I3ryJza73c9JPVqYpyhM2UiL5+tSJ7g19qHdkNTYnxBGtb3l1sRazbDe6GsXE
1+Z7EQ7Dc27XcjPRUXuUnri3+gmz8RQSiNk3K7OMrKu688ANjFbJtJ6KsSftL0Brne5NZSTrA3Us
zARc3gWJ8KVTXdNLOGdzdGg0UgsM1+pP3AT1jfSU41QPxzb3vs7O8CFN5UNeWL4o4iooRuU1sQdv
nRRquFaj8Dqya9+c9YM5TEdyNSHfWAiGbDv1q8k1uEil7NouU1eTJeW2rYzirJOEgkK295MlE72S
nOiGG9inV2mVsQ5QkO96iXArQhnTW+6hzRQ9qD0aFTNogr5QHhu701d6M6iE6RAAAXQjxx7rpi+E
YxQHlYCrlTaOgTuL8aTmJcK2hSTQOqUM0pYejdE4m2ko7zm5Yca/43i4KyXpKVG6xAWY+bob0KTN
WT59CPP9XC197F4buofJ1tuzEukEOM7ruS8P8SRbdYUSn26wNc5420256RPdYmsoHF9qc/1FzVg6
p8zOzpkdXyv0H5GjdqgX+xjPM6bCjepE17L4rGeligW3R9+UTVf5ZNqfh77+mkRdu6WiNXyzs3bI
J3dxxcSoIxMhrOZV3Uo6ZPZBRrPvaMkV3qyH2UrsNe3EQ6Zk+8Ri4bVEHWBs5vPhdOZO3evkuGPQ
RPmRuj/c6zb2/DHCT1Jy4syGcl2q7C9Nf04696Ow2QmW4JVMflW1BjOn52dW54vQjc91pGLFyT9q
TjivKxPMGLV8ua6svNjY8agR3FKChSDBYwPMZeOVxCu1rUEDZmz6XRyDaTNED6+sl3fmoD6NyYxW
tYyJ3RGfM1XpOHfz8Esjszetkmdnz2P3GWb5lDgUPqi1NW3btAlDpQ7y0uiGYjOJ2cIERm5D2dr0
SUplfhzn+ZNr92hHZcf5oUY/aiCsRhADoGO0oDkTCZse8ipOX5I0GjYo4kq+0YE76WB+WDVhVvmx
nfQvamwUe0Qe2a5VO+T0GoD2xNSnhyU59mnyyuJWzeBGTYMTCOvaijaTZZFNCUWZtffeUMxPRZm1
H1J1kATBfiprq9tXlFSbuMP0E8m8ZDtnlVUypyOSCal6K8Nnr4UE4dSoiSO0iwHT7k3rVYcR/TDT
j1cIG8aJjjs6SAUdJUb1zyk+8KF0rH2Bm+2+ibpP+mSzmTl3gIC3Hef4T2ZUJb4llDOjmXKFMbo8
SI1ERANLY1C3bJc5/IU9JDXCRAVVJ5aLKrruyvQQe+q+H5mg4TOvdA1hVdnsktAKhNMGTj37mVOd
ipS2HXo0M7ceCOcmOGfxC+dIpLxVKAFtTaHWbvIhMXx4Bbsp0z4UnomOu5Ccl2gyUlDKa1Ab2xis
DrtzFNSFg5yg8dUG8f7ClZqqk9or6zGK/dLmifDCazfu76F7PE/YJbxpZHMV5PSom8Q0P7Y5hmKN
RtecKoGHPNbG0L/yBmJ8vXwBpl0RYsdGj24gV4IU+Q7ZVq96m28r/VSqbrDMLad+WBHBuzOtm6hM
vlDKH+fWDpD/0icfOTBFPA1OEThKtC3CnnKPZKxG3+Yuuaky2vS2fUCG6G412EVAihB7JFMExMmc
77KSbCVS+lYZel6SL+ePJKzSObUluZ6wL3ZNLx9cYi4Dc7rIeO3rvuR1W+pL5NhHTWVDwxz2bRjk
OWmqdGNJWB1ly/wm2huJfs2dzZkvqXya0Su78Taystd5Ye6GNjzTWXsR7R1C3fsaVEJGtV8b91WV
Pw119KmE91R37mbwxH5W8lMRKXuHGNTGKoJRSUVQEakSjJI2JG6Azdg2lJli+lZl7qOVs1exQGR2
81Q54tVUw6Ml+1UfVqc2ybdSJ30zMbdxpq+spN5mlvw64NzAj34YzOFpbnaeGm2rJuI0jyiv8E4G
Je8sn4dJP7XRSTXvInu+rUbv2OeYHsx24zK8EmSF2RToTThkaEJZzapRHIXJ4WaK+jNmu882h92M
7BmfqQ2Hprp80Rt9R6s8qLMz8RchqcCNFXguzKS65MdMqv2tzLixOU6bpwmnQTd756apritD3A6K
tWEROVPXgPx0b6wRdYjAuU/gi1qMjMnyaxTcHVgQ/QzpLOiEbgRSYUdp1MpHBBLvvelp5KQW2vmn
JMnPJidVq9WOju48JGb8kaAB9CBREq0nrfNzjZ0r6W8qTX1KIisPBqLl2Bf63dQb1870ZTDiwIW9
MI/tBLtOWYnR2/el99DZnF6arj9MQt2MuiG2vaHcYuT52NSPzkgCnO194U5KgqLL7nR6/qvBBgZH
NRKtZSxfQLZ5a7fONnpumudyqo1tWRe7edSvyMO7kfa8ZgADJqYldYceVLYqnFc7sQhc6qeHRPGW
kiL2XfayaLktB+9p5LCUsp+ppXJC5uXP40es4dtayWh5eUnr2+ZwVyZDMKntdTMuQIf+mLERxktL
xhzYB/rR2od09TXbfhqGa3A2V1Mkzobi3ns90wZhPJoh+DCWPTYOAbRXrz/280sGYM9SXmfjmCjW
DW0cu4FMxrJ3C45u1879uYJOdIvo9+tYkTahWg8F0Sy+ZU5rOIi+5LeLQ+XKksk6c7sDPfr1lNSg
k6vbEcpOVT/qqfNKF31XpOUxStTxKtKsVSzDa3pgGZJh48DOTblGA6ojsTdL+d8YbhKt32vJEkVl
fy2bCvRQW+2VytB9mTu6r8j2nNfKNtGBrDTxTgjxnDHiF7WNQzwdN5ZK7Jgr9MSHnvE5L+RekdGV
JTiTzgqLjQHAZZW0RCkiYHJ9hO1rRcV/k8kB2X9cE/XZrWo9FHxM6h3qFXftaKzmiTN0gdNJY69J
F/iUU/kM8T6EdfxUA2JJ26E/RZp+VTfNwzAzsx2NUh5q8uz9cLIeKN2xGGbDHBh0lbravK8Uo9qW
XQZDmQOlQfzJdtDKjwNZcvQ6m71SAHrAuvMI/u+pyMC9cYLHkxCPhe/I9EtB1eoLRmWHsIIIPPdu
v0pc+yWS1Z3allag9e6NSDECMpWBEVO1mG16+CP2VWaqjOZSGokEdPFEtbO1Dpntr9LWa2H1R0+K
zTKgtGaxc9xYblOCfsimGuet6k75JhkqAEd1AeXCGyWpq2l5yFsVzcWUhJ80LfoQN5gEKJDH5af1
1xkrMfApTskQejZ8OHh+FQTMKk3dldvDQzKA54HZmJFtRLdYdPxR6nelWy+B9OswaetVDtDSq5pX
wwHIIaD05JUGdRfq4yqHZLERMizPTqJTTTSpETguo6RxmDr6jmRX2hXws2QwGeowmGR92E96QREZ
cVoZq/GmI8l2FdlDeAKfx9zfqBX9aPZluamLumGOKQHrOrVG9BseZKtpaCO7Y7G3laSlRvsSMZl2
1XQzmdwb2cLAcU9SoVJq9YNtFd9c9lpjKp7jUHV31VRBpmpS6dA3H56LRD6EablXTJvaPTIOc8vW
Bh2S+DDjpA/c5mOpHzmfEnrIWhUIiLYZU+taMU8A5by9o1Ufeq1WvTUILO5xqcR7tpZCwbu2sJv4
NHXOw5W7IbUr+azlo7YesyHfehTX26ijCcOQFIsHFH1vL5l+FWsVn4lPl7hbQeVbVo/wmEbheWoN
YyWa2fYZZAvOdfoDOZwvmGoCbdSOg1NemdyJbht/jrjVSkf5kLgtreg6W4dkbeD92sSliODCamTL
d3C1JsYHHdtyCriOaVsmfJpR6Brx/PTRztbkkVF/hKVq2tSaMgY9Pia/ssqjphlXKUe1Qi8PQiav
ppetE3M4eImxG4r4aDYvqNs/jq17M8jBR3u36V1E/YJhQM8wtwfKkwztc0inuM2LF5HJqyaPj/n0
FDm9X5XTrWFG1+OUPYK3OtVZs2NoQT6r5RfgIwkCunVhJBjJxDBSiYNSkSfkrTcGPq667W+i4ZNa
taFf5fYxbWf8f1QjQ8tZkTGOydspwzX5p4gLNO0Gg9jsgymij4zMk2PSfJiH5XSMcEuzpzW2MAQq
VBncIrOyyesJCqGjv7SFFjSpdtUogKld+zzgk3C7Yt0a5tdO1syRG1/R6XckRbnR8nklKpcanTPf
bCwcKZcJMkXeVUJKHTMFp9mYIQ87IwNMI7hiDJ4/umhe752atLmN63Rbyd5bWUa2xicKdS754DXT
ccZZhkPJWIU0XtFWarsaSr07eLvSZOmMh2g7J8kmwZq1tpnmFxqYoTo7qGZ4K6bkdZ6Ke22UcdCr
8zcvCe9cBmpeKR4z55AZuoD9N29UtnRdce50MZm3LBfqNfGM5JmjXCg142vmzPDjivLesxOUSsDh
QmyNy/rCOJVC5CCinTV+muRJ6YopIEcUM4MhEeuueuheW7PIwlu0kPq6xW+7LvLM3FjE951iJ0GN
oE8Z54ahRovSwwCGPeRE+zYqeT7nutvOUv4X2GJxZVxMEB4t+X/d+L/7X/+zZwz93mex/JO3zr9l
/cEs1HVQlQL3BaRND/+t889XdM3hvMNdBqsCQf0PnX/1D9r9zqJD0nXUig4yuj87/7r2h+F6tqWi
ert4Kv5RyNxF8f1D41/nV8KTYAOpBmOAHPUnJZ3Oummn2CZpQqGov3IkuafMl9BYBcPIRHljTMpC
4iuKlPbW4MFPDfVJkfT0cA0jAbPnZm2EXoqEdKhGyDdzSUiFhjeKw2PTpfmh1xK7QR9HddmYNc1B
t6FHuAL5kTtBa6ggLywR63R2sSUF6Gg4QpjaFLcrrXDE18jEjEmB2ht3YQsGMjBMTImsgx4FXiKR
M5qElfb+YNTwruyKLS5xXjAmVV8vH+w/mmr9f2f5WXIg/vXde0pefrL8LN//fWhl/cG9sWivF4qD
wx//vHW9P/g/Aa16UFv4kr5kgX+3/DDj55aG466izDR+HPFrzMAgaJDlslh1lq/+kxH/+3mVg7bW
1RBCYi7COYFC/qfbtp2Moo3FTINp4HTnde1IfDaj/hskKuLeEfb4G9X7e52no0MA0dXFxLOQaDDX
/6TztDiooq2PafYwPA4AUihBqysvAwzNzQ+fwPfp3I+cJ+Zu74ZxjgFQCynUIlXmxXk8l++HceRz
5anbQTqY60mPtHVe0yZU72vPUDia0Qsi0YCYHh2p15pzoUpEYOAi2BYIlAphcx5KaPN1WaL5ISSa
HbCK2duGZURtUTVUi7doguorRwl1P6TqSIK2srL7vsPdztY8Gl2g9HZunLwxyZt9DDsh97Fq9t66
Uv43e2eyXDeSZdtfKatxIc3RA9PbsxUpkhKpCYyiJPSAO+BwNF//FjKU+USGUjIN37MaxSBEghcX
cD9+zt5r13b7MtldwwmmHcP0GIRLwPfgCMztpybvaa+hDe2rXV2WCRA+L6ID3UOC9a7pctX9TcsJ
19lrAIDlFTXF9DLIvL/o8kWGz3UxoX2IljS8Sf08uZKMCF8qJgv5tvFt6Oi+0wMO3CVhTFoAktS0
1z5GYMjf78hfSa7aZcLMzKmnhLme4X9EVEm+B5nyDM+oKy99lhR3C+S+GknNsQIw5cvEoRLRmohf
0tTY1VNjZRpEx2jVhbqY5gEgA0uhC1A/TubavogyNUkUTQRM0G72SnsJKnp1Qe/PO1HQMgLxamO7
nHDUQl6G05wTdFywjct2fFRZMaorP7Wa5j4a23mkA9f6PvrRQgkjPoTjVPYzHXSQyED28oSNZR+N
NI0QxwqYkLhSJ4haGN0TrN3uoW/VGMNlFX23eOcF6HQZvtNaBXV/C6tThdVOMkYGYyjGpGamVnve
TDR6m/nhchNqZTcloOCCAJ13cP8GwTrbqPpjWrCq9/tZwtVDtseJ9plQlZZOYayjeb7lA+DGgxsB
ZbBBnef1uKN8mbWwDBUwZPiwIJ1m9R5RWF/f1LnlvUs0AQOH3s4N/Slv6T6qdOYhUgaVyUF2Tmth
aREBmo58iH1alV0GzzOv3HK3blT1yZTdTDFIexvaBhK9F+rSftlr9MHmuAjpph+Grm6ZsPHbBEfo
mclS+o58AlJ5jZPUgDG51+0O9xqgAgWmGHRJG4cKgeOo242Hh5WXJfbzkzv2kKSFAn9JUhjzk7A0
HPAYVnPDGlrP7pfR9kd5Pva1317bQRW5l5WZVHUB0iBzOfiAwyQG0Vuy6a5wdd+fEqXWf1pNRCU6
vBXOdWCVRKZDOhhBMnsgnR1s8GUpThBa6QPk9BDlV9FWXnliGjGnFz36UTCsjt197ofBRwnq59MZ
YTCeOJcWrf31DMq4ajnvmJZpkmHJmO7sDUnHy2BIYdFWUB9afyVU69LU5ogRLkx3mrBt+9j3Ym4g
DmNqh5Q+y5Mz9wGp1gFB3DtUMjOKaCfzaRNKq2k3wld9eajNILZjV/jNaTWGiUOqG2bk4FNjgeVR
lwiVYxn3J0kj+b6EJJpeJbzI0dFXzmDfpZPH47u3iN4uPrRtMgUnV09yyrYEjwH2fJoay1oJyzFz
n6sgamB4immx8tPc0x/aDR4A3I0IchFsUXRZ8pIYXJGdobGo1JETd/alwRO34BMHVrMJqpLhLkqw
dO1CkdYwIXW6y+3KZJTRElIFjmF1US5QXzn/jb7Zm3rwDZrWhsZqaefDdMdTOXL2yPzMe2BcRY91
Y+sqpUfiTTFL9JODyrsmCgrSbbEwh6AWe59k9hJx/oqmuQVHR6PUebIZbMQ8l0S70IdKd7UkZIxB
qy2ALO9bDblo/JIqIAYqQqKdoOz/vNhOZkjT4X3V9fRlcjKM0Q9/Xu9c5S9d27ff9FuJziuz8/9z
VdEamPqfqyJ2ief6c66Gr6/0POsP/VUaedTnLkWIIDtxNRR51Off3dCCqh7QUIzThv8gJfh3aWTB
CvNCTLNU9VAwXcy5P1T1wT/wS1JirIU4Z2rvj/iXr4sVfo2L1dj3kRs5eIC51psCIuSdSP0SXYJA
34cIw7+sh6i4VUEfNb8xwLyuxP66Fsd3DM5ULat48/W1SuQUpq/kuIlikxjwPZGxKZLc7KVvE3Ph
RmUqf3PJ1/XRPy9JDWavnnLqP/Snry/pl2DlC4cRgRWMzB45oQCXzPLfOMZ+8sEizl4Oyqj1YPTW
flnh7FYJCnoMIHGTnYVQ8bdIvHz08E4T+QyXG8qwH56zn9R+P/niyJslNctzPLyzb4M5M1RGIRIR
BI8DiK/Um0FkVRnRERsdDn9qQ+Qp4WLhqtVdRbzrQ/yjy7lIGCo6ZQQYqW/ktdvE/hfCaNQJzZM8
H/KO/fvXn279Xn44a2KOQoAMuo6kWzvk/YlfX5AHUpi2bDEUjdmF6OfP6GzkBVvYBxbx+LJugotM
9ftfX/Ttw7JeNFopAyEBxiHH5tcXhe81tcEEMmsq7JlpTzBxdGyr3zwsf79KhFE8pL28cgBx/b2+
ilH0MBdRoTSxpbmmAZtfqT78/OuP8vbpwL2J6G/V50WC6v5txN80Q7OSHZWn9O2OoPVyvilpZp31
9vA7pO1PLgXpgRc6dkL/758HKnVBmQoSvUhx0GwrhCGIKNx5fHRxpiy/+Y7WJ+31g4H3kvVKODhA
WUTe3L0xb1XdQvbBfRslpyKek4+ZNMPHDo/fFaFKmWQojJLr17fz7QvO7eQ4B9Ixgt+Ll3D9/z+4
6VIdKCUjEo4qO9C3eQKup4ji5tKVEE/muRH+b57/nzwktHQwTrNMCpb49f//cEHMPCoSNYO1PFHR
nuZvcorCeTr++mP9/CoEH67qe4CRb17r3EdhRHwqiSMOkjcNtn03kTDy5zcPtjJHVbRIdK9WReuP
nyWpljBbBL3isXPUsS196zpROYlxeai+4WNSvzl//33tWJ200DnZWuk+RG/uHUK8oG4lKnAkmifu
stlES6w2rR4eZW1j+SJEUnf2b1JPf/IaUJatrgVc/mwEb3YaeNVOzVF32UTAufbd4LeIYYL4lFjL
8PCHX9u6RhFtHmB+oDuy0mx/vKGKsnPA2Y6nLnL7q3FJQRdhov3TRxCULjnb1PNrf9F9a7ZeCD0u
PLt2UWwATNlYEOWIS9X23R9+mHWVov/DU84Ojbvr9YcpgLfHkS5JQIJNt1khSuzQTv+nHyam8Aih
LawbdABc5fVVyLbWYenxkMcK6YhjEpyg6zzg15/lb88Ab6wgTQGDCpUUd+/1VWbfBn1K+2KD5cQ6
76CD3UAmYyQX9MXh15f626v7z0uBoYV1Eqztm9eXElOaA6+DUNr5BPpu5noQ3tksgVjvf32hdUF9
teCSy0nB4q9rLdxy782m2JloaLWzILGhtWSzps86POUeytutE84jwDdGCPM2oHeAKMKbGApGYxFN
f/x5cRHxZtk+Zxl25ze3lvfVxcQNPLGYzJSez4mMBZacWra/+bx//w4D7EXr6rFiBsK1kv/x5SJN
r047kLubamoZ68UqJOFgGU6pK537X9/av3+HMCSAswvHxebiOm+W32CxfViK6B56s8h3oUVwNmKb
7/OW/yjZ/8lVwBVzyKBbaLPWrx/4h61kboBwuUSZbIqIzAp89v2mGcbsN7cN9PabBwXZUig4Q4RU
tlQ20Zsn0s/RQxv8dgygMz3tK/avfi/GTH0JI510T1a/Um43oaI+JR1NJkG4UV3ipce0L7MG+04f
1geHNA+WT8uCptk5qw2KRkwpLvOyXr6EPp17xvzMrL4mDMuLrZd4TLbnvBfdXer2JiQYvMGLCCx4
asCapDaGIjGhJ4HkmbkKv3OPXgwX6myjs8OPjf3Ri8lcG9I5OlNOEee3RTZ55kCEThowdHfQq976
UzIDX+R/e/ulaQb7NsSRUJLiUiAnC2UZ48sufLiNs1t02cVQ9PKDn7XiiBwMcZLi08l3iRdb4VPW
AUG+En2NUxbzfgj/1QTkowhyFuJTmZPnerPEfjufofhZ8MsnXq4ONgqk6ZJ6eybhrglRyWyasYCJ
ZxqctOALbUKGzp1y9Vjqycn994gbkuyQ9cicgPX6lndboibNd+Bn1W1hL3a88WilotiSPTIzVDg5
6r0ykoyU/d5pHok2T8V5q8lCeKDrneHAJWAlr56rzAtQwEYNc/MldbNsYwt/IPOOTBV96jxDjqKy
kXBsGPCnn8pijNJt3k0OWSyTnT+ILLeWsyhGkLDz5sLLtp3TtXTk5yx4iAh0wo62EI59ZrrQ/bb0
ZhKYFbADk1IYIuoFckv81I6I0YwpfzJkt+mAZHFbh3hfd0FLzB11KL999eADhiGFaCw2bu1XtHWq
YCIPbagrfV1mIojPG3A5N5BZ3eB+9qJ+PsO53aDksKBPx0i6TUqKG4KlKtXDbiTcyfocFd3gudvF
FVN/3RVe3V2MqI7cvbQK033J63k569wZ1LArqx5bRvDPdDPWaujSpLQ47mGqI93dSa0GBi+dL12X
AEoRdfHed6VGZFQGsUU3tQd+gL6zIWMsNOiD6LCHO0elwnyJganqS48kyP4rXn7gktu4JBAKPvHs
2teijprsvJdpNu1NF9gK3ZIBsSuixqdrGeY3TALUN6sPyFggNVJbF+mIFX7YUGDX7Y2yLVt7HPlc
19A7TQq+1aGzYussnpbAfEbK6oA6RHqpIasqpH9W6YOTaNqCXNC4oMcHBn9Joy38RGs660xeoQjL
cpXeTpUbgmfWsYmvJp3J/pildfsl4qUy6EV5h1/q3oVxCuS6udDAvefLakqs6jBG0kRnBDPaYj/z
8oy7irCYa1RMQKanIdLV+9jNS7It2wl4aWYp5ezhGMNwWbKuICmSTIh5YyelkZh3MAkCVCnr6JgV
SS23rKTsYNDWuA3WHC+rNILYuqkc7Q/wCYQ5hvxKb+/1Fo99H2YZ0ixi7NsVH+KmW+2KARlgL1UC
Ktek5Sbpw/LrosOcAjirnGwj0YTYJ38Ym/HJLwEonGWceOJTTu6TeyHhtno3A/zO4KPWNCi5V7E/
nAURfIWj7tcOM889Ysy40fFHRXjYlZCxle4dEta+Cpsx/lVG4hKvpvYatGyJxJuDDzqqcLtEqCUs
0drrFzSMz4xpNeFmZZvdt2MB4JvJalxsS17/63JqRtR1dpTPpzBt8V3ZPXqTTRFw4D+NZWb7ADYQ
q6PT7brHNiRvlHtW1bf90DWkjWF6vC7nUt2x8KNzq+DWYEN3DKsGHcqV0FtL+FSlkjasYtgTKGZh
7x4WfAHy3Zw4IttnliaSo887v97maACjPalAEhck0Pno4NkSZnMLsih5TKlqOLrjgyFCMNZWd43Z
Jz8j7Sz0Ti3ucyIXQidvnnQ6ZIRiD0v8FFRsnFsnisbgm1I48zfgehp9ETIxNKRdZaPDKCaqrcsA
e2q3AzdbBefLaPc+Ym8xIMJa7NVuqQlA23vOoOcDkwR72WXErhoUM65lb+x4puWcCvqzSK9J3z10
ViH6bTSQJXxOXje5mKQ5+PU+QopUnCkhADCkFa6TB43CMdtNoZfG+CPSAO7SCPRgA4ibYqgK5lgd
3IbGzb50ZPiZZU2JqwCPzmFIfQ/nl4kkRhnE3cgOw9YLPwHoMPF2spgCns9DmsKjyeyWfgcYiWkj
54VPMqaQlXfSm/NiS5iYv+xBtqaPKL5ppZHGRZZcYqMsZewYuhUKxrFFXDg5wbxdbElRKOOg+8r8
CeOpl8/VOoOAq0qqmzueJtPjLzZz5igYTiVTQDxs3idyM8a7ws6RYtZMHZBVVZ31TuKhtTeOLMy4
qaowlRDiTIzav3SsbjfHVg6sB/NCgZ/OKGAOaiLMhVZj8Q1Ob1dvdWxjYeqHev4cSdWbbeG5Y7Qv
GXiwtsOosDajsPsIDI/dDyCbK6c6iVoO3iZHp3ZsjYReOzhjRSqZMHHCimyCj5FGt3SG/shiaJLZ
RHW0zZgQO0OY1S1dP3K0g17iE+4cS0aHNiiqC135sGuwhnkfwsWQwVv3NgfTPq1EsXPNMIstYp1x
QYLf6ttsWcqQvyfzbfTqBapbqBB1CSCljOdtWC3EOPQjVHwGK0H76LD18co3i4vMV3WhQ9dRuV9w
OzZsgKNLW6uHWUkoDjuBg0DdKAutJZvBrotIa9zmS9k8z0Rhotx3W/veRHHKVlA5Cm87sSTgL4ux
2gdNEe7D1PThNbbBJTrQW5giCqRKbWmSkEm9GRgpOasvvCwO2OwTdZOCtEjfzVklifKCL4Wkishm
M16opmAECpJE5NsQ/092VZYVzgQI4sV05yw1cYstSRfFtVd4izki1C2m00LEBmjfDBrhRcLEqLyQ
1BIaB2Ts1Cthz0vy88AdUgmvO+sB021aP5nEcqitPPLOWkVmUHrpkFLov2AgrSX7q6MYbMUdGynB
sGhwPARvluvJT5QtTrvrUDAimlRjkuyIBx3wSxRhfzRBGvinPLVwI8iqTuCcczhEotYM4OWDFkPm
1uMk+KgsFOvnXRWhD2zqDuHw2IbzbTTkKt4xwVy9lVaWl4cuCcgcWCKQrTsaP9h/KLoYEGaqcLj9
ilsAB2fwz3Xv9v1x8HR1K6wW0XHQ+ctHRrVpSw2uBkXMcUfEdD2ac78vXcZYrFCXaeLCq8d0Geit
C/OWHartCV0adRKbxyF13MeZsy2PmxMP9kEkugnx29elPhiE7+mef7eQbuEhM1Np8IVefxCgy0c/
Rg6Cq3DMCdzBPn85YRQk2bcba2isayzpIY72vkn489qZFrmhp5DumfAWj4nIWEEs2PVQn12KxA1Z
eUaiqCuG545NfdwOynKKjXEQs287YGwfiZ8jZjgdnRGfsC2D+75Yqmrf2PYASQB/PkS6ts7RtC1p
h5bbwZh/YihfFWTTqubetxzXYuhr+fpA2RfeBPCKxcatKoxebp4Vj46TdxDvfaKj8KpVzSloZDJz
dYYzGzVM0Xt7LCwMPTVBiaTrpjXe4EyZr5V28A+ks+Q1LFTRd7uhGPBNpm6oIf/P2UtbdrRMlxVT
uePMNn5roll+DPIiODG2o5YSpc1pibNA26+g9/5yDsHt7zD8TOt+o6duUxc0QZF9hrLGHVa1oEB1
CKYJqNeetIMq2E+Vn93g1qrlQ5x3KkASG/Y8SsNchjuFCO0AzEpYhw6QQXAgqQEHctiszo6iJfSB
KThQpR0i9OV2aAqseKQdepehZdL0PIPE9aCCNBQPMnLAg3ddad4tynNvwBkJApwzz3oPLy+z9oEw
wSHGAHOJbgERrGbWjzSdeHDUV2l7Y1CCTpTYZcVh2AkUrOwhS2a+fiBL63aQJEfHG4rprAg4aNzS
8xi/rnPOb5U0vr+rrZ7dM/dLp9vF9tQ8Tx5IuI2HhVzLi9z2Ixo+YuH9SDdJkVfJeT3MQ4LMMi+6
i7ScneTJiThW3s5JPNv8gV4lpkOLnah8KD0zaoLhmy6ym+1Uz7N+lzVWxTtpSdGjRW20wcXWGxZ5
LDO4fkZkRXpfVY1vDoN0q343at9/TPvC3HucBAmv5BDq7uylISBFDcWMxoKQwgirlm0upoWanUwT
HOyoyIucZ06QSjdPe8fT2ddOIWPfyDZanifVD18KpTOyRWM2HR7TleEvCWLGJUcQbr9hxWgufGRB
2aFGc0VsRoOCf1914Lr3S+24H1qcvB9MweLNWluJ+hiH1XAqmgY5rMIWfd14Lur/2iIREkB3Wn8B
B9/GR3T05aP0QevvtG6qQyk9zGDgOuJHfxqwpDplgBucKGPXl5+HnHPcfVUzI/uED3e296U1KiJ7
JipvLDxD8JARV1DuWmM5Af6aUJMg4NbGgANfFu+iDgf/3gucYTpOVIJI/wzNhPjWoptRXKDKjkJS
XUvL2zumF0f6seoFfhxIgjEoqFVIlyHZ1LPLyezpNVGPt9qDVtcp6Th7+AP+CeUMUDc8iShjLXta
7rFZDZ/SACAIBDJhP0azH+CU4ZeAYdPsFPkYmA/EMmPbjzuh/H3Hw+/hy1DwyqNBOvjTEI60KDg6
qXeK2KQK06PELxJUpnmpY7BSG4shLUEXBCMRVKvD/txt2mHaz1kcyi31J3TfcWiHZ2vMuvxyJGZE
0wWJwu7I9BNECJXG8L7ra4xhNoKB68bu63jvtAqPDgb36f2ic5vsPfxPisOzZeVHun64IyhuQ8lj
OAanMES8QCuCvjPUG9yi11jd4ZrlpIOHl6a200fegDbZ5YGUehOijri3Wghcq25mzUCdgrV0q3ih
8nrAxRsuVvGBim+m/sQYRlBn4vPuqzEsyYbBfQ5MTNu1AKITD+HWDF73EkLVR8xJLiptHkKcquPE
Vi13PJeshtjD0LhZaR2nuypFUr4th7z6pMaVytnPHlX2IpbqwVLR8i4p0ulrV6sFc+SUd/p8lMZ8
4blM3b2LDjf/tsxlo8i59kvrPLFzIIdAlVF5RWCoqlPUDbo5EgPGxonVenAPHHqF+FTXHiK2xiW2
Y98JvXyeVM6yM9TZmqqaj+1ZaS3dExoSsAa2yTusNe4Cyj65suZocuq7bB483i81zMVxRIaDg1rI
aEbMoxYH7s/CQfWFvkFRfxJFYDBJdXavj30q6VLhseCofl9SxSn2vdEJrMfKE3l2x0wxXBOa5YJd
mRAXUfXvCW3ysWnBQAvPVTnm8ipKyIhFN2bNWMtRwG1Zu70D6bocV/IwyC/LJUq++sQrfqO2HZ6k
iTPnI0qhofpGjEFhDrDfXfKLA5yjZ3Mvi/YuIxRCHZ0q0tl9oJlV0wRQxUed6vdNOUeYHyBIYgDj
0SAuhFqXmEdORYDeEuk7J+7zJyT/l6rp3jWt9w2ncblDmfalqZzpCd5ev6+jNEY/OJ73a8VpIT6K
6klvS3t0vJc08ubs4n8kr1JSNrjtss6yibTqc+sGag/Zkb5TADkOJE4GguV7/URXwuckE9KBBRYw
+u/+J2qnpOs4/XE+b1KIFS0mX+ZExfAuHlz7joMZSmSSwahOSVrqb2S8coaps8qHX7eF/9ZIJYmQ
gQjSTsBYwF7etIWb2Pg8mQHoPO72FsJrtp1kEu96QabPry/1tjfMuZCxCyMkpvuA/OK3PdvJndA9
jpjtrLy8Sqm5d56epz+ceHMVJiKCiTdTEZK13vTu+8D3NOZsazOQdX/OGai5RNfi/uYq/xx5/Dip
4DIobumkMxhz4fe+GQ33qe48RxNoH49WBV+qZNfZJMZr1J4w0Pk611503VjuIraz6fxrwlpgvEZs
e9+QbFL//Pre/uxrXEFqLrRXGGPhmz/H+IlnWxZfI9XysB31mnkhEIE2yvo+s/gjufn/p/Krlfz2
n+VX58/Nf5E//PW1p2L9mb/UV1b4D0Z75AiT8esi7mB8/y/5lQV9jskmommI0a7H1I4v6Ls0PbSR
pgt+kKyJUIS8jP+WX4XouZwQGTn4OQavb9BJv0Iphevk7P8+rz4Bxitb3+aBReQi3LfveU7t0SsL
FHAdLATM9O2cnhWGgHBUm+UpqxKOrSleb8M4pBuuVeoP+YVYxI7mSUoZcWIbx6bFeY4OiVY+WLQM
agr9PS+DhBqGcf7R+BYwaYyC46cKqHcIpwCLEQIXARZ0sulpM9RIB049LNHEaS3gUh3pchTKp2/2
BUP0ebIrSklms+Cgw/zIDoVFo/Fk81wsekGymhTDHQX9ToezhYmPWczDCLuoPhrKh4vRou7euZk1
H/pFcWy3mnJ093XXZ+fIWIsXZ2QU4Ad9vS0IDTyXE93ULcPg4UOAKabeZVAtya8bUZFz7KqORNbf
xwBcq4MrYYRCnjhTZQhnwvYbva+FS52TWfaz09F32yBmw/Kteud5koX+1EQwW1qotZQe9XclzP++
hv8NkeBXr+HV89Dl+rnJn1+rIPmh7++hhwrSJWchYJYcIScIeaP+kkFaNlwzFPNsQWRAfHcwfX8P
QZ4hG8EORaruKiEJ2Aq/m5tsUmEcwmTWxA+Uiysn7Q/exdf7oL9ORrkIhhMUI8RVO292KCfQcWuG
/FMejYoR05RsKGB/JyJ6vSF8v0hItY9/iuTvt5osfFFhytz+0xiV2amZSeemQLHOhRyDP1I7fL9S
vMpf2BIB6bzZ1lOfvLN4jp/sGQTIhja4ec9IpS13P3zJN38tVT/aT/5+16BnIo2iv8MOT4T668ny
wHkhxw7yOArFMIbIxOF+8ivh/aZIWTfKH9ZJvhwuE6OVIfVkDdJ4++XkUR6Be3tcMtorBRkaHwEi
rkACamWaCxqdDUwRU1fVmTtX8jcf8rWaaL2XOA8okRC2rw+iWL/VH8bnJU/h0Hni0cXVtnPtGq+N
JWZ35/kWJuSydnZDldoXHO/L97++vT/73DA6Edah5aMmfFMHtnlrsYbROXRSXTxMMLWSLfnkAHLa
wSF+i+w6QtuDKQkrJPqODvdtJHHH/vqv+PtTy4K+1m1sogho3Td/RQACoWJI/Eg4irciFe6VxLJf
Qtb+4wvR5/IRAtFaRRL0VmOHszwj1dB9xAIAAnnw1d4QPbONpzQ9+/VHQrz69pFi60CWHflRSLWI
5vP1l8o4Eguyyq4XWKLVdvbyDMg8SGSc+62s7/JuhDPdZWXMcGg2yXkYpyA/RFBH9NznYHEZghlG
eb0es2nXtEnxOYFpBLyrC9znetRkfaY23aft0qgm2QV4jdq9wY61MPhYnGjjdHnkUxCm+Khd1ZCE
GCUmlptuqWkQj0lvv1DMeNO+MEvGoD4pMKy7dkkPDnQdM7eGBE/raAWu218kQHGuIn8ZLvMFSD9N
vTLKD6Ma5DNqJNe76kk8aG6h42cf3QBoK7O4SbQnB1YAYJeCicqmtF0Dx4K4zIPXjZgZliCGH2BR
qd8FpgEs4NB8kns5JzS563Ep461A7PmFyKfC3zPCqKA8ek53P5tREDosO2ulpGLYP8k87c8kXAmx
XaygnbaKgTddhqXNT2maegz0h4TulvGn2dyH9CFd2pgBLfW6zM2nzGqyL50AP79JutyBSeZzCEie
7S4S6echCJL3C4UOpMghSIbtxGQw4OiN9YkbexRWkalzpUleFndeVGSu2GHhA5XSDkEfFIyC8bDG
cHZCGADlTeLnZTcWtLsqQoDDjZsgerPwNsmOhrQnRwyv6EV8q+uepGzzwr11Fk9GYIJHv+7fF6Jj
BrtZ7ehJcDe2MY29Y9ypbmY4PJQ6v6jtrlTiYHtE1tGQLEF0+BHAfittPbOp53DR0X1dpQohDVEH
IrFxyYQ0cFKg9X4Gx86yy7YCWhkQGaY+Qplz13GVFw4Y7ytF4EByZiRQZuhnRIXr+2pCSIJJR9Td
t6VzBwYZHNJVvDWT7mRyady0GeYb8vCKgMGtK92uOAJX8sd649cC+9YDE9ECWpZP0LHr4w2Urtx5
LpeC9pdz/D+LVQ9TfNBK1NdZLEpxYQzc82Pv5t23cW6RmDATiK7iLEihJ9t19NFFWyG32guqr0XV
Ouk3Jh3k8fZztUCdIRuXMN3UWO90VOXJcWLVyz7M6EMA/UWNcI5hN9XLTdL65pa9wQdrIFNr2dhM
lZ6mVhfh0XTI8MGseahdso0zTu3HzMGeeMyWAAeWpi0anLAedYTG+rjMmK6ldnFhN5l6DEpHMGVa
eobo+PZsa6vtuHGO1jiFEopuOelDkLrTspuYqfFPvUlMTCNNOqSP9D1Nd9AxaMGHedTGvbcXkyTv
iPK1q0M0Q/F/RMfku/eAoET2JYaqHrz0uXJhtlT1bNugjYfaaT+q1o6tYjPxusdXhVB06oEcF7G+
YnZf0x4nM3hM6CL3nSkeyiXvMNVhhgvH+9lt8aJu2jaFmUVLz/EvLXD/fJcZURqNXQQ3cySrZh8F
1hChJzLVbe8Di9vYuWDVMb6jkEpYxhP7vOhxX890NC/HSoL9kXZX3dqA4m6I8y70ZiKcJgYuSmIC
m2Pik/rk5/a3QXFDGeCTJLRteuNVSGLCAPejbQeEIYwmu6pZWZgd2eCcjhg82WHzesIO5UxBcpsS
R/mhnxTDUeKweV1yq00EtyhYyTFpHoUcRoy5T9LQf2gtBjs7L60R7MTt0o0Hg1ohODjgNUn6aIa8
2SY4yK9SQpWf+nlkANRlxXRje5nvAq6zSk4wPU5Xor8JJSV73q/fjUwBEaswLPzQjE76KdJDhxG9
tJIn4RTty1AJQ+UzkgIHIbn4mnkoBID85P2nwBLiSiq/AiWic6ANw6BRNYwimp9avr5up/yCHi9u
LsvfwDyJP/kcbvAMApu8WGaU51vYSv3Hfuyzpzny68+ZM2KhcbpGfdZ1S0soWHuOcmranMhMZ7xu
JnupaUJ6YjjAc4nIDXGX/DORzf6tUTPAP2twnzF/TozgIviSW6NVfkeztf8E9s97GATUb1aooti3
A+rcHducnW+LsCOQG0FBcBhnsaD1WLLw25ROERiQFda/mdTowhwT3cgTSFA20zU9iPeL4zUTFwEU
u5GB8gXp40tFe3xMbOvAh4ZsWOPM1ceKlwMvYKjx0pADu/D6Dc7s7YiyUYwEU2AmYunHi4WCdL6h
t+98G/JSX/aWGe+g6bTjjuhgjEtNOTjVFa9Ock02tKN2uNMJHmti0sJZaBV8tyjqsmGzsEsSZ4Fg
9YXWZFgCLphQjE1Lmb7MRciQXscMmzacbVkLaafpYtvN+DKrPqHpLZZRfu5GOOngyQzfC2mb9XMQ
daSP4F6GluPODIE2DJebfs+EsJS7dO24HfnXHVbpqDflvqzb4ZIYBhNs67xvigNJ3uUjr0xjH0EA
OdnWSfCNki6hx3IbOtJ/z3h0Wv7qWP3v+fW/HZvmy39uI93lX7vu+b8uv7bN1x9PsP/8se8nWCx5
nDQhGXhrbChUAU5D/zrBklYgkDSsPSROstQe/+4kxf8AZMBJzIvWRLG1Y/SvA2xAZ4q5Yxyt7v31
ZPFHzaS3VToHZExFPmUzSjH+vjdnpG7WTZ0s0dlQxfbzXJMdvin1oD+zrrW/qZ7fnvq4FK35NTU0
dLw1ie117dzbhGsrhZzPZ9EeOTShP9HRbw4DP79I6AQc+yKf4/Lri2BHUXrBqiztYNlRlkA0K9iK
fviSf3J+/clNQ+jt09zFs4EQ+81FpsGNFgVNjU+svwScXE+t4463E2a+38STvv04ENtDjCGYNegr
ergRX3+coEEHTSP/rADsjhwirSjlZNn2u19/oJ9fBqcSFsRoRci/vowOxpjkKXmWA/C/H2gCboVo
9OnXF1l/yY/Hce7XOjLgqaaF6RFu8/oiBc7waR69k1+P83EYNWNwtw90ha7YFmezK9VvnDV//1SI
MB0HQEBMSB4+1dcXdPq464bQPVHnI+dqKATWBO79n3+q/8PemWzHbWzb9l9uHx6oi24msmIlkaJI
UR0MkZRQBRAoAkXg698Ede47Iq0jPr/2GfZwwzKdBBKI2LH3WnPxatMUxbpBm+HNiTBQcsIX7RzH
HN2P7bWA3CZo3a5h5nGIKf6db+p3N5HlwgwDpmVEZbx5iUQNvho13bFkEgTpEwFkzvD7imioYu/7
ZX3z56tbF6e3X5rHTeRczS3kyPumVbNw0AEMVR+FnuqvEi3jYzPgG9p6c18jxGhq0sARwZYfZx9F
E5p7Yso3xjx0n80UNlesXW9c8YEiAA1oaT92mKmW21lnyce8Re66Bai8POAsh87b9Fl/HJiXj99K
kXvGNcpvm89GQGW987W9fYWZjrHi0VlcW1C8xWuP/ZfujIqqVRwPjVj33iGIpo5iMoRl5ST5xZ9v
4d+/Mbg2TBJYj1iUaBu8/qSEPd0UuieYRJk7w4GAP3R6/I6yE/0+Q7T5Hy5O65XxMSbdF/RttE5f
f55otYV0u4OTApN3QfB+CMN5OiJLKW//fGV/fzb4JPprWF6RpnlvHS9z0Rd+OrRHf1mWbV+vXA0I
ne808X7zIesyzg7ItsGm8OaLGiDj6iKRR2ema+EGuDvyqbL2f76S3zwNeL1x2tP18FbHy+t7Zju5
YQ0B5A8lYWHPDZ4XWOQosLz2/P/jk/iAdXJjsiitl/vLc+eltF2NmWCbED1GYSljL2VN3sGUOf8o
qZhtw+RrwYfHXzzorLqvP4lzjz0TPH7UNiF6aVWuU/pseGdP/92NA5MUeEyh2N7f2k0RTrUmMvXj
VFM7Twxj0OBb7CP14L5jzvzdc4CemhUPGxetzTeXM1XEgCea2VWUa6B7Th53bhW887Ct3/PrLWq9
EhsVB/tGiNzw9T3zzUW6jiLaKYi+eY3Qlw2dkUvsCv5NbY/62Wrm5uufH4jffiQTe6oIRvZOaL/+
yMxMPXvSxbFc2mx1QNV7c7Kqo9/p+ohgDNy5YVTyneu0Xxy6r6+UgtShY4ofy8Ze+Oa1CoJBkS4p
Dr1vkQw7+pMJSyFH/tHzsk0xJgcEiEpD3Y+GRj04CHkf6QJ6iHYcVJ87ylnzqkG6/AEo+kLYoi+7
M3/2uy8mIvx6G7IEmYwVm4YIIrdP9iOxk+EuK3s0yMRqQK1saV4F131mu1deCYfyYzHKMQfLCCj9
xs/rUDCcxBAfi6UDmhMlKDgZv5Vj9s0rLIC0du4iRqHHjxTfb+3kA13v4kfu0VA6SzS3e9clhrw1
ZqNp9qPdm8RIlNPRXJQNHtZPXJQsk5k6MVAeoi1bbsk2sKrpzMG22G6Q7lSoTKtk3FlROeenUfTh
FTEuyYNPtAc9Rmu0T0hhSOtwvd49zKXSXwRaBRUXogxHfqki/U6cah0nCBtTmPxAo/Zpao3AkDKc
KaFU0MrtIAEvKmuUbHFa4WM7Rk1bQvZpu6jbpigv+VpgSqPnadHQH9ti1FOM3AYIsXADjTQF/Y2N
Bs/DnpcEi/tlNDOcGmWPGCfrdXnVsaiJbeKo5BN2BTxjaZ40e63TEiAm5/5nWsOpAf3WHx/M1GqW
3ZoreNkLhTAIZYx+NnTTWZuk6iFKD1lFQCON2/ZcaQs1lZ4kCrmkrZV/TPUgazLI1lZ2bXiZiBdR
65vB9YcHeALqkd7e0sfSTVH7tEs33hY6kDdZk4B/J9mTUvpIhgoRmMomT3rctLkXXqDLzwtIPFV5
vSDXci7RWyEPzSxLHrpwFtZ2gWsACKe99cnSxPWu2fmaVmFiaL3JnzbN2NO9S2bkSi1v3A0D9pRw
H1U7Z6QIlHfaC5evIq2sy3Ce03sOAHO5c42i5PjdVmhuu4E0ttRXhkMDug2+VDqUQxywr+fbQSsO
NU3QGTgRC6h2PJaqf9Q0l8Z4zqw11IyG0jfKNO+ZRpW24HylGrkqHpvqvKhKXnRMdj2KmmkWP5jw
s7j1QthBXKgq+7bMqbTozXpJ/rkxeu724vl4MycFgy12RVd8oufq0PblWKk4wznY2gYWln6NDsBU
E2ZIzTf0UJbLNLAZ37cVep0mrduZ1CML2V3kdsaBqiiFdTRmxh2srtSKkyHwS5wyrSAto1N62Yfk
3HzNxijndTIHfcDTh1IqI8RebOi3mtb1QnvGjLPQ7+5Rm0l59GfZJbHWIrwTbQXBsc704u4jdxmy
nT+W0Z0ezLmJHRRxtB1T0yV1iJ4HqFQEpJ+bgJ+in2L1zPGCgeFGm2XVUznr/JPIFw+A2MTrftUE
QSVizA7uD6El+Se0YBv+WTWdph3vtQjj+S7SDfMYdL2jU7KgkDWfPPl9nvpbnRXQmE1F1Nq+8Xvb
2eDpKAiQ8TOora605yfiR4jvwC49LrRzbJ0jTkxp6rWZJ6a7eWxcLyKuAOuLsxXESiUXiXaCAep8
hjYVmZiVXfp2r37uw//twPwP/uZfNtS/5Ule5en37tfWy8t//7P1Ynk0UXxoDvQCbJQDq1DnZ+fF
RKZDCYHqi46MjcLH5Fzzv9oB5y9KTSug9bJOJAKXHfl/tQPWX8A8aNbYDpU80IF/FCHJQf5VucGE
mCOBCZUElCWVOmf913t/3rU6T1u5S1Jhj+dVsRCcivGxJJqXQdczQB28Z/2QmMERlOHYbmXfKvPM
qWRiHByL4R3Y3VEzejKiUZwlvAPucxbqvP04UWZemUW2lAdI0/USu1Ob3IsGxxqWsbl+8nBPPvbw
Qi4jVVvhBsgbia8+4Q1ng9nJ9HFi3JFeGLa1nIW2kgdqzWTP+XMMzrVZm4SnIcGdsQMS+g4zncFN
EZ2wATXdpVbd2B89OvKfu7rzx43Az0UTtCAVbbf0Gb5mD1Lw8kPDTgwu/FGzCZZQDI9h4QfFroEV
mu5mvzDwNBGm65oHDbSmY/nyiAACZUyK+B7/6OgyfBhkGKDfnWpysZmBKWfHazcndNttQj6Epx3n
ypdIMbfJOLAIk4GYMQpZxg4/YQB6/XlAIn3flnpigdQJuTiaKdF+GMeRRpUfjjfwA+mfmq1mPGCi
Gv9YDr0HQBCt+sUaA9rFs9223aYZclw+yjSHhsyUniDporFvWH2qvWJcec7Wl2BB1OKLtgwnIBQ9
Kq6UNkJz6zDOeZKjW05bNdfZp6hviNGYiePdgD8Z4wov09fKSdd6ivzePLYkOesbs+m6U9Ia5OWU
kY34P9OgDUn2Stwr4kL7hugSx7FitxgerGlS/XZE4tzb2bQrNfPFnO0WFwcFbt64zZNrRzi9OoTR
FoPd+otGfntceL8IxJqD5Q6Yv/fMaCiytjUwQbnLQwLC9pDBrWFLZYSn1crsT0RVjybsLCmX5Mjk
g3uFoF/B1XUwGd2yMDIE9OiaopFvu7kkU0RO4UXtqpDNYWBnc5IDdP7e+QarooqsDVCzfrlifFTq
fUdgNkLwnMPclWEvFrVT35Zyb/auvF20VwA776IYmOrFKOfLJVI/Bon9P2qQ02sCuDeZyE/pKPS2
Nkig73KyzMw2Urs5JBOrnwgHzET9WHjMpDscTmG65t6DlAehGIRPE1VG7Mw2aaJoqjcW0vdjOaEv
7rz5kNoN/tRMjEdk5PgZ2UiVMO9KN3EO0lWYVKey3AjdiIPZDhdzE8XWhHtLcc1HVCioioO7xHR2
ss6PfUhKG/hmpuya+EDCGcgNXMznfq6/LNp/bH0wkAD8ltnHuz254fdFuM8GVl0gRx8NBAOfatxT
W3da+k0umc/NJLIRU2fHjsauqwvKMxCDz9joMHzQWAK8OKVoQ8y49JBmh4OFM2cu1oCLniqAHMZF
TfnjyPd9PidIq6v0IurhM3L6s4mKSe+VTM+iKP3qtsGnabXoTyjtI08lMZHrIZFUA/t0kT40WXXN
IewEecw5FlZBuNzQnS0B/H3VGB/SDEpTIu4pW6i0iRqPcTxN2EHN5HNpVf5N3zSfvWZ6MCr1AVEB
0zd1DuRSrATLyzmR1WdW9RavrJI//IJ5kZxkuoVvwGIxB7M+mxr/ppgYR4lxlDt83uzPKTZVIcim
6oRr7+ylYuqT1x6RqOayzqDY9ZN5tLddI/I9wfCocu2hORZCfWVaPe4Lz3/G419etpC6ruqoIypo
hAI7Mi8kOSO6YNbKHaEAIx6N04RZkzXUDB4eDOteTOae7GxzE2Vuea0idQRBh1lOeqeeOINiTh4y
332sI8LXmwL/l3DnezWTaVLNIILTxfR2lGLZJXPAbVuqZEdeaHFMR+QHMAbiAS3BGcwGtCm5c+kQ
836eAq44GwK8fAwgm51fjudh2X8KBmTqRsES0hBHMgTLE339G1JP2jN/FN1hCqYvhMFUnzrpzFsx
EV44mTjZcmXbRytRR9sa56twxV6iP8AXappx7rQXanZ3CqfljoS34iGfnAPu4MdqGtzbcXI/iIpz
gcJBTExHtStaKzpWWR7GmUJ86U3d534eniufaMkyP68bZB6tHu4q6Tz0IQZZFhvjaoaitOGRE1vw
v9d0EWfk8PNnxYR9T1f6zJyWS7ku9JM4BMR94k3He1zCFMl4o9DwJQcSow7lYFG2Zv1eyZG0BOJJ
JIWd0AZPZ2vgOxufpVmd6bS9cqz21C+mcRpr95r1rboKFq5Zhcyji5yqz/OaZywTnz2z/mH3+swn
eUOjHgcJKi+wRkaHDsHdfqmNawbCxAdFHe/6bJyq1j3j2KIes3HaNQlSGhhp6ZZxPAATTM0YFNsn
KfXHSoRymzbqKTNJFsrJSzt3u9xgUEqkiertfWmmN8sQQSUBaF6N0TMJgfB7hXstC+/Mn4JLaMIF
hqIwCSuSii30M4Qz2oLlDkiZan+YyixvleRh3JAhJ013U4wm30DEkHvvyAUHm8QRKAE3zwpfSBY4
/TbK1GLduURW7zkJKcxHGTjAJocnrNr5KXAwx+YbTI9WV8MzfiGKpYEzNHG0hPm6j03QC4JbALrl
dKGqtjjR7a8MD+fcQOLdtR1WEiO7abDjyB82TTxZnVqWDCJxGGlliFISvHNrlxyTQlzwy/ZUTjg3
bNx9BOh9dc1WzcGOfOY5tA6zWUbCPjikV3jFIXEo+etDj2nSOGRpXx9xs4/2Z748W45wXQ3zzMRr
9XHW7Xzd97n5CJTYxnjLXmFjiRoR3XzqAq+U3jEwGLJvqmp09i16odS7L6dawJJNyxmPS+3yDF1z
3stsYycNZzLVyS1kineYndfjrLsUVdHEBmejtPqSaBs5UijlZ5OOhTA+5GaX99YJ1TKBerWY1piJ
QpHGysbn2fWiJHGdrtvOF+Q7hhC+k7zN3Bu6yBizcq8inaY00rY4NAJnPQG76dQfbOjMZIoASxND
LBKn07TJzaEFs2UJr2pjHNABME4wMbVH2gXeG2sXSgeCjldWjkfAm+DsRq+CjeYqwyfTf+wTxvxU
hFTX1xpPZLB1+rY6zArj6Zb2aJ8/1Fb3VbER5J+ttJfBp9kqVHpiUortM2daVuwooT52xlCwn5AJ
HnT7pFPQK3pyhOIKUQ7O/Slfpmy1vWcNENxDj1YBKh4nX+y9dUeqynfkZjr/OJXhrL4oiXLklIwg
f+IM91uBGoyb7ro5mgoaClj6wtRz/f3YG1PxYQlXMtIu77ow2Ct0sgT8wAY7lBMRT5xRx2K+ryu7
v0kqLw02KW02emZtwyE6H6PWvcrGGaRLLnQ+HepZmCCfo0Lh3xOGf0wi0Qb0KszC5PV2rRhYSFXt
jCpiA0WQhHVuTCIibzMqmpg3varixokQQIIrtSPCzVswGS2qVwx/mf7Q6bQGcIQVW5ysprbdu2zC
04hup0Pb26BUinZzkEnJTVuTtFIHAcUkUfq3elGkPhr09XBD4I7Gc7npw1KcVcru94On1aGbm+Xe
TpzmYRAFfnQ2LEGDbzf3nn2YyiKpN4mR9rjRqwE9/6xOUUHkLacD42KOAnlibuVelOMwHRd3JqOq
D9obKVjtPG0MHtGRU6y43WfMGYILeMn2McCefGaGLFtcpbGLMjAMOGeJEJVJXx59Yt/OIbyX56Eg
nI9cpH7v5L687QXhkr0ZCrLHGvcSKJL4htprOAOXUtwVc2BeGEPa/ag1oUabgBr/u0iIfesadJgb
M4DGHw6gMlZpU3CPORHpbCdkLNOwtfaWDAdKntzeZ0GFFiPywqcwLxs0jWuaZJF0175DiSWs6pEd
5bEB17vpB5FsIZ6HH1vLLx85rQJI6gy1Ie+rOM6zhGXTs0ueuhxjsZfpR1C706krK330uqjItyCR
0PcNM8G6KUuikZb+CWebudftGAKgqL+w4Yitq+fmCxnb6S7CP7utmiS7a8yK0FShzqOhV7GDFnOj
yoaDSTD41p7Ob4pedHTG+2iN7yCZJogzDk/bUPvucW7V9z5s030Pneh6mtqPVT1WF+TTQT6bnGBb
huzi5SLgv1RByVGsiuzYnlr385wPn5PJzU6F6Rq7sPL3bkqutExHf5c2pnVmpVgwijbPnyoSGA5J
UMnLqiZw0hqsgny0HiRNSj/Snkj0m9yxuedKKE51NIwHWY2aM2Thn4LEWq6mqm9OQ9IFXPg4w5EB
7s+VqPLnEOm/PRh6MHQm/rMK5qUH88bCsf7Ev7owLjHy+CEjx4xgQtrrUOVnF8bmD0L+LYhFl9wO
phD/twljOX9hqlgpnPgLyahY7Vf/asK4yGmwWOHgIOceBTY/9Q8MHCAP3zRhTAeVICs3n4eY429q
+UD0NofjhFNAkTfzQZszpQxBDGZ0WoSpQ04rKSSUeczL7HJQgeJFUZjgT5zvQogSjY8Ha7b97jYg
xYdlrpzS6UMkvSyl6iZTjCy1oTXDs0ZZcEY2LooFIfmJ0sTH33OkpRVrGvm+tIOuOAbaLbxtYxbS
v3RrzqJbncqVaUev1dtUytDWRvqDon05FwSsQ7ojn9HHDjNvgA6XmLH60rl0vcz4Crzep1wbqM0p
QgN96fYczMoiB8nkVAjUCU+tGv5/lQuGwZ1KVvwyTIPm6Boqq4idwBW2LRKbVcaZighujj/TMs2K
YCJVPM9aZ++MPgdQbF+N3Bpt6eujW7viSxSU9pWbudLakZudfugWFX3LrND7IlMVPjeJzWij1zjT
MN0iZUMgOlj+l8TmI+9Tq1Xgotxpri61LaLqbBpLor9ryV4fDx5M4ZPLUEF+cpbCV/HSLJO9I/Aq
6rcBBcmyM8cMbWDhDSGo/x4XridBCl9iJB4uIvKPZ75DQ1AakZe1nIk2afsPPZWJOGH4DQk99O3y
nGkxkViyn+YvdZqEAyt6mOEyH+c6ucOXOrp7srOz6tgnWeeQmEfW3q7N+/aR4R1znaUNg6fMr2k1
J7pL+3X+kl2JzjbGLSkkwa7PB+2RXhd4T9DaZEd9mlN1rZhWexs1pb1soIBjdA/DtDsvPI/UAMvn
Z/ahk7SE1Vce6cam9ke0rEPFkjtb/F4Hr/dnUgVBORyVNIznbDRyjv5Tnp9bSZ/dGCrvf1jk4ioE
2OSj9qAzt0KFzCBIhck/DRPNB+4QfgohrJksk6VD5+EvtnNvyxmLQ+maAFcCQo4Z7IyFvRkLBlxU
2Vg+NqOAQMfhYeoRQc7V/IUEJwcVbjvUT7YyGP3RRLcqjALect0KH531bJHovrcdyRhZ1CPHeUgy
3ffMrpKnBG7VhwAp1mNucszYk8hKhVMN2LJgB/DqbAIRBOOhma1gp+s2yWOSHqv7xEyGZsPxyoFO
ONfLN9fwmg+j461eeLpOkAtHGarYBC8QbQhcgZpM/mQhz2zVAbvMyUbIt6nXo+I0E5SrGztfsNWg
wUrWxEk3OEBks2FkhACDeICrpv8UMV4jrCo1ph+jssuPLW0+kCddaT63Lar9PVs0qRX9WIRfEJ77
18pXEQi0QFDTNVYAd0w4Sp4y4EIfWs5ZZKcKjPa8bUEBZU6F6XfOkAwTvQ7SM384wdQhtQHSrues
p8NknsXnKUuRYTt2BkO4kCJ9GIr1m4lEkbsbozM7Un6HZSQvpku9h2DSpNpNVpt8yZyQ8BXXStvL
KCyqz6bNJzJTLPQd8ddO9mGs+s7nKfSH8qabXcY6jmn4ZZxQbx1dO2unw2r6UruUgCSxg0yBf2Fo
GffFbVOQmg64icTmoDJKDo9JxVdZDgB4NwZu+Qa2zOxWGGNUs+xRUiO0TWW5XmGEfDs2XDlyHiKr
57IHwuNuSEmOKAqWsElQWzmJv9dAZh4MM5APlUvux2aajAbeCl4oqsg5B3krhpBzqxhSBTmD8/AH
0dfTYw9V8bwhEJ2YnQhDKB03hv0xuSRkgkWagEZ/tt2EqI7Mt3bNvIwyHsGP4iTldas3jkNjbJu4
g1NjQg2LaRcETZN9IFUpo1obSrTOdpDe5G2FYRaw6LCv7ZYluXXZfEgSNSraXG1fXSaLX8tzFPpM
nlpdpPDh2IKGTbl4RbWnplLRDkVbjemw5cEY8nSuaUpEwQ368wSzBLQVPxaK7Y7nec4f8tzMh23X
r0HWES/arev6pNEvHG/Pksq2+l0J1QC0k9vQS2IxNek5m3Tj8L8SzLVRtNjofFrC4MBHeHiP7Nmu
7vI+S+o4UKYH04h/wJqZzebOzmUEIGwoVx9AbhLrLurKe8hUhnZRuWM5xOkcqLOlTEwO+EHgPs9R
jguCrb54IJvGN+uTO/XeNN0lWBxssoiyznoGpVNfDctC+AkzieAEmYpYmYSB4YqXEFfe7HufbSNf
HsRgd0+ZwUpIzKr0n8GzYbnT0jTvZgn5HdlhJ3+4qZcBCQnkOcqE5Wtu2cNlBKdObrJEOmQ+A8aU
MecAmmlEals3ml7GPcZjDsdVIMtoM/HTX5LWmUj0iezlpqQS/1EaajxjupQzGQRJd5hEgYciI8Li
g2tXOVUtuiBvM3aEKm6wkklyF7LROnlDwDNDVjLx3gsvTb4GJ48AD/PRvy3pNNDh7FbluEhchdWq
SJshducOcfnoleZlJlriMGajDFHTN45LkjknVFwQa3+8f+mV08egb0720KQJNfvZV3dLcti/MWVQ
GT+4KNq69Our+eOyVB69eNufhvAiJROnvPBTYyQmgpUzqW99AcY2nsLC5Rkocb4eh5KFZdpEaWXC
9zCQxV530JosiF+dIOPoZYpQ+g4oEY474rxWGSOdYCmspyBMp+nZQo/QXjC8J4+TpZfpBgRLJh0o
TBKHwCKHebnQmfNI2moxbR1TV+u83CfVOYaGyuRlmZWZnHoQTdm9vyiIPr2BLP5W6bGWNDAK2qGQ
VlKGQOT42NaWuT5DhOhlUpTBi02+0iPpnR0jc6ZJ8udoafw5aJI/x07dywyqLSHzYnJD8HrQPwdV
YwSugviwsHLDiyhXif6hIhpKVz0LBJYepwq7S6wcsrtMXoZlWUSsl7erKC2Yoy0vQ7VsaoYAsFQB
EtRdUglsDutL+iix8kc0QmeTr6nwKrWFVccvamdDAhkxGVxnplGUEnQ6zGoQZ+nLYJDMSKIV1l6L
cSDbh+EhkUgMEk3Ns3sUzI38ffsyceQxZfroLH5u3fUmrNlD2gZUwjzI3vw5HAvknrVHxvVqAQO1
jJbDsr5AVp3tQxUOyQ9zQFd8qCGjalYJyFibKjE5UNoLD3OsCDeCltaOgTrWoiv1acV/D1ttYgXe
+h0oqg8FC484zwp7+G5QRaPDSIKvAbrdYG/B2EIa1PU9zblwjPRuqvPaJnLXwp0hPT/1YroDechN
G+VVE9IJ2unBMput9L2UOSYXRtKZ4Vh6E1Jpz5uuCdpH1oR82HtjH/KoW2bublNnGsMPiigU1Cih
cOTOpehoDwObPO3TxIZyiTPU/NE6ZkkBH+U15TfqLWfnDzaARFlnJcZNK5gFxceoxIHKwF1nlzO9
EUK/smbTsG9+dqMc3yavanvLYCjP9gPDS2/bTeilthWSDH/XBHmxjg+zH7XtFyWKAvjDG7ZIfa7o
B4OApKJWa0AtOZmy65lv9S3amU0XVX54ZmUpt7gLzOzesJqVCOUTtYGbsCsqwu6wTW3GtjSzj87Q
pcOp9iRQzBEgnzx3J0EwACpdLbfLZBS0PifZcKZn+wbtO6DLvGznDsGYFGFrn5eR1LTvHKJ/d4Dl
CNMrYMUatCv5Fhgu+CXBY3IBUk7nvxZMUdssYTtAIb0pGl0PW/qNOoinIqM5b/bR9DQai6CI7jP5
PW1wBe1aRrPFYyMaV2N/InLI2uk+b5Z48a1eLttWBkDnaagqv0NFMqphbpHJBI017jl1RB7aEC+1
YaPVs2MkO60dZW8r2J7RZ59NNNmXwA7Nm6zTiXftdcDL1NYO4OYRLk7t797KmQAtCoSuqdTyU5P3
3/bB/9gmp/f/3D749F0/Zd+F+N7/quN4+aGfHQTP/wuNRhjCg0SrjeEKHcXPDoLLn3B+h/Gwailw
yvy7g2A4f6H4WJNvcctYaDlWNsO/WghrTJZtutD6PUzM3gun5R/0EF6LYEPsOah5rRVjj7HF/Btn
oNZDZyeRDftBuMaeBEgE78nkxACRop8Pyf8rk//nRwW+R0HM3771Rj5cuxMUMTukYIQxHGPsZAHh
9LP55f7/xt/yWpeyXhCBY5BvULjYdETexlK1stVj3gqDKbJTYYzr3V1N2XD4x59COg6qnMjz6MC8
5RwNJteQiI6ikM3oWOFF3/aqz3925f7jHbNWi8y/la4vF4NvATIWUB5E5M4bgwbxKiucjzI0DPQz
E3dgYZuZ/AvAmoBjkEYvwVlTsXxqceENCTw2M0akEEuzoz4bN4v8aDfmZbBkn/58/a+Vv+svBpiC
5FumjvZqDVgbU79IwVXWeyRlErBXVFaybVX1SaYepEx6DKAhXI1oFEPhnz/z5QF5fTciNBx0ziJs
WIip3zxAY4bWNSkS8Ah1EZ5mOksnZdqYaGeYtJQuTTz57bQLQe+fSGI2t51FcH3mzwffIaEs84t2
k3pIhv/8e9l/f4cikBmUI7aDiYab8vpmdJOtSditcw4LhtbIRzU0Acs24qAYpL8ZXqDR1EvGDX61
jwNM242JovI+LJAAm3DlLkB7dAcSgwB1kjT53cjTFOmwk+b2hkzU9OuA8/48dKnTR5sOTmwkjMUL
I3d3CWfJaksWu129c7v//iJxVQEaM75kSBjmm6ua/EBN/WxmAMSXees4OQjH1J3iP9+8Vfr+5jsl
0Af4DCcHJF5v+WVLiXbIy51sa6Du3AmiyOIlrfy4kU67tcviPZX8774rHkwsGXAw+MbePLjMxNom
mD3eqIwZ9NSOaIErrD1avwsR+d0NpEUM6JNln8XCefNYCF2aTWtl2wDU1QYZ/ch7a9fvPX2rJ+bN
HcT1gU6Q1jJflbv++S+vooXEPStM7uDiRvVVPpnzh4B+wK4E+nxQTWDuTSt39sOAz1cwkIYRadlg
HadsM12OyY7j3XRqyk8qQwqaaVV9zKpoZsRleEcUFl9JScqZbhgD4Plk2dmh3Z979WzuRIELbkzb
ZgsE0T+FUSLeWf/+vvytiTRsS+gWeUDcNy+8OZZyHkClbhUBt1hAwn5rozCMA+bcW4yMPk2VAUFF
n//jrYoPXvWXuBowvb71FNqd4/ccITIUaU52jFowDgxs5TvP/m8WUbZdLAzE4ZA59ZYyA1FBdLW9
inmx3rJfEXW2zHjJ6zHytxx0s33CgvbOh/7unq7kQxPKIqjFt3mUjafMke0x21aZW21xhpcXBl3J
TwLs8bHLrfx+ACi0D4P6vcDI37wP7MuUGExUeB3WVPRfH9SSd2SZNL0FzRkX5b5B0z/gRPLnBeU3
L3jEtohdl02CIurNCx4qV6yaWRZjTEbb0rbnY9CamhhmI33n8XyBMP366lG/YVBaI6JcnhEshq+v
yNYZBYhq3E3ZWV8p8+NsmGP87xBOO+JLfNl/QjnS742wyT/qrr7NaHmiyA7tQw1hFom/M5zo/0TY
H+rip6z6PxYPb2/3z18uWH10aIFZHV7/clHittiZ+eWWwcuuJ3oilwnN13felDcmS1bul3vw7495
863i9w/pViCpqTNOthYnJhpGDZSfRS+PpZlkp95L+gtTjvq2FRxM5UBEcD5kw3U+ay9WXfI0Rxiq
8xw6ZhdZw97Q1QMfHO6CcEqvCT6A/BAU1c5hyLOvCtQE1hB9//Nj80I7e/1dutTB9rpW8+qju359
u1iYtUDaQrOauI0wytvn2RfRHS9ujv4rGB5VUhORXTD6kqiFmHNNvUVffWBSvZo/xUOjjNQCpYCh
Fw4SImB4UQFiLckIR8DPMWnjeVa7HSJFPFqZTwAjLHdEbgXwULgxPBAI8gNmli1InveS7V62mzcX
aEc2Zn12Ctbsdcj56+vXLkk1BUytmKlZnPRzOT1wWWI351l0RtWBv4DuxBb/R7fjgDPd5KQv5FHt
75LK2Fa9576zEr3d+tdTzOqII12Gp5MZ6+tfqCfPJypdFG8JGNo74Tk/4EdDz0BftPNdod/5uLeo
VJ5UiKRcuYuLC/fY20UdhL5LGzlCYTfN23m0LkoGAdsBKvAWXUR3KNdR5dKTZ9GFbUloGJl2TjS/
81raa930+nvglWDRp35l9cUQ+PqydVh264kiZMJREVFjlumtGogloNweLoYMuTsoE+/SFr08NxaF
nj4i7gXqCSkwM7lfqKitb41dsXw0VXmGEF9thOFGt2M5trHy3O+OHb3jA367qHIMZQBO6C5GU174
t1Z+y5MEUSWKMVqnYdrXxhP4t2lTvo/X++0necS4B5AdOPa8qWYUaRrd2E4GzsH6Bwz+8VA03YIY
zzTeeR7e7r5cE9N5dC9sFzwYL1X9L3WTphNjIUJh8Nda3vHracb7v5fVNMVzDhD5z8vL3551ZgFg
Mnj81kqaAOPXX7q1ZENLE4pKpl/sg5shpI2EeyCjCAXL/2HvTJrjRrYs/VfKat14hsExmVUvOgIx
MjgEB3HYwESKxDw5Bgfw6/sD81WXxMxK9Vu2WecuTRKDATgc1+895zu/Oyj9+ZthG0S1gJqM+/Un
fyQGPIb7is0qdJiTQPau5AZRfbPSc1ueM9KQLow4S3/zJvg8Wf+ysHnAeMQ4D7v4N7CD/vodAUnp
XQfoFGRRG3h6fz8U4yWugFUq/Ys0UcfMFTtaZCfqut88VH9aNTxOYPoczqU0NFzny1klZxY/+Uy3
1lY8ADoP63CdovSi8iYm4+/v5J8uLh+FL8e2BR9J6+QLVCANSS8jUYn6IipJ3oHdv4rH2t2Udash
7kGyq+qm+12lsVQtv15bLP+L1WZBrtiAe3+9toMpC1R/hIAkHMp2DWK1ABtpdGyUikiXpZlc+ms3
terrOurEiYjB7tqIev8go9+Ruv+8j+Jh5hrw7ekXudbXB8dLhmYeuYfrEWlpYLrtSAxA0+srp1cE
GIVuvasRI17XzpakICIoynHV6f3l39+HP7/PoPz7bEcClAzL/GvEI6QKobdoONca1fUNW0mNOa2u
oLpDT7H86Edmy3AXS5WQnjQa105I4BpMpwnpsma/jYW1+/yN/n8T9N+pGn66OX/ysd1VSHb+7X99
yOTt+69tUP7ZH21Qy/sHBw6OOJjGUCp9Njv/aIMazj8ENn9OW0vrjgf7n1Y2zTT/YQAf4hlDnw+w
zqfA/c8eKL1TQsvpT7CXsgKXH/cv9EB5mS1P7X89XxzAFjcd/BjqEbo4bNC/Pl8iaekWDCYKV8eA
bortFLc2r2AX+KHb9c/mKEghG7SydU+wFGesx1aD7HQVorEgHB5Unjg5Rd8UgazlWK05MUwaSiXS
6a8EGi3vrBoWpY/9tovC20wIOZzKFOPBxtJrX+7nwkl3mS0ImYF1ZnToNMs+JiXJEWq4c2YdW8Fq
Ip4EmRDGIQbRXTO133NI24roqMKMDC9gpBWdCWGax8D2eVW/6G3WET/l862jXZaO2K6R9oCdvIYd
PsK3JjgHj7iSJB0R4FI7LgZjwfF/9KY5vy6qAscEgRFeeqebmp3hW5/r4pXJpHvGBufoZ7unoj46
FSDEwBorlJCmMRbDthjqptrngxy8e4ZDld0G6HOR7PoD0vHXIurqdN957NpUvh2WF1JukBdfDlUn
cfgMs4vmC02enc5BV/Ait5moziq6MjzyO5I1X6+anu3O1+YjHo6ufrc8gmvx3Q9Vm5DWWWUNSvxi
cREIdMch8LqpbM19FjdGdq6NOJUvse0m7VXiaASiWU6tsC3UVup9eEhK+70BGrx9JzXIIB5stLJE
6IhflKWZQa57eHGD3MGC3axjSRE9Bp0zVzPWKW7Jx6ijDQqScsa8E1ZGxW1rCk6RbIVG7UfXpRL0
L9YEpzpsV93ALDL+tDwkXAiyesiVagqZt9cYeirravChuD1pHB0ImxmRoI7ALnNGRy9iNNrwaTbj
sfnWdKqqbtym3GCza3b4E+4txggXmbKyb6ilukOkfHBtmYuY1ql/GFUWjmttGAAfEDIXRjieloV7
jrOMPEdnjIK4UjQ/yOHUiF6KopELgUbnJoUlaD1aMDf758bMcnVhm7Jb0U6hAUVGKfzRJQhG9Gib
+6G0R/zgfgGSsyqxQeMN2IJ4nc+h1tWYypjNE1mGAmOxNLKMLT/OVy0xkYRAGEyd1z6IzueGLnt6
8G2CGMt14atEJ60xk/qNAvQahesIoKMMdCdJHGTgdRfSZ8WUbZdvQHTCxVE0ZrZ5hdWzmq9zE4na
o8v4+jnLJ3PTCA2dSdVNvBYqZuZbHq6QGI7KpABF3ANN02xwJsEnRV2Ux9I50larwMHqcuhutX/m
j3QxpuuVjlttuOuySmhPyTC1w+tU+L764aFh9A66gwkEU2yukstmqivzQ+o6FkAIhUmIn6UBQQhg
oYfTN1p93l3Llmi8/ay1xS0jIUapHTgRjtmyIclknloMNX0rdYSDLgdL4Q4FSNJJq561IW7iIAVt
SkRXz65xVZPMjsLDQUk1+1zPlcJ8hH0+y7y9WzJvxNfuYh2oCnKzfABR/ibygP2Yfk/Uney19JRN
6DtXRoZS8yKcu2Led0YlYsZGTI9Xeh15mM9UVTwxNUdwOFEhXWiWHG6qCbosKIHU6dH5CAD7uWWX
T71ZzO9hJZwLw0nmNURy9aMyPWJfK+XcFrH3NIf2dBtyALUOCV8aBR+Ovq0y22xXZBrnU33G1jY2
bJ38Ipq3ml29OrhNYuzmCvdRApAD3YvWts+jj9IG0qaWvDHm0h6haEbXHT8TiUabbPLJmm5t6B27
GoDargn76VSaOeiEtFDntsws8xi67Qftyk6uwqQUUAvn+pmU3uoBYalHP58omI/BNHKwxoiEyQYF
1innxFXkuXTGPaKWGfhUORDA0Vnuk5ubhBWMPTFCycTYXHbkqh17R7rrMPHsb8JBqrODSoB0tcix
9JmVmZ2QJLhxMBBqfB0Tr7zBoeplGwM5ILm7rTW+93J46LAvk12lhvJJlHpzz8OPIMkQGgGVBRo2
DDee+OGRjHmVtGjcPLuMAqs0p0skwuGLiuPZOOVVp5iK58BiPRP3iNuk7pnLPB6cws9e2rrHALS4
B7aDx5dalZEuZBABEk3WI/PPddkYRr2vTYAKivd8hJfCdJqdOwhxm2uew4boxk/AoIfLaEDqAflX
3ONek88ocnrUEw7ozdFNbmsBqmGJ5toPrnYEiYv81qrv9WxsrpTwVXg9tVq2lymACqsu1LBW0kZs
QIOK/+/2idmZixpSNvt+KrGiK91+kEbyKpq6PBpjdEL2hR4sV3b3zahrrIYU5Jeu6K+zycvva1BR
AQnaxMPKmXjSqiIrLglPXWU6a7vv5LnPUR+AiqMKIDi9eE6IwT0y+9Bu0QdkJEVX1bUeZnFgYld6
9pNB7pqCgGMUaNpHPpv6uMaViyy21ipxBlbdZId6qsbVtDSt1sQKRltNT5NTPvcfUZJek2d8KJsm
fA4N88ZVuB9F02ibNJHisdHgvlpJfUVG/aU0mv6AmwhfnVYV+geMnGJFyCpWu1ZfG42Iv2majuQV
rwsZ4uLgRwOVQtseG5/GVaEviY6W0Ks1wgkY4P6swvsRoTje3xmzfwg7y3EBMNZFv/OztLoAGb0t
S7QxRBLldn2oTZnhyal1piBJd122YrygvvH2bKj+qZhTbVcUkf2NCkhzXpoKSjIduIm8bj0vm9ss
Z8RB2GQzB6gpka0wCOweCZvTwwDzjA+k2avaAosuwtk6cCMJSQQ6eEYAdERBcmvMunKfIUUOrzGm
DdSRUzztk7QvA9U5ekC80kcd9QkW7V4r3jNe91de7zzmFW7PQsbszyRoMoTQi3UfMh24sOoh2YeQ
PYJBJ0d0xVSJDYYRD0nlenOZo2cjhCqpt67foZqcFqt4PXnosQdt2qSaZe8qy+rpxcV5BM+/67+N
qEO1AzADtu3eiFyHJOIE7ZErp+mNZOdFQEM4SnctRNjskHI0sBBKc1MlCFVnQ+UviEwLm6hd09+m
rdtu0knUmKbrazNNEcMKzw3X4DGjQGvyCS6MIYpT2DFnrKKUOD41n+xQ4Ysp6rI8ISUB7UzC3q4y
B+hijuYaW81QwybMNM1cUSrnEKBbdtEVmedqO84mybADE00rJAELKjL9Z46g6oefZuVdmSXls5fZ
2dMEXhkBVtzdjoS+0y9152aLJ9N79GTb7YchK7djX/2YC1eHGSTzgOQz77I2yuKyclS7RSif/yiU
ae169Nz7OFMAeXxkn2ZlFdcShlBgO2kftFGb3OLPLddtrBkMVIrigenBfKQ/ZzzGbv0A9SWnJvb0
HdDc4R0MIvHquftesQR2yOdwgtpIwuuYKEtabLcUBy2v0ITpSYNNasFOeDcmQvlDOrvRpWRaQCU3
Rrxh9fAS3uV7ktspPcakw9ePi/GWTPDKOratUwQtncdHYRUaOig93w1VHr8iX3Vg+3kLat80sgec
XPlOtChIK8zGL+jbc1I/CzwTHD0QauG2dXcdjKQIoM8UXwsl8YUbKa6lEFFWht80Q6nPIQ+1Yz8O
am2n5keZkK+dE/XXIkTX3Y1yC1PSlXYN5NkZWi7cDDnRwLVymA7OlAolNtOAeHZBynshCZMuPHjd
WJlC7choB4V3CINg13ah+VCk5AiwIkn/qzyCExENm+JJM6X9ASAhf0WJpi4TFOEE5gn5Mpn0UmYU
keTlpTp4esbp9XfEM8URvFeVBxB39E1EYydoNNkM5yInhJxx/xxRw7U3OV6qK9pNcgfRyd8UedHd
uliNrzp0ubjmStreGH/J1yMkV616s8dPmWN5ORLciFYihxqC90+6pRuMXdrjgUfJt+7rol0bI9l9
2AiZFHt4Mu1AmHkehG48n2jjuvolsB5GP+VkSr7NRDsO6YXFqY/Fqq4I+cvux1mxTWko0uqLEfT1
PmY0c9ugL9vjlBPpcZCJC3vDFu2DqmkCrQglM9ZTK7BY9C5UihXgEWN87NvpkslShXJUg5BBUa3H
+ykurQ01i31jhYO2Y0jvvMFl0yEAZVV/A8gzP4gpS09w46NXty289hDpkeluMnwbGyXsiTjsyWGT
ykBqrBM/xTBYpbmcL+wKFxCa42TY+m6fPZO9StWXYxiKxpansKJQXMWurX8IryuQdofpQWNXe4yw
OL8OpMdtQNIPT7Jqy+te+AWSV9msGMMUvH+6WLvuife79tjSxTo0K/+RUdBSsmJZWE+cBa61CvoC
ph17k2LVQ9BN6/EqsTL3igRs9d2ghsSQ7oi3oWKmsS5TW8cPhZ7iOted4SDDRpwIcynvS88vnxHr
Uj/Xgnb6aqy7+raufSBbJJwDhun0Fwd7xqZMQ+egd1LDUsLY5Ieg5RcYRajuPEuqM2GLxDJiCps6
0Cl2xGNpJ5ueGdiuggnFTtH4D9gzOP1D6N4L9JiPIvPklhVRv9h6DzBWhNnbVLrpqQEBd+zaSu1q
bRIrReDDsXG8eQpwCj3GhhEeZDdMd1Oope9Oh80YT0h/0VQsx17vwjd8GO2qs9v4yoG4couh2uRl
k/SImTkdnWPTz1lkY/u98mv/nGAs2Zqj324cwzvYjg4zBAzGsfRtnDEel2Bdlnlz54kifOkwqF6a
tN+PjKqSU0ys8HJOI1XOZiVrpr3PwzJk/8CThWCgsK0XcjmLC0dr6xMiYGPTWNVdO1OpoMA3qq1v
pXDp2b6BfzXplCAwDxP8kn2+Jr7YxmWsZP5NzK2y1tHMS9ktMai6BWdAtu/COPuR2T6WDcaHtVNN
iqq9jzKxNsJo5l8oxz9HkUNTPeU8RohFGXOYpltCJU2w9Gr0dGffUSqVq25psgZEKQzfG1mJp35s
1UMNQt5eixHJ1yZqDO+bUc4Cn1k6+gcs+7V/QU58kr7OIBZ9oiwp7JVfZNZBiKyB0MDBrt1RH//I
28ENQr1VN2AVcAgNjfehe+nw3Ca53pJ06/XpdWXY9I88qnt91eUTlt0pfO0aR5vuCw2aH8aApFxl
jYoeNVnWx4w6lljjLtw1yehoa6Tuun2wbHLA1rqMpr0apS1Qs9gJ4zqGOEVgRpOz8VImz0fNFljt
FEOIU9mXerqBwOdnOzlb1tYPsSAnVWP/cCK92YVZhZo/NQdehND61Vq5Ia1tLdffHeD8AcYec4P5
mT9pkdZnEHTSWW0ksl9xqB2Fex+f83SikdMB74ia4r7ibZmj2h00bK66gQgXZczDKEVC7gOK2/08
2hOtES83vvWdYR97eAHrhLNkIHulveltgb5lwp5SzNZ4B+pMMEUYLdxzoOZGfP1XGoy9s5HP5c5U
sJE8WbqXvSbGO7crsyu+JkcvrcieHfZ6jI5EgeMqKfDY4wUwL7Rqpo8+wBPgnZoSkOj50Wa2p+my
6ZDmEknNtrKu0iTZ2pVMbx3w/UhkSpS98SRMfc0hK79xCJRs1/BbbP3ScEPagJlRTATU6wRZHPs5
nvVbmfsDTbYGCsAFrQ2+YZaYuD2Ssbf7FcWDZt3Juq2iG1B1OH83LCtF6r2Zwap7F8Xcl699RPDH
lv52A4G68yRBDdIh3v0brhrHw8yQxWmPzDIbw6cOHyE0y6Fx4G6ZxRD3MN44qUe7PHUz+6bl+C0O
mKSybp0OiqNL5ys/vIhhhs4bD1m58x53tnvCUeF9qJQQjpfRA+KHea9jZ9pgUXTkaQgL94azgiCN
w1dOtxJTmrQHUXmpt437KvQuyWAdwzNRVmG1zTknqMOs2CW3M149FAHRQmda3PvEwMNpxB2FhTAB
x5AOa8PlLDuu6lSQtjHZZmhg63L5cxxxurXkoNT5PjXg82z4bBJKsFMam6gfOsTgcUcsUMF75rZR
oO+2SYYzb6fzKNmXiOe7+UJm2QTbG6dGvKcjVLgXOeSCfkfMCe1HBBSzEd5qHgDcgDG+5gWEColo
R1twGg6R3xbdzaR1mAotUs6mXYrzV9tmsV4W+641Ne0Gd65fAIWyGMc5U2tWe1+Q83ECbIyaU3Jw
0h8cBHLsuWXaY5yRGEhXmcu58Ib0Bj6X1EG6sv+jdSev0Uei5qe5RZgfZW50CGMmNiC0hvranhp3
wrHpZNpqzoT3TTEu87d2qY8nuljpS6V7A/ZAYxoCJpFoLUZHBIT+uLd+X7nrtOaJofCL6cC67m1I
wj1EhRGjfgVPrDfNqyhtz2blfqNHqehsRvUtHWQsxq1nBXm/lH9TvSNK22XmOM/tvo9CI9DxKt7m
SVFuWWdP3oyM0EDNvoYgO+y92ZLPpd31B9rAzreibXsAk1k8AiJH/xfSUdnmQhjMm8ofTTg+jF7R
bQbpPbEI25WX5jwdXReuBieja+8DRKIKIyg7Ln3MXcTKz5kJBYq9dR3n8aOcqUCGtHYx6QOGUp2G
wUXMxabBeLiLx1bbu1ic6PhRkpUk1sFvIdDHdTadB6qstme+eKGTEeN3/YamuHFjt024hn8myLUc
o5iqWU7+wW6HhugWU89orWQWp3jhb7zSSL63Vuxtba5ZgHjNmBjdMbfUL2c5p2Rguhfa0Eb71KoK
IJ7xtG3M/Lb17O+Jk7vlCjZJc4680NgNYCYPDpaLQzzV5n2XOfXHRAzUVcshTeKGK/KbHHJt1DQ2
e1oNXMro++YZYUK31lszP1DzY3Op+bgXRYDfHkiuFRQ8ZxdR0owfXulXOGdaHnYnyXCs1Ybzinn4
NMxj/g0UWvQ41JqDObF236wwdV/1IqFxydV9clsKkaGNkzusUSTJjMZwZRj5tJHMiJAH1eWmsAYa
TsPgrz0tkltWidjqNfYnJLTprjNAtq9kQyzVBBjkVuudet86ybuAq31Imunaoq2IEdZ9ILqIQO9M
qzd2k+i0Q4cBp0n4IQaVHoy48F4r2yPdiu54YxY/ptoC5u6LGt+N/dg7FnlY7oIqUZTwWteEF4Mr
6xu3GL9T52vrMh9ofPAwrio7i24Sb/IwydCUDWARnynKXqEJkqEcAilCUXeTM7+BsJuoLYN/aGdV
BiIoF0a3qZO6uSMOi7F0ko757VxNZ6OfQw5xvb6ZNVUfih6IKQ7xER6IbgRTnsCrs7K7NC4wJje+
lAFRPcYuA5D3fchImuks/H3Tw5RBDykNxh1d9aS5sgLNSs6ToUf7BhxHnFoKOs04X+LcPkICmzdk
RIQrEddiFxpldzGMciFVeOPRsGn6KIrdQ2NqHIZqHkYjsY2dP5cRGtNuGzWe8Q52jvoOee/SCMY5
4DROf3At+UbyOL0eWl1Ht3HhmAENxxqMoLfz863eUIClwt8NTNWCaDDGAPy+Wput88S+Ojz3tTqK
fAgPZJINawvu4bDpG+EyHkhxhfvVccpRV2NGyukxFhai+NCwYQ+ag3XtuW4mQK92NmdHAtePHOfK
ODB4XtQuD53kwgpD58pyWLY1aRt73yqmYB7yR7gFvGdlaDzoUE4Y9k1FwHypPLoxEvupkEin7PJB
Rs5TJFmZWdKNiLRLtnTXeCzIQ1tzs5ZjXMpEfMHjgC1vvWTDifbRyI23yonBCUFwXLfCKXbUB8Vm
SEr7JMpe++GHI5y1xbZdK/i3c1w91Bm3dOyZd63Jqi5XDbwHIGapR8+liR6RwlIMjn27TVx84mjG
GlzsTvE8MEDcSA1WSDQUHrw1pm2cJlP7bAGk2XWJJmcgSRiB18UU/eB0Sv1hYlgaMzZINsOadczW
flR0gJFnlac+C5tvhiSywY1oX8Oo5KH0mnLvGmjVVxZGow00cIftvt8NCQ5QL+46MowcfVKbUiWn
vnD6Iy3Ca9idxNWVeXue0tS+4B6W79jUQhoOJacWQt0fRN+3JwWH+j6uKEAWXLCSa7NUb0uH+AOX
qhtUGMYezImkip7DFT0URkdBkcdqPetWz9c1NCUuZc2KPaBneBlpJB/wnFRirakcCnhH2ClpYlWz
dZgbBoUxvsam5s9Br8kw3YSDSsDOZRp4I7MUTrWDfGcdx1R2jyGd1ItqclpIyXF9ZrBdYg1LXKp1
mmprPcHFZsWJ9p1WBvW0lu04/RiXJuyNhzlMpy3IKZZrk/zwJjsKaE+djdI/d4sBdqkbHZyAGfRQ
lHABdgMa2ZnA2J7CkluR0lhSkTRmoNfeW5IiyioYR4QAGQiqpHaSGURfgTh7bdZ1t4KfREPYQfFu
M0TbIIDnuwkDAzizV/pBot0OSU+TaETN3SHnZMosa7WFv8gWlAJ33dbTNG1jnaiYUngjEw6kWdCn
Elrv+nQBuUu7Zqt2dtPEe5naVQvAisRH+hJa0NSDff5JXHDzx1T+5wTWX8U+tkNgA/G45EQg8BCQ
Cr7oBpsiUppVwrvLzGHPaW2bLTY9avV/0UoEFEpHEYDEB/MWzpOv8t5Q2SpzQw4i0ipFcyzglI8X
kz0b+m+kaF802XwN5N+ugVLX0FEvfQ2jCL1JpXVB4p7FJBUs0+B2KZxnP3weFi5d4HNRZ6wrfnxv
RI49/CFc+W+Vwl+lNMvnm/RVTAsZJpo4B6XFz9JQ1aDdrxywV0mpiXwV0pEVKztBtCBi1yq3nub6
9RPaiXS41PvcuNHnmq6DaOwwYJiuxZisa92/NLoeONa/rqq5rzgiFv+xKHHeqnqSSRR3n3qP//q/
y+SNHlL10f3t39q9V1ffi/f261/65SeTZ/5Pzc+idPnlfzZll3TTuX+X0+07dKs/fovovVr+5v/t
H/7b++dPuZ/q9//5729VX3bLT6MB8Uugu73oU/974+Eqkf92/x0W5M+Cm89/80/BjSDpfUE0I0s3
7cXq8p++Q8sCIM1/5G99Jnr95DtEcoOgRodbhKLdc+iv/h/JjWkQPW3zhwQr8zS4yFb/FcXNr3ob
NkoyPj59c7gQ+IlfQ0vQf2YmTS5alP7QGq8hf4dZMfGq8iOsrbjBWBv70oUXybnUAKgeCSJx4R4j
l/DXrTZk0TbljWzf/uur7bp+L+86+f7eXX6v/x9YKXi7/26l3L2X79H3X9bJ57/4Y51ohvEP9lId
ARCzB+xrDsvuD2XWElJO9g+0NW44DhzLRpX4T3UWqi3sqYJxEUTxX1eKYX7ml7OhIMe0Sf+y/pWV
8qvcElsdplmMGsj8qO/wHC7CyJ9UuhWi+3EqwrNDys2TI638Aat+Lte4zoHeC5jLrxXH4d/siMuG
95Mc7PNTnQVC7nMBmPQvv9VPn0qXeEoa3sjMqB34JkVy13CG+U2czl9+CC4VaOzYVXgYf/0QQj8a
L+q8cxYJ8TS5sgWV0XDe/ulm/8XbclGGfv0qi0wORywfo3990novbGQvvHPRxwAcPTMSZ4GEcxP5
St/rpfubSJgvL+fPK+caOksK+y10si9Cuiw1lDv37tnIjOaCttddpAz71Pag2//+e/3V1fvpg75a
Y53SN3smumeVSw5u6A5XumTg+vcf8lerj60QwTvFBkfAL7fIidqhiGPnDObCv+UvoW8YcdIc4RFh
lvZTSL3CieLg7z/1i6/oj0VP+8rweSIdxI9fPhacRTLFuXduC0sGSsiYk0cnRBDGtrWdKz+766Uf
bkrc04+21zpb2yqiV1Ig6AtZYc9gMJ/FBRMsjwo+N0KyragufnMD/vLa8F6x0OEiA9a/PCO9lEja
Fy1I30CozDKOPwBVXFrPXvJhWrN/UyMY2P/9pfmLu044j8nSwt9NiuGXKzPNMUiF0TxzNK0vkBTE
ARB39Ru3w188MiTQ8fDj02Db8ZeX109PP7SSISbT4+wXiJxdcqI+r/5bKhP5YCEp+U3UH1OrPz2j
rsD1tWhPYfiB8P31A+s4SiVN3BNgJuZcvNXUk596eXWUXuFVfEU/K5aJrtsj+SFmZsNgYuCc31hG
v590vfmgAAgp/oFYKkx1ghAwIDBEQcu5JfU1lXF4okHs+YGqRmSpyew7t8zY8mkFvSC8mdOSc0QD
ogUPt5/UDy5svQdCqsieGcZGfsQDgsgV3mkmQLZmtUzsoYrCsNRq63FE5FmuRrMDVsP0cg1Exjhg
RLIAaem9QfhAkrRmACBh3oB2LY0Vz+54gjNmnevRC02YWUn23TbSZJGvAdVZV65j7LzGshbUJvSW
SfOtW2k11rhlMmyB+TdkcV4yFmbkqTUx8ZNCzrJqqdlfaM0skCxy0AlNb+qCuKa2BhtcTSREcy/D
7l3EZaPRne+0t6g3xw/CnMXBKzs3DWxl28PaAwZyx3X0D1CUC//AaMiHS+S10YVDKkxxqKa4u9ct
OovbqOzCAwImpa3rluks0sW4ATyWVSreAdODtsWQLvvwIloNq0gzzGiTEPVZnUzOmLQK2MwmSEo2
bbKoldo7YynkQpLdYe87eKCPIHKUt0W9a76UtDCg5fjjDD0XQhvgdy9e+p5d6d9Zid3cRKC4rqqC
T1inmZvfl6njg71C6PfA6yWCeYs6gm6go549TfUnD0y1FTRWJm/mobUvGrICvsfMd1BqfqbxOqQc
PIGHJKM3yWzyetHu9KfkM8XXHD4TfT/TffXPpN+CRMIsiH1VB2msowypHYdIYNdbVHa2E5XfE2Oo
1crSkpaGx6zqVwb/wKHwplVXEJEIG7ayEdBc78eWAii1BBIT5R692Z8xxaJcIoujUk5vyLR7f1W0
LkencdFz1j2iiplwa1KpP8OPK9KZm4DpPpnI2Wc8slJLD/UzNtnLPHVHQnV3YlBpfWAmJWA5sw11
YaJZIUTZQmxY9ksYc/YZzAzBaVbg+5bA5vIzvLnMbWCNiM/Q+aafAc++oJNKV3kJfh4K1Fvruev1
28bADEFPTC6uv0GZYUDvgfjoKRqJko50UqUVyR39qhnImtZaneemJfIo4Q3DjDjImyWaOrT68S0Z
DfGA6LZ9UUuGtYt0gzjr1JmctbmkXKsl71osydfZkoHtj+RUB4nwWyCNfpUdqs+sbL+Ix6vmM0Eb
HWN16D9ztfmu9WtiKm4QE8LiVdfD6JnfgLErp1LGriXIicEsGnraS3C3n5NNtJoG6dTrmmmhDMTc
T89h2c20wT/Tvztsfhm8D12/zDNdviRiJim8HIv0feI2pDTvyuHeWELFGVuEz17pNfWqYr75UreG
+DZaSxJ55qflNUH15JPrnxBgu6rILTcF70SGw8SZe5ptIm8rCTkPtTi+NEkKQQH3mYLuLug7xhUz
6eiqaKwIvY1VA1KIXALUxTDc6xhXhtWoI8JqU1LWpxY7Dk3PmvT17jOJPWJs8Q2yUXhGtZtnjGGX
1Pb5M8EdeS8Kb7Lk40sk0JyNXcZFoCDaJfs9C8vIWzMLIBM+W+LhEeiQFI8AHdH49Jkgb2JTATBv
muoGzll+VtU0MWC0NeOEFclGuz50lr7pbbOZwKYuRoKWrDnFZSK+PmPdg9byllR72QmGeqrQGIh3
xN4bEUzT45Cq7DCg7/UuR3by+qXoZYVfSpgJUloMfQY7UFOVvu8yWbeL5ORJqJ8rvF4zPMFa2QzQ
Vgx1lHVnFxJtV8X84KqTlOFszlZcBBoNJfOowYhqLxMYePrWxjP/atcmBgSGsGW4WR6KccWxtWY9
+HOzvOsiya5pqinw1Jzkm0FzzQvDStyPsup9sUHxivrVUsDfQDdUaIYFY2k1kDpHSM+gXxBRZ44r
3YqcZ2nn00nUTLiIKHeGct3T5f0xZFrLqAJ41bYdQYJvqlRPXnpGvzc6jf13ggGNdwpxMYNWSbjz
tYxjBXQ5ilPo6W0+brTGE+fajONyA1Wf6ck3L2n1e2iZaR7UUxsl+wbFV8fEOIFRVVtVFiOUkIy0
47qYmNGOuR1tXZpyP+wxxYJEez4b9w4mM2DtzMQwcKlQH/dWXmfg8j3pkrU+Ri4OiTwFFWUh+Fjr
PprOzVBnubUeIEQ+pmnnjgFN9QUY6k2MWyCOdBehz+oJcPXznoS6w8ISTmP7GArwd6yEFYdOUI2D
iUCidL6PS0dxA/EUxpYgda9Z+xFyDybKXZiDMW8wc4yimHjDdy3iMMvJam2jk46CnLDvHVaiPjKc
BagRvlmjwEGtcuiIEPN5dAzJe2hL5ZHDrIJ1gC3Az6S1BjJYdmtwwXEIT9OaYM+Rjdqus2F2ijWz
yMFg+GsyQsLIqBrg7iz6jZuFPY1Py87EooaOmnWKbwDnmQzb5lI3RyYTraE8JlUt0/y1k4PL3Cdh
6WgnHf1XfBx5E/gbxjjpeCjaynp0KcwOyI2LIegWVDxd1QKLhD7hKLAz10NlHSVtuKTtSP9/s3cm
23Ebabd9lVo1hxfaADD4J0A2ZLKVKEqiJlikSKIHIgI9Xucf3cF9inqxuyHbVaLsspfv2B5aEjOJ
RCK+5px9PtTYIxp5s1qgFclD0N67tbb8L7aaALK4nTvdlCMdQszBXBH45jvwPiPGiAocpkLwF6/O
xjJl52fcoPuGOxl0Dlga8ALUDc401lzOZASAnqKDIBfJo9yLgc+iwtK+26xR50yYMAihISMRaKj1
SqL3MJzZSUc23Ayt52ijFZpvc6wlM7xZkcGuaGdpnE1WUd8JwxmCM71MvhGjPfL5Rx0mh/GkGf5k
91CNSibN3sq6Gi9+usYDZ0hzqHo9oKfli+HuJCFz+Dl0HuRfxwBKZc7iLCGBZbLCzjwqkCAukZeK
BHgAer2cy8NgmX55s8CagMDbnMa0NcbzGeUfm94Q2W88pTbijg0M+dJxoZFXeRn7FoZnXgskfpaM
/12PpERnWKzLQQpYjoJCBWIaG00Le/SGe18RtZKd0q/iBjEAq0vi4av7cg1BV2fzJnWk6XIhZxqU
2XOQGR9mDz3aRS3GsT8nlqYcCXzMi89DPvrV+bfW5W974D9pVL/r4n5rDxyeH9+MNr/9/X/7Apl9
wARz6QcYSYp/jykZOMIIocXDiAaywN9wIb8MnxhT2pjQcML60GaYm/9nTBn+tKF2An6OazNSEf5f
MgZiOH/TmTHAoPn3Bd5DixcUzFDedmYuIIB+7cXnTq+D+JCpUflBnOLQMfVl0NSp/5Kaky4yhAJr
J/UXt58Me9mnSUPEweKwfI312iYHYc5hiXi1RjMLVNYNszU8di43W8y8E5TftUON0dgHPB9ICIvM
Kygcak/Y3VlZqwFOZE6aGOCnXnTF1QCSWOy6ZHbs62LG7yTZWuXNBIq8NVtyWpWoreyYojAQTylP
3aU8BC32t/5AuB6PtTOfh/C4Ux0hOVElnEzsEWrR4TTzyqMGuGNotsegFe0UmxyweXoYvKUidHRN
5y0EDAKyjyTNQLu3hxZqk7CAyqDLd9X2WZ4MAnK956JhInXVetobyGtdcksSs+I2+cG3u9rb0Mco
k9QwIx1uG71RKYpGQi1zqUVjv9VWv5PcIT3WLtlfqTYl2mOLOdYvrTlNd+S5lvLVoRtrd87q1YSS
UAdAxiyQWqlrkaatJkDG85oG8ZgumaIgsEcj3mA5hU2tAgnM2Z2D4LzviqB8XVq3YTed22k4XKA5
G8q9MSGWjwC5k2kLTqX9lFj95tRDD3wOQnhFa5masGZ1VanbYavdozl0hzs+Mm+4pzHpnQtluAiM
oqIZnCtqcaiwqlxJ6rPVnFwUQ4qakSe80R/KdJ02CXvFHAB2u7nqY9U09rPXQzyKJSVZtS8ZikiU
NhklBvKrvjnVZpeSAWbxF9PEaRCXwQAOYrJ10TxiWUqHE/tT8xO9OwBWF4JJFrHLl71zyNeaAQ64
efaESBnxDrWinKk0+oCL2Uwzp37Yr/zCFum9MvJHuh522bXr74yu98EXlA5GkWpFDTrvmtRC6oUM
XAHkraskVdSUbPKRCEuGUTdCljkFjx0YzswivM2fJyRX09EXjeOY56Plzc5jymnpcAy3WAyRrRky
LeIQHSZxxW23OsVxLKcESEOvW+hoWELJI0iZAOyGNHdumnBWyV6vAXlpVpHypta8JT64dT3UQFS7
zI6XOpTLsdz6hYhMmOx2sLzu2R00h+EKhqmHoh1Q+yyOpB+bFkEFZYFlueVbO3/kzuUyTmbXoO1Z
ANvHRjBh0stKfrSdgU4hXYpagTXe0oUEkRAuEzqT6vbtYCfHyaB0w82g+y8Ni9s7P1ndL5s35aNU
utaMW5zmErJga51tp/MEEiQb/KiTNlrJjhHSBGVIzCzF3YKbrZIVSjFPs72Mwrp31p1icpaf/J4x
HOpS0Z5zbmIhIkRsfB+QL/QZN07WRXLJ6MKkD/UmbhKE3xvodHxQLo+ZyDeXajpjlrO0l3o11oM/
eVXwZc62fNmoc51kvgG9F4AYlWlG8WbTVGVRhTAQwYXIxXDgcbU4OxKRvf6uBbxTXRE2jEGIsMG2
Dgn8ajxcn5BhXaSKZVsXUxezH/XXT31JMAGc/xDkObEME1oDvoDLOg+RnkGOXwEKbmwLcwTi7p2T
2CqPx1V66ZEAyMyH2IoqxhxJDTUtfQ50GCUsQkOH9WZtKXFhpIbbnxNrpborYMuBccH3NvNPEwrZ
gDC4EItTbPitKWLDNnWwxn0wNpg6KjG26Vfs49n4ZQ4T3VLZ4TaC795aWAkDsgQAW1ZSg71mMjYv
rLQy15fWEzjMYC3PGxpLuxYo6lBdAaUtRHq/mp13g/hRo+JOffd+wsVZXaZd6jpHW4xaE2o1zEiL
P9tq5EEWYkJ3ljrOrHXJzDuRclYE7oWNd3SNQbX3n4qONKzLcbDl8L7Bzy7Ps6xLFork1s7uapRm
SF+hSta72cmhzDotoGo+/X4ID1UKd5++HWjp+7TuIGixGu7fYfTwYIIPCd40uzaK+RguEma1Kqb6
OhmVHewa0BWPgYkz9lAzgm4i28xq8NEoJ7hwG88ohdkJUWgqmYAk2kFzwssM9bWHwgtcJ5SgHta9
Q8AqKpTyesRUz4HaeX0+RIJFzU3fVclyVEZVo8fDTHGbtDntAzONaTnnVMCdhi9TvXRCyM8MKtbl
EDIEvRrp169Szqft1jDNU43UtKKvMMPiDJI7yXEkY6zmOX07J2jL2WvvQBinOLeMlnDKbKhEhSBb
jiDZ1qUfH/HQyec0BLNyZWgbDjUaI0nmXBGiCQGTYlmIEScIe1XaIfkkA8E8TUtbaGTWHABtVDLy
goDsgEuhMWhDfA1Qjxn/odfMd4GfWhdkDi45gmAGmgFV6hzNGlv0IWmkhiJQ+j1P1bFKzTiDLkaM
uY3ayvXZkzIrW+k3PG7Xs4CUe9oNRg2MP4k5mQ8LE3RyFY3FvNiMW3jHEGxhQG3RBJ0B1OjX90J1
Ge5fcA5H3LiiPXFvzcMWbyDgcetJ3AWmkuiaoEM+i6RSARFO/XKysQMEO6ntoD04Uo76emgSfUL1
+h4fRcuPJO3tOgxpGqLAWJrHeujkh8noRLCf0V6rMhJo3p0r1IrcbnnaWKjaRGZkO9kxpzhLOtu+
AbKLvKpTxG7eVFm5tudFT4Z7TC2SveOh4jw4LXToM6an+YvHB861rQvH/jz2tjvcYwMJh6MhirbB
1BNm9ikY3dE8Nv5IeD0TYEI1S2Zj9AroG0iAEbWSxrvZk07/nDeokqdY9D6C0skM16tE5/ZTpub0
Tjkwoun6LfNrMmdJHefIYTl4WlUP+6Uq/ffI00gsSSbtb2dgpj+IyTKfNU00sp4sheuNYXb9Ws3c
+Qffq1GeBF1FC5zhS3osZ1aIqAoz/La09s6FibeLD7tbGlwZFDTTHkKkfe7VXIhING5eE+HojldZ
anUZn5s0STTuwTb5LRL0CL8fZSM6TCvHF5Au6b4Zu5wnc1/x5gtrVU+1Bl8XJWbWP4ZW25/Yv0Lj
Hpv2vZUJTPP+gnmJB147XuUtsA4Uyz0Vlxumotnn2Ed6bFEMz7vCrF9Hz8suO79PXvGxmp8HKkF5
XBBwH5HkI0DSZN4pxtSpts97g6jkaRgFkjRPJR9RVHWvmRe2ySelC6fkkJP1vA8JsbAf5gpZ+weU
S6XfxKRuNP7RzjUiHaOidXD+ZCX4djm0dQQ+YgQIceBWUc1s6onvl0PhqPBX8EtFmbJb7JgM3ap9
a5ndu9wve9JR1Kitv/qaUJVoQmzAXe62dXfevqZNAzWSLUi0mVXWF64jg+NaorhbknndEy7U7b/r
z35nZ7wtaf+zM+Z35PXQxFnb/pa258fX8wyGbhW3Olzh9J3g6MUQibHTKlZwAEa/hZFY484emhDF
0jze/PGrv93xfXt1f1u6e9zFlNQ/Epyx7C59ZpFyPbfC3Ifo+Qmcap7/+EV+09i5WCngyyBqZvFG
D/r2kha9bLKZ53qEEVXEchHK5XGMsYXsgfbx/+e1oOaLjaQLqfXtayVW0aWaqONooP7a9dhQPqkp
NC8HXQzdn2xlf9gdb1cv9NFzIN8JXcdzf8xlNyxgpdUsBe0NTx+x+A0lbG2uZxrPSVz3FWmsFOA7
gpHViclb8GQg8thnDhHgo0x5LkyB+2nGHfHIOHk5rQZa9j95k7/9hHmPDNZQum2Inx/lFWOaMiGd
uPhFG7T7AfohoV1Fcvh22f8euPyTB8F3d+BvBi4faI2+l4V9++s/z1tQcTFncYitC+0AEt1/ZGGG
+ZPlwoMNt/8CNtHC4zvxq9zH+smCFMMfey6ceMvmj7qN+vQ//xQ/WVhahcl/At0HlchfkfvYYnuW
fffsge/Ng8dGa4F2jSpze4PfP1+lSQi6X7z6eemSyEE67KVfNO5yRc49tZUmX3h9lBhmrnEGhdZl
1hF5x3Q4zIhTt+pXImgxrzqVSNiDzsnHgnL9SzaV8r4FAmLubXtw0sj0lMOEOjXBMYtw7B9bw1aw
OiYDypNpZzSuIZJWbLHeONwA9qS27ggEJrUYMC5yc9dtb52K+eWZrbQp9wuFKxn1GHa/NuSlWZ8Y
2xKpqrsxZAxTQAe6EkGZn7P0ANE+FZZQ9w0OAvCDQEPFPUyhstxLywgOWHUnoAnE4c37beWmirhp
peXs/UkuIYc3GIBzwAijPBaKzuMwI/ov3neu1G7cp/TqCb43cWmmaX0FLLLUh8Jv0WKXI94QGt5O
P1HB47cP8JOSUVW25U0LXOU4Ma7Ib0cLoTH7r8Ri2kAP5tTrYSIfnChW7McZSV0+ud8E0o64kgYi
riF2ll5yueSygS2g/OFDZXms5kKbWuuwqoVWGVt+PXbPbUJxgpZdEH/ezd513uBUZS+T5YK0C8dO
h3c+woznMM0TphDu1Ly6fZNeQDuh5iu0O+1VL4lAVW45tQfJxKCOgjp9dhNyrtDhE6xEVeCizjfr
ygoINOAuRgtR6DuSU0LviIdrXHZatZTlpCImJT1euGbnYeKtpOEQvnbZr/RIMFnhJW32IWNbgiTp
6wZ9kBENFneBXqpEx4IOlhiuIixYr6tVPXec0tlxolchaLan+KKRznw4PmZHU03SfHiPqxprAUoE
3ORFvWAuK9JJ7FJJfllXQZQApl24j4xDL/JwbuSRbyQ79CYZyjs1ooaPuhK3aTyxR6CN8HwKaswa
n6i54YVutQA4aY+lFR7ryb8XzjCRtbswcIuS3s+W2NFp/YxRo+MAXznadx3GAxDegU6Z5AkprhkA
5i9rHuC9AmrfvrPzOnew+a3tU0XW0UWaZWG5T7b0wJ1Te32H/7pqPs+e3T8VKR6ouM1q/8UeUX2c
Lwzfn9KQIcvCCp2i3qfZiwEXbZ1ktkEkRikWopTGgbVGId3cAe8j0nMUnlgSIrMpigvC/zJ2sR6j
iDgrG1YnjecOu3Au2BsWTj+BXkCnzniSqVVtZoyzBmOep0iyBWEd15OzhzSZT1X1ovpC2jBO9r6H
3zJjBiSlPnX1E+wfgK8ukJ5dwQwVyYFf+wkdlD3W+5CIFZjcuR0au9UqeKu9YYs7p3ATMxar7J8Y
OYVq7xMoaB1AK+ljOI8ZScHEkHvHYDK1jXPbtAhSTPqMTU3fG/c4jVChTEBkXirUvOrAzibVl+tq
osJuLAf7bMie/N06GNmVW0mj2VGYFS9z5pb3GRHhYCm473XUy7p+nzJuGhgULeK4FvZYxaM2q8eB
vIEvmz8ZPhSUp/as4YmCPSFN5AkWgMsWcE7FPWnZipV/G2zmA68RW6fRGBfumHgvBDuiUmECJi5b
fNpsq6pKgsrrsibdUyTo7sxfYUWBRR5HEoYIGj829KrjzktK75jldWiciXbbB/19wvfL+fP/cMJz
Lv539ffdv/63/QeS+H/9n388Ns//uNX/+r/N11y+vD31+RE/n/o+iEWOVE5+7iLfgiT8q8b3G3zR
Ab4IIhwMbrgJ6n4981H4uojgWHugCwb2yR/9cuZTK5iWxdm8lQpUh+6m5f4rx/63mIfvTn1osWgd
BWph+K22i+b27amPiTClPkVhtoBbZBtYh2fsRdsjXBssYFNfsDTFVJqc+zWavchZM+c0ZsZY7erS
J+lxTtWtlzA24QRc1i8wuY0dQ9z2g+0E83mS5LAc+srefXfRf6dPcre39eZtM8mhjEKdTJsiLO+H
yr50CV7R/sPoAZOLktGybrM8XRhslV1BfB1Dr4zR4TvmpWx9ap2kNyQlqFfg5s6VUznuyens+eOE
TS3BpBlYFzPjUWZxcCMeRhA8vH3HdPeU78u+N3NxyX7X4uTIK+MryZ/Ti5mP8v3UzKRrD874VIAT
vzLSxN+PGX1NpHVTXC6tfWDtQWAWCwWjif21xE0SpGv3iuUZexi9+yXZ7aBG8O608R9fo7cyUQTH
aDW551AyMKMjFHxrxL4TU/YIzEk45RL5ZA+b4XU2MK4tYS4wrejx0Fo4bf9+Kvz6VKCT+u9PhQ9b
RvPbLGv2l78+BBD6b19Y1qnuJm2n//r1IbDJ/C1ydaCv8Xkx3/j3M8Dhj7ZqH1A5n59J8f/vZ4BD
DBXfU6YSJC38bA74C4aQHyYO7GpBeWK3MplQ2dAzfvj+F8CjZyIRcbZJN3lm5qUPq5sTGpgM492E
Px2d1Drf+o05XViG7o7fXaff+SL/MA3g5bdmA/XTNkphC7wJdL+7SQdBipvHPCpy28y8bZt1eELz
Md+FmljXv/hSzB23VTf4FlwVzjcS7XcvVRsJ48tNgug0RfUB2JCIWx5s+Kiq8E9+q99cVFcQ9MHS
xELOTIbUD189B14TequQIsrr8qjHQmow2oQPFmWr11KZW9UHMQa1dVhI3H3p4LI453/821q/ubL8
ltsKH59ewI239ZTfX1lSolNqH+TLazIW7Rn40Yw9T1MN3i5Yc1yNzmCYeIiX6gGPjw2owinlx3AY
aIGmBhlv6jTDR54uKfB5lmg2ZlIS7H5+ZPxXBxxfiu+f44g+8GAwX8NY6LGf/hH/m4P3g+DLcLbx
1+5KGsV4MmpV/4nQ2/7txWCuZtJGswvhafjjbaaGQoYEApVRaTR5EomAAIwI1G3LJdG2+eDPaX5T
D0ZXxiJk7Xa003zCep9a7tepTnT2TrFVuSW2gcQbRTtg7HUzGSXpoJX5oYfqQBRhgpc+HgkFOpZh
1VzXUDwdGGwOKdN9OHoLGwBnLODvSPfrH3/YP4xGbZtRGglYnIOIxl1GXW8/aw72euGrVkc2BJKD
KM3ggGkeSM5STwi/s+n2j1/vx1nX9oIh7SY5oLygszmN3txctBXDFLQrUKnMPLLmJF0XY/+YDDuW
IV+CRN+1gUeXDJ+8dR8mE2ZrQLxO0B8b0UCbhOeKlexPbnkeiW/upW9vCqI1AhSem4H/w7PEpxuj
L1xqsuG9/E5aZk1K6vKydmVwMbPGjitUF/EfX4kf718bhQxIdr4ffM/5zv/wLVtBXQCcCwmlpsI/
ZwddHjBYj3+CXP+9V/FNRObUi65Nbfj2ckNoCrrCToA51ajpUSr0+0R04k+u3++9CmcBZlgG7Qyd
fjgKltkVydjwKort1rnl9YgVQ9rcv3zFOOmoFS1UqVvC1NvfRYVNbYA74KuYq8fadaYvltLu85+8
iP2br4S/ucfYFyBwQ0Bnbb/sd0/72RId+n/vq4YD10RmNnkwGnBfyBdhVR5fUzP91KUz1mpMYBtX
ulyRpqXWCANCTSCCr4ceyem1RzpOAfCr9Nvrbz33WSeKJY1JPW7VeY8KN4iLWfeMD+aOkUze+ZX3
rsa7UV2gMwycy9RO+bfuwC70lCWe5ACCxARvt0uKYSu2m3LX6IyW088a92ZVCB6itZJmvUuGbWNY
6jA8qiZneznygSiICN6ISyEt5qfes8pip/sJMOcKG5AEm05O6Y0cU+dsXvRcfWJDtfhx3/pGd1ll
qInfD45azfukzVKbPaPu1/0UWvprOBskNWldrwE6FFHUZ35O/BeYJJ2N7JPMyY2UjwJ9B3hVGjs9
dkt9QG8UpMfFXfUnUyKx2A0I13tW0dK7aRQR9vtFB8FwSlY5rqj5sTjv+oq1+JUrO2ibkz23MNdy
1+92LtX6B1KNBsBcXhaCvFxYB0WWuyRTDBgwUEe7Z820S1qWd2iOlMEhzorcQgJJNnvcjZZzRq9v
6gOZ7K1zjqeW61N23noelL7Bv+lS8wtA5JahX76FqMvSM9TBAo5QMwzarqBX1VW/Jx0vfQeqgCMv
5+S+XlhtzRH0qm/Tkj7otmGSUTJGWseHeZHli54cFkI+nDskKLz7ez1qbgIIOu+tHirCDT9ME2Wb
WKLeaziw89GWs1z2TMPWT6WdL+YVUeNZv7dm4nIO4TI3h8Wtm+Tc7ngIn2wUMhMKKMzqt8bYKX2w
SrvMdx7MR0WZMRifLR22y96QCjqgZOL1EDhj/ZTkLKwjKtM8v1pYmbZRYfXoZ3hy22T3+nrZkNdm
Q4KyVag98g8QWalG+YzWlJ18Z9bq2d4kZxGaOxe0CejuXarArsdTV3XnKNqbgk+CeDrw/OsCJco1
6LzGgFEOAnw0WtQXte6pJj3HifGWOk/4CAJjz24R7CK1odsfMp+8+AtplZipCDYvToirwRXO4wCL
x8RdI6PZV4RxIGMldzppOg7svPXTx8VHQ3cmFJPhfb0Y9pPA18+jsgArHul6NlD+mHV/XeO78MFS
iPbQw64h0Ir03ssiIbv01qtCj+8PKd42SAw7sdEb6g27UFQWIc5j6CcHhAgi3xut5MdyzKhXGS7h
tY0rsb/Gb+3OR4JdV/92GDv7QSDGk7dkf6XJvdUj5Dipoc1Pq6lQbg2MHFVcdyMho105QzLOp0xI
fEjG/IAmB0ASimYcTMnsE0XchV3zZQnz6Z0DKcROkTYQNrgPJuX1TCYTrzi4XS9Ifx5BBcWqXcr1
mJXS1XFeEmZ0tLPSw9HGShpBM1IX5yxohk1FB1P9zlBLImPfR7Qe41WYKZE2t3ocBFnnIgZOcTvN
KyDKPcyX4ELJDhE7eO6NB9/n6j1LpEXGmiK+wqdZu+utHQxBietVuc9mQRd+dOeFtGpztdNPc6BG
fChLoZ5zp/evIMfm7R7NF+f0MIebyy7sgP8UgbwQCIc+8JaSq4RgGaRxLcF9EWTNztnNFcKBHEA2
X+tCN4CnmJ/d5Y52z41Ao9cSZuVeldJvpkglYPNYzssy3eUVDHy8cTI82VlFsjrWdqqlInO0c26b
MrnDfMFvPNZOykR8sK4Nd/XVOZbAZYrdoOrMHSOdAQdcFa5y53hyUrdjgvwZsqN0U4B7E0mCAuBq
AiSkU4/aC5YLs7YYxLotuQbxOGYVnpY6bPeSp9lxReHgRiTOOuqQhwEkLo+8NbKxEzjd/mrdrHOe
M/QzvG6KgcOwoE9t8tyywbVOmCJq51KEhnHRqGmjsxHK8q6qCQg4yEYz4k+JV6oIPreJwbMLK813
RVD0zClm23jl+9F9XlxLPLYSNUo0rcrxMAdkAHNG5qVMgDNUgZGPpXmMUMEvJdNgg6ZRCrRF2CPQ
k0D19L0voVta0MUy5vGAlUdoGgAy+4ZdS23cLqPR4kmcAF7HK6/51W2mLjkgWs+tyFgzYri7vIan
D5Rjsve946SfCw6v5uSmdmbFngEqMdKtMG7SBOPPrh6W9g5bHsBegKcZN0415B/Kfg7uw1kmr/XA
hgAlG8X7JT3XTPRXueTNcc1k+toFY+aegwerPy5UeGgU084bdtm8NT8iTxw/UuQXB1GSaM0WjCw9
g682Gl1cP7fM6ycqymS07ytUnGiTzTp4WHsl33lG1dy3ZQc4rUSWCNDXtKWKPUDD22BWLMse578T
vPNlUc1n1jC75XGZFm0ctwvCfs1vp1PWqXDcZYFGoeGh1Ppaj7DkI0uYquR0NSRKtFJhwpO435wI
A2qUiF7A526tFQpPiY4fplJjNmfA+4wGVx+3rxMlhk+8e4926sMa5tunOjaqvnZXq8l3AnQpnr8B
jPkcVXoB3DxL009vGdQ3853BhgrVIsb63j+1/D/ka4uVLggvG3/hWyZ5Pmb9zmoaHlGHFjw5z9yl
c16HzLWQvakU7fa+K3NoN7tvJd/fS+d/UiV/V/3+Zul8nzKJfnwzgN7+wS8yf28DiyA/CtAkMF75
z9rZDn/C785tJlxwPuFmjf5l/uz+xPBqY5g4RKdBJNnayV/nzxYyfzKJcYBvwBzA89ZfmT4zjHjT
szHBRfSFbYslJ9GA9rf19vdl+lQtRUfX814p7G7nOu8DYoHRhk7siGfjakn1nRJTQ9ZUy+IvktKz
r8jEC0krrNrswZggyfKEhaOFMZkAkmNvD5T32UIMJFLSEIUsNq4Jr00N1xa1Fss6oMbr9BlXkrec
T0BafUaym3i4D/Pkw9j347y3yd2h7kRI+bhA6aXuS91VXSrXVFlydDKzn6BEWuuYvAvXFQpZFftT
01kHRJyNlHEpbFYxsHqljaW66tVyNzHqqS4ILXJiNYpvEHFs4IRZyrwWsT8U+Z3GW6CPLKx4vo7T
yKxggliZ7ecSEuUxzXuVxeZYm1SknCSfp8HwHdaleFfj1GaDHWf0iK/mYLuflcgVIS11gxnRJvWd
lWvaLITgDTYK2ZVheGzCoFYHhDNzCHiKmK8oFBSvkW0iRN7XnTTPQgaDOLpEUX4t/FlT8mPKRLSW
9JV1GCfT+eIUtrqXQ5eyn0f0fwjWRMFRSm1kwpMri2NlulwPFXRAfIvc8u2jrgIrf0CRXX71kgLg
ZbWqtftEKucUPtimIR/g8+FbLVJUUruFyvW8XiwW0HNfe5+avF8f/TnnPjEy0N9xVTN92TbWM4E6
EhffbvKKXTJhit/5dQPhr6yd8lL7Fir7stV45yHjrWlMbULIilrD7mZiOoWPgrs+A7c7d+wy3WW9
pMCyXbpB8M5nDgY7cHnKAnfZZBTokehwhEU+PEgGZD6oTpQLDY5i7i6iVMsanfOWtQvZVoajQ0Xl
uStTN7byVbTMHjVE3YgwiMq5nUJKHp6VUbF02cvmVzYYHK2NjBgxKlQWySiQJE4Gvr4w9XCfdtMU
XGvbzqnIQyPUuxncenbVOEX5ZMnGup3RztZHohBAnXX9xLY3bDI8jJ0YP+S1b7+fej+ZnB2qX42D
DBSuSchzMCQOrQQqYKItljINq9e0VhX8RRvk+3Ce5rhutt3KTEzROngiIEA3DBHjVmXwNQ2GyadX
nt3umHG79XFgoV6oHIqpfYoRxLtCXI5HO2sHyORkhV6tIh+q93m1dsH70B8Tn7rW61D5l2Xz1QDZ
qQ/aTeb6MvXzAgqiL7PqjErJ8s7J31mOkFX7J/a6/odshY4Yr11dvWMtQgNhiKqnEQsY6l30tH75
fmE3fWZL8M2RHkg2Am83Xwebi+dQl4RiuVWpp2PNgubDhKLEj2B7hq8E65TXYUJXc4W3WHWY/1hA
93Y+PZhjpnleEX8AXBOX6kdCRcHJZ7ZfuzEq1v3QqZbzMitIE5VmJi9JYVLqfTs5HLyOgA63L4JG
PngwWaEXqNF5yBpRfFI1i7uY1BmHlU0JvA+msCluJ2Fzs3lKk1E/o7tHQuCV9ymJw8l1IQvVRDrU
1Um3eSCPQJ6ANpA7jjqlgo+8xJYEo3+0+n55JeW9mbtLb/DReh58h8QkLELNVL9HN8GieZDl9Ijo
vL1hnCGaXQp1nyHCmi2IpPuhvioGF7Hrpmlxj04DEjTtNxFmMkAGOHhh48BsSAiziRP4nyY/OtcS
T2xWdO9cMxPMT3N36zoD2iOKN3TuO2Pq6uKMGS4/h4KvuG9WO6wfoGqMAwsC8gOeQkAnQIb7bP6q
eLZ/ZlMK+bSprfeiAezqgOVHOjMD37htPek2Ou6QXZzRLSYNntQ8/OrR3nm7llXcdAr6qd04ABi6
ueUL6hc4/pIIB+WtZ1aIc3nvJZKrMQMfTCOYmPRXRTmsX3qaCUymiJjxaZJvQPaaAJ4OwsOmR5oX
h0GK3WHU3SXVoFQ0eSFCpsYy+ot1KC0r7vBRfcS2T0nKjiA4OdsVoAvGG47k3gLz8Xd19MtqzqOm
+O+rOahz+dMPq7ntX/xcHtneTzbyUJZBPHZCFvXMlH9JR0Swh/2R7TsafwqkTYr7S31kwOBCm2ta
Jjts4TIsYB77a4FkB/wZ63ukrXbgUVv9pfX8270FNkwgbbDlAsozKjGCF99OMaXNm15snP74Uax3
3dx/6YgE3osysH/WbP7XRQxz8h9KMQCEBDsiKXQENR5i/revxTjJWjTwYWJ/dBAZA9/jyeSli4rx
Sdw3yexhbcAspNxBXJtjle2lmKc7v06aRzxtpKSYFFpqgP0f1IxbR9cvo8KGvMLA4iU0hHsm5fyJ
7DYyWIbOuM0Hu99tPKtbeKrug7OkAXuD9jqzDIwWsxfuO298QYfQRhOA8q+QyKw4SNLPSYgYJxIS
QaFw6xJNUJ4sqGOMIBcxZ+V400EGH23VvwA9L4ne8vynAD7CMQ9dsC8MVyJ3Lk7ViEopadnn0Brj
jdKDdvcJmP7nhaSiSHx7CI8aKCseSnWnFda+nQQmne2HhTiySNR9+rKm1Gc7xDz5IbMpL0vH60l0
ypkeGLq/qw1UT9ber1NA/ndhhufTCs7AxLTQAJzBcyt1Mkl3WfvDyCjUn07+DB7mM9ZHzVE7FSlI
5cl3vBvNjvl2LK0Bp0KKus0Yapc4XLNxHrtZWfMG/XHPaQUK+BIk6iEj73rjIYRKjls+aZ8H0ebv
rWEJ0R4QHOXuRqsbgdVMi/elX5UISUCqvTDiucY1tyZUkicvIyttaRtKbnamK4q4yZxPoFrx51ha
JGfsF7t7cjSskuEgDrQTMRJASlBxFguMY42AZAmhKdApmvknu+2K/sSZTIJ7SugSowmSuMJTi+dN
MGGAWIKlcxiYxdelS03FC7fMxz2eoj0AbrSHKs1O/iCNNTaWIqEOX3Xz0RPt/2PvPJYcV9Is/UQo
gxbLJglqhtYbWIgMSAccygHH08/HW1PdVmVWY1a7WfTuLvJmRpCA+y/O+Y4Gd9D6w1NhMn1ZuREg
kVVujv5vONP54i9XTCHTYSrntRVmyFATV2AUs5bAB8Zs9jbyFm2iwGRA47z2hcqadWTlAeN/KrI/
KulREHZ5Zf+A0WBHGAV99DqAv+VqsKOMuT7oRGOtohB/XZN10XGZchg1IiCskW1j7vVcxNcnt3Hs
5rsQVnXrmlDiNky25harX8DUtpuQevGnh/ZnKX0sJyqAZxRDV2n9zVRWY7eht2jVVnXkoKT3FHea
c4FDScv+T9mFbrYxWfm9u5WBpfa6bTlKXLRL7Fxxu6uw9+16nWHRaOPagNB8bD3dNftgGMSnj8Xj
TXcZsU+Vw0x8i9qVD0dEjtniOO2hnxBuYF6Lq3wm/wvhz73jFeE3z0ROBkUPSmNtVYoa0gyKkECj
atZfHUYiNx6YqVbbgks5j8sx5DTh8RHv5WIajzaJCCHAtZD9B9N+zGq9U4VgCci12kUNzwy7zHRi
r5L7wSrPfXjRQ3UlqGvXGV6KZhyfewy7wWFoiFBidBF6WJUCQyvmkV6O9o4M8FUzm/2fGmMeY4s8
H+O6pnLbD0IxISP4zbtGwiq7uCPhYvoJnL6bKVUVatSswam5QjVp3KVWm7+ZczKmb04ROT+z5Y3f
VjVUD12SCWfTTDCV1wiJ8mXF6CQhNFGJ1N2yVTZpLagpiT8XRdxqv79L5ERXSpRf1sYoavNlz6y1
e7hqyIHDgwu10Q0wq2JIlWL7EoYrj0vXynkzJoUqY2jfThabYm7GWzyjKJgiMQ+4d4FVMX118jHb
dlneNQRDthmFd6IC+0gMJ7lwMMx4KFSWO9Y+GryGpJ2isN/GigHAerIjhYvdJQzIaOvri8SUIj1r
nHF4+SKsufFSm8O8WmyzNVBLden3UNJ1sVsP8SD7c6ROZS4I/2xSZ3oLc1D6e4sS6orLWVD/5uwT
UgwSog9f+9LDWMmS26ciJZByRQwb4VC5WamXGnksk3jT0sOFAb1IP5o59YY/YUck2S/OzAUQZWIX
YlPabYuxmGDeqXsgSgn2Yt94xsIADt2D1rj22KLjCJPm9BgZU5rf6Dq3rm02XmACFEVvF0SpJlmt
5Br2ZoAVpu0bg6izThfTLZ+zRVBtaOB+XJm+IsjA4e9P9hCnyxF5riZEeDUj0sTlldh4wn8Lo5Rk
UTh4pFCIDspghN0Eng62TesYEzh2koXztTBGbF8kCxsJJ5IZtP0zPhWN2GApmSu+BJo5CYdzWrQP
snXp20Jt28ueeK0GhjwZCVUMbktxlBACxuHXliI/pvj+/T07Hje4M4DlMzyd7IY7lIt2fMPQVjY7
s2bfvEvGorRQMFx3nQRZmBEsIpyVkFbqqXUfStRp7r4uuzE4YALFkrYSurSKH2ey2uhV9/5gxnUX
eQlUHqYKxfeC5294kqOv7ItGQy4unietdjPTWHcd72QTZGdJNK23o+QWyTNpEYva4MFS2c4uvEbw
08N+iBkzT7fTpOkgs7DKswvn7zT9GRZTFBukyrC2ptJ0znPG+Xpicj2Rr1FmuNJD7c/1QxlFxnDM
IO98S8tNofM0iBfinJo/2AxLn413o3bsL48h0fjbke+afbrMKseLS/Bqem78IrAPJT0GXUxjRkO2
njhGTZrDmvSrHY/KXKgYC0BHZFjmwqo6Ihr8mT00zSz8ylVU5OIGEBvlAlUKGdedlggGRLR4+5HE
wXFdiL5yN0jTAc70PcluhDdviABM9547PxW2X79jzSfRglrAQJ2TyJiomBbfxTL/eg0tD9ZYlO88
nf2WIfHCm4zTU3RzfYsCKNuSumZDCcMIuLIM6cZKTe0B22+1c3qWbzhTi7NtEBSkVLO81GWRWauR
FDdaPUZOdj+At8ANXK9S1zMuRBmEuw46H1NylixR6N0ERXc/OECpy8JrHyyrn7aqD36kLtU+G6CX
4Ws31yXS5207EnJYDPMP2uph59uwUUcyR5hjNONrW8z1XYQWc10EmbXvfLd4q6cseZ8ZU5QrftcM
mQnhGHzJlR3hB1lsLjlbU2QaFYFPaRCAlS88evnUjmE/DnoDTsLmgZamc+37wXck7jUMIViM7yjx
v3hM+rvZtYw1u6j26nUYLx3qfbxvBuL9Oaw6TFrjcqebiuGS9uWxheqEP+DKMHQJOcvmYdMapdiI
xTFuE9/O1rJty2MR6O5R+SNEBJRDLD1Ssyt2OBV+x/qqondg4KOzx8mZRjmReUzY1rZbvZQda6Np
Jk936ifzgehgtQlcNzi00AlYU9XiUSazviRW2F6GoegOwPAofoTpb9AmmCDjI+ghPuXT0KA2130F
ps90OwITKjM/W4P9OA9QnayG9A4nRS3P15lvKcDbty6Xx84cnmCngX+gXP6qRkjEaMAm5EwWcbfQ
urwHLJ8jJvPSu3EV6B8Cpq6GlmVjSDp9dtTNuAtyU79UOCXbbRa5Hx4F7UpBUDjUtYPPxzUrDI3h
wisMACr0P8coCe6cmUs8iHrv4i+22ElremHyKN61IkhlKkfnWM0BilrRNj9tZJNS0Q/NkYlmdaiz
6hGVl15nU029NyQsQBYx1XHhoMViteQaZF3Y/nMEGStfuTJr/lgN45aYLPDu1+7tHDM7fEB79Jpo
g+MCmFZfRtcj3ck3ETvecRMi8Sl5yYrhz4KhfFPXvREjel64MKy3Al8IHU3lbYyy9A7egFNiNTgT
9qdBj79Fm6n07wqk/2jv8f8EZ/8Tu/3f0tqv/95/Q93//wCx/2VR+/ed/cen+NfG3qdJ/797D+dv
7DxCAAw0zpRJVzXu3xt7GEZsRP6i2JpII6+2uf9u7MO/4Uullv3rD8DWveoE/9HYWyFcd8T8bFOQ
7No+kvP/QHZreeFVjvY/EnZGoyj20FoxY8D9B1/jX+RWg9QGdrERBcmIfHjjOTQcxwh5zaqy+5xt
tpURo8t+zjfMH9uSqnkT81jrmym3CGLY5FMw/cxOoQdyr+q0PUbCNAmvHFQe/vHq0c1Z70JcyG4G
4VcAhjo05895lGBt3zDanQ8LieDWh815W90Jz0D6axUWx1SIEuWeGs1JDxGcBBaLCfqOS5qTJr6h
tFjGWIzTm0tSraauHXW4DVO2zQvKpFJoDpPCIh+oHmZEgSlAow4VjCDuire5By8qUlx794kg1huS
C0W1iM3WT8N4xDTm7wNc9+XOX0xuK6el3lvsfEXUc3TJB5U9LYalTpln9o9zBwcFROX8hrCPYy6q
Q36wfnzs+kVu86R5d6UgD4h+vgo4u20NYHTiw10N2h0ANwXtZ2BeP2LPXA4JGJ593k7dzkOFczHN
8dbI3ZpvY9Qsw4VcW1HWx8RjUQqpaTwhPqk3uem864HAmeQqX6CEDO5sYSZx4ZpftV+NpBG2476e
EZch/3yNgkWdHM9Xx8w1699s9oZj0kpnV4dd+CIXiGwmmtiNmZC9Wnhlv5cDUtWiIRu4BV81SMJC
KmM0h9ve1imdXBiBVhSsgUBoPHtjZ0GaaDqbHjLRKMLu0zz3kvccA3t3GiMIPsfecgAb+oK6PzQE
BzDciiA1Mp6Q0TLIfEs8mCJXv5q6LVROkmCRnly8GNOeaqKtbjzd3NWEDKVx6I8SHLZfdmsF+4Hs
CgbSxBNHgOwIb2k5bG1JC8zk6qkEDrJiFgwjMuSiQ5LDWiqgxCsEXKSkox3F4z+sitTl/4CdqYw4
pF+IHnK8XKRXGtF4gRCqNkTaTveLW0Nc0gpW8WOWgb5YEeOn3lWXhO7ekUyEjguKjuLSpy2iG771
MjhbVfCVmZmJQARcd3n0rkP51eR0H6iYxsfGr71gm+p5IqQvDW25T8Qi91VY39u0XbAiJMe+N3iH
ktHfC447vJFSW3e1x4KHbHMyjXzWXVFtiRN9Qsjqv0PXxsaybjfVRMY1GVNMxRZnrvvvnhyUHEkC
5de6mpMdBPeCoYYKoG2xGe3KDdHVDGXChEXEnZ/JcCBAzma4wLT57Kr0wbHlDcArUoq5jxxQRWuo
G2BPaC5eSSILmrc+XFoywXuoYRvDMsujoXVSf0FS43YcK1cSRaPdyt+AB/TaExAxYLV5UBkztkVv
Kr4Vu7hobY7BjdE0cN67SXnsKsZxAhtYq6zFjel+gGPKckrY4DtvKJdVL8+cUlawEgyD6J9Dhktr
mUJuRVhqeq/uLGCmLG295U43v5SuHR+7PHG8GAa1M/9wINBedUtQEfo3dPo6h8S5vMVbDF4jVfYk
YmNBcHfMuc4Lnol+gYZYZ92XgjmarxKnNloq3QT9WmQspceo0EQBxbWRRHsD8FARd52BLk2OLogc
3zsPtWXd8wbPMe1oc0GvPu4kGaq7Oq2Wd02Fz37ZBzYdKLZ3EM9+kENE6ysGEmKwax6uOeHpSk3L
M0s+AnRBC+WO7Hc2q+KtHqs/AJT1qeHk37LICU5IcJzTIDL36La58Q2gzOP0TBu8pp7fmgfLHXW7
7azFdbb0hN42iMY/ZVpGRK7l+qMd6ldk1N6WhZ4+VtCxtzhdg5OFUVovDb936Q3r2vF+KCbzixqq
cLVMdRvzaLivk9kNq1rny9HPM9KI0awCIqC5ZpDlqvKMlWJBrjL2e7Le/yAVyR44dJNzFC4sdJOZ
JjDlFFl3GCB2YMvRPolmwBHpLx/FkDZbgxL7gzQhMpoL4onPRVWTh+z55X14jQcrZnGLoP13bgUT
FrRF4dEPk+YscDgfp5nw9Sbx7IdyoVdtweHtOG5DkslUCjhGJs/OXKWxx4EI6yxzp4Ol++k2557p
YjlZDHZr2/sslRcxWIaXEbGwu1MABO+12+5AVIttYLWIZInB2pcMMc6Smo0MYWhlzuTzIeKD7vlJ
Av88E2eZ51VwE0z9U42V2ts4bdS7sbt4v5T/D5Du3EMhTbXriuSckfE4JorPoiF+Tdqf0gI9zbjH
EKO/8rg0BYj0R5tsOorsezG3pxRcShD083ZhrXWyc2fZFlI2a+LU9gW8/63HrG9VVzPxgbm3HWz2
hyNfG9tR/YCZmDVW6QMub0eiHYODay19zOfvvkTuxF81DXKt2XJjCSUpfU5Cc8vVz2kBOvbozwLQ
n2ukXy5Iz+OyMHPzyLTbZCpoLuSn7YOGeF4RTfmq8jRRYEzigAYj18ieul67q9qwbz2Z7rVspicQ
nhT6ueFPGijMsoOc/duo5r6UbBh7uG6D89GTpQc/69g3EtMxuQnFHG7mJXtN22mjRvMWjMwR1A83
tc9aD+XbpWAguYJB85AF7TkqEEiRfB6Tv2vhZGle7MnbZ36z9nq0eqxIi6MflCd8+vowl9K+mmZr
vbOb5ZlIUAKXkQBvvcC886eQ3wVea+OYG0/7kBm77t13epbxoJE2HogjvQKNkMW5n5WcS675kJVJ
9FRGrbdeVK7fKqNNX8hkI/7XcXu9bC2ZMoSpVeESeDsHHUm/Mh+yw5IrQKmsQ5xq3fV+9Wk7yy08
Nhn7mWCF4HcMdlSPyX9ceA0xz2ff9pRWh3awGnO4WLi3WbCMknW+Q9eVMYVBLWhZHNalecqWRLyG
U6iZo6B7wLgl2LC2gcj9HW+Q3FqoYQ+IiF2u9FHc9suYYaB35Xi0mQm+d7UNO5oAzWrToWPfuk1k
3GOYEVDwrIlAOgjxwt9hhJg/lWZFYjBPMqgmCQ6wIQLrmhnFUuYOoDhbBa8q9VuUDYNCT5KTdHln
khZ6u/S2vx+uyMCxQ7lMjj0SMsa7LdO2TKriMEUsMLA6B82hB8h0FxXavSHbG/lF6ZQx8QftWqXM
0+aRL90WVrRKa58+P6mYMkMXu5XpYF7szCXlSID+mlggv0ChqO4nXd530jZuy9RcwAzy7C6U/Dtl
S33ylNddtDc+gL19byno70H/cMlBaaAOnM9I+AEgOClJ9HM1gOaV4jHtCx7ogaCksOheTH/uNjBA
zra5ALt10Rf3qJs39RSkt1Qt5soJ6pupN6fblBcaRJW5N3OHTz9Z/qS+8VkROX/MApXGbOH3KAIP
uA2mT1boLfnI6MoncxkOc9PqTWJzcTIlmOonvlb1LjKi+4w0+sbR125VK8t903uv0ui7m6tF7DDR
1TK3rx9Zw3CF6UBncSnJ43P/go0acoCsjPdPxLy12Tn0uE/WGGyLfTUr565rq+Vx8pby6GQOCzE7
vEBRhiFFesA2tDEatew/nsWc1a8RgqAHt7DkRsk82s6F9oBDwE3youFnGp37HC7ymzBLZFPC/HAG
K1z7kynuE3SNsUWS63dU2NG5CRfzzcsG1CQNZR/5D285Hn0iCNLwYZnrRzOvxRuYuh9jNg9VyN4r
6gr9bvZqS6Ryvq9S4X4hxWyOniHHh2G0OuaUSfolhyD4ahxvBB/pus+QsRGdWIQxU6Qk3iP4k2pN
oPnwOBI6fwJpgFrEVdH462lDbz1DqF1pmf3OGAKuM7s3mGS1wQcmgfG2apnrpr45MerNWyN23OqJ
8Dr6KnCQj6aaDhWbz50pXeu7gpkOAsI2WNfM9Udftlnc6NCKy5mkckW225q9lMC9rM33XAh7a/oV
G6CwflXObO1mR8EgC5sdiReM/fFAx0Xld4cRefJaIvddQyckPzu4ZueYQbNbeivftSpHroRQLOAw
irrkNCeW2kl0HffROGxoRUZoGB1QTL8xl7uS3RqLljE/YmQsn5cyI18z9b0d7+hDJsv+qBExsNlI
7jNtsgLJBmszFw1r2yDzTjM1/KYh9VTlRnuARx0X+PHe8s607mGJPjm4C06zk15ShHyr0gfDG9Jr
7p0hhI9iMLKXnUTc5aTRJ2piXrVwfEdqn90JQvlOcrHsR4tg37PLrbEuXWa/Pu6FuEk0JpfoCPBo
2hdN5jwUVEfb1DAjFCdzRVgimpS56ursGvGXbzQEmSdkdyyrypHN6Ipu291aLg2f5o6BqotrhKo2
v2uAbj7QptNdJgyrbsg//i4Q8a/HwkFA4oVZemobIzrXiWEec6a6K7oXoGULMptJG5LDA5F8rrQ6
Gd41pNNqHxSggPUwWbQ9qccYwMB1Qq5legkLVCEp/RVXI6aKxG2bFYjjaN/qnk9j6pC020O/Bcrr
PYDuc7ASzKTU2PKbBdRBOeR/5GXkIII3LRTAkx8cponr1JatuXW6/qWAgbzys9TZlcMk6b1ls9eV
y8QXp0a09mb3T5vWb4WZ2c9L1o2rGhEAAkg9f/F9QR0e/mqU87eepv+Nx/lAQHWO4Z1Q00LAEzKU
AtMYgZg/oAqsYkIASKwoIkI46AQTWHZdROKGY6K987IZEQ+I5SPeHY8KOkUk4xfnVIXhLvGSC268
B9vGqVOYRn4DSBTEkNpYZhMdZBReHK3IOW1DTXpnySdFnBiQmWhtjSqJlzb/ZE4iuPArxs9w9E6W
yvZjTdw4sZ8HM60+4MSi7mmHvr9VZvRiVDkpAVYW3GoqWCD/iURLtYTVVH1ndp2S3TyMl7AP/D3T
7PEjCZYJBiFr61ksOyxMJzl28hHyYf6lrhfz4MzxaMjysU/1ufIDeSbEpNymbiCe2qB8YnDUv/Rj
NN2OXAEbPSrnh9bgM5TGTWPV3zX8j89p7rtzpUuwsE5Bohipsf7aMmtvZRhlv3HsJTwGUsYGtoBX
tmn5DhO2/1lYvvc2T665M+z2XKlsRpgWQT2xFwfzS+J0+2lQ1p7++8O5bqJHd3jz3fmHRyThtXCa
W9nbxm5OJvOc180ZkXAaNw5x8t5Qub9u4k5PZMYZ7D1UuB6vwENgdkxiEdCv0pzwhcFwvpWoWpIL
BNxqG6vqpraUeJ5ZtXJuZ91d0cvhQLfmb7hzjY0ci6v2Fym9a6XhsWKKEhuRZj3vVcjBhGehZiWu
03NZcS0u+n0ZWe1zq5iPGNDu8VVMyz1Jd9URXgTNr/m7zEG2jYho3qJa8YONLIz+Uerlp0hs5tc6
hEpXm92lNgTXJPHjQPFgVnWGR46G4/S7xmRxH2o1n+wlMndpuxChE54h/rxSGVGPu6K/kRiFDiyq
3TNOwAbWdoUgGRJj8EGuQE1VmP3OmmsclV676ZVfn4dilnGQRMG54Zdbh9jDzMx7qTKopWO3ZCsp
FtymYxSQ2+CIXdnX82c1WPMNUsNqj7tOADtf3kZEtQz0x+CcLwVQb9Iz/sCnMNYmS+R7RGkzb4+T
bKx0EJcm65Gi0PkeCdC0H/PabLa9Df5bmdeWzlmmeT2GtIMAOTviV0KXlpoznmiZICaq8L6VU7Zp
OtbVgR2KvU6W9tAimjhYQ2RhIrN/jZ704sorHnu7XFbVBEvEJIjv6nmc71VJlBzxUL+2KqJTrRx/
L4BU7G2LpVvbEekEPvnORyXAkMUm48fPPe7AXhzZUyc3ETrdCR5nATuHuCcqSAaNG1ZVNEvT0K55
f7x1P9fjveGXzfYv21Jyhbl2oupRUoYURskUJZsFs8lGQclcB171zAXdrA1DL3ENwQkBouzXkV8D
ls+MD248I7blZJ5gxjaH1J6crSi8W12Lg8zC4mSls9x1TaaZngaUjZwPtPVDWGw0dC3EFGG+xzh6
3YOE1s5pe8DcNunRQwKwWnj9c5POL2QfqjXjRfsjrQAlNf6tjRudPZM3vQxD1F+frf5gW/m4Ywh+
Oy+duSl99w+4hxLLZ1bGSHLwABnQRMdKz+vOn9qjnQz5OXEQn8q6CBBfFUxeU7XDDzsdwMzrtRoI
Hi7d7HNWSeIcadeH5ARjGSW8glHb7EpflOpsD/782Ga1RxTwiC7yLkmZxK9EkZj1JlB2ypUzzpSw
Kz9xTL0mJ7tPGJRFKntpA8LfyyQByUSeXwHGqi/hEEPLdmZ8RSJ8m5a+adeS0e1rZU3yCeIKYF+e
qNI+sKpz8eT5LaOOIpppAsPMMpFX9E6vuCIrI6WRDCettoGQHHS9WTkX8n6HFx42279LDc8a1sbA
lO7eL7HInm1qANaQANEFgTTOPNj3gzLps4uW7d/GiiBOX5wJ0fWxZetNtxgNVnaS2nNU7FldSbIz
4yDnkXwtcTOlAGqOpPFQ9JOAJOYzzPHRWS1GAk+ZzeAvYlKU4JMy23oz92yr8JlO4x1D/2gf9Lkm
Uj59EstYYDr0qdDEJRmDZ0IFIeJVjN3Sqeoe6tQ7tq71ldg1hO+KoHslShQEc/CjBmt54RmYnpna
FjuCEDTqDDYUr1avkcIXDDjQppHrhsgGKEwJnkLWobxERW+mNdTipb5W5CEwWaNSxcuMVGm4t/ux
5lHo5mAfCSKA1iam8YecsVER40WoxGPdERFoMgZalz3Dyh7u2SuCn5T8rkmOl0kuN1XGdtcGmUmA
VKnWlb0YMbdm8zIr9VoRSizaIPnswtJ9GHPDe5CWrkG86/NsUx0CUavfB7egrBi8R3DRdAScjxnn
ESvDdpT1nRgyeQBnHjDkZGT+shB0dgDf6m3bIu/ebITMv05St7vAzpGpOdKvMWglbxVI4zi9Bg04
KrUOtP3eYbJwVUTdaLBZ5LAIWRc0vXUJZ8KhkSlO1g/uTdaGyyI9/Sl8dvx7kavKjqnCW2/vjAiB
dzz5UfECmS3CvjE0c3/IM2GxkoVA1zmnGdFDHoPxSNpr3hKI88Zmlk9jjBIj2MCL5sddKcyRUc5Z
sKpn1TfbsrmGxTUjcS1PpesRFzdcffWmp2NdinFmC9peodT7NBN1T0WUBtN0Dlu03WGP38Dmu9kO
S0Ti1ZIs8TIur3PW3DGQPqbaJKMQ8d8qYJ+wh9IxQngrQtasAimUxJywTBqmd4hqZAWNkILTq6cd
CeTe1kkZXoOUuvLpy6tEOrxEyixuWHWsoHMH72nX3cJnc/HCzGJnT266xdLp781mNm5JrWg27Ltm
stVCWJAc7Ja39i3VHnDUhCD0e2Gf0DnID4iBwVuKbwB/n5vHFoFVH1kbEjfEYLRhMMgslpARZrti
aYj2icJ9iAH6OGaOGLeTHDrJ95ODZRptLnoCIUuDjAfpQEpyHREHmQlw2q5Ncs6T8gF94seSJtYj
64CzsKzDpDM5br05m36Xrpt3VkdFbiZVuab6rmNl+8m66oeedM4cswpXp7xlkw1bZAkNdyWZT22x
STpM4ZG9Mbln0PO6IOvHCGwwvJ2pbN/9tv/TN0yWq27wzxKWNToRamYKFKQU0m4uAziCLyXD22Gi
1yrGnEgLS0eHwpxn3KGZrHCA2vdZ49z4ET7DbtC7UOU3LQumTvrRyfIT8i9cs2hvo1ClF5edANZu
ZAQd0dAWOHWJkQlkAVncyPMMbucnI0hu2HFwH9JH37cBT6XJ6O/BcYuL3+ZbUs+OOZu8znJ45q2s
fm8xcDJyDj49yXTaddktZVGRPli4qvcMALL7KiiaGI6kvfNnm5ltxg8d4ZHVdlR+yaU49JH6rCUy
Kx0xl3R8LDgMAhKEkEKa8zfnrXhVXTDxNrbX9Bd96xq9h39hgJxhMBzAvlEyO0ISPu1H2XmPQNpc
a2USN3+wJ/ABTjFPG1IPbfyR+s9EUgC5Eyy9eO/OntDzPkinZaNDvNORiG58NJB3qeQ7RN5DmVCx
gzuoTISHdmbDhAWi21RkTkIpQ6TSDI5xQ+pFt7EsKU6z0U4xTEFe4hrR72MVNu2jUuXDNTCB5tVV
25C15goqs4W0wl4OaeUhZw5Ec6jH4LUu0LSwMMQfN03iIgyb/i8hvMRGt5F2A+3qmN4E1w+1s7og
pncrNqZw9CankJPCeOt829kDbqFyK5qXDDz+ugwtAiit6RNaKrIGg6IdGxZ+OJ8j5FSDf72kTPk3
uNW+a7Rs7E8d86kGFEB8pLr4JIvFiyWWA6jDLb8gQ2jc+NcB2U1tlkyMax0jHDc+iNWCo8ihdZwV
VmZrJEaVhJYse1KouvtTiQeuwz5KhYSStE/8k2DGn3x0HXDEuMOPb53KoS1WCnTq0SgIAkymKZ13
xgykneS6bhVJCl0Ec/7RT4SdP7PuyIp1GdED70vg9cOGZjBrvxJwIicbAOnw9L/Gi78bLzwT5cS/
l2f8Vz18dt9D/v1P1tS//qe/SzRgY/1Dk2H89d//sFf45t9IU3HRjUU+xEQ2y/+jwgjxs3pwj10P
vJ1HLNR/psIweVT+SYYBMilgG+2bLGbxPJBg9S+sLqlRHsoivL5ko676zhbHsrSiPLSQIDpdYqN2
g4EgUaoKNfxKSrPBvEtcz6JwNFqCXttVI5iVTWtyFMB6xk2ZOr1xcbJUUkpXYTRegd+6WHBpmTk2
QjSmREPxHvea8wBDpFrc+bF3PbcwYqLUxlkd2YfWSDfI/UX3zDa8w2SNMg05XjcxbblthtmaLzIp
oAbQf1JOsdDV3Y+JyFTEWiB//x5cdU04TQctYogHnYxZT3b2Ts7VIppj3Q0p7+WQEPxGOoKEUbfX
nivYJmg3iUpmoQyfCX2c2UKZG8hKFoFykbecq1S15Q3zwj4/9nklw/oqCG+b7352xPC6NHPywJfH
1G+qxiDbcJjY2YVkwGh6hcWiYytM042bTSDSVKrBt2aBIeU9lCz5zL9Qf0ZRK29mA/v7itiBTKwp
sPxmD2lSo19gVLGqI3R2u6Qb1A9FdzucNLyCu35J0I7SCzYsHN3FyHcl9hr1NkRVe7g6keOl993P
cuiIvsuJuIA2S2zo2hBMj3Yzs0FGFpb1ojh5ALNAsYed05VU86wsimFdzoMj17VZTYBcFOa/ZFJu
fxyyrnmdREa9NWqwYAnxTqc5GmcsoEuw9FusbfhAy6YmChWRPFNEL9H7wuuHhVA8J3DtR6Ki2/Kl
Xxaj+O0pl5nMII1xAGqkeXBrVNmckr6AZoX7NrDtg58zRuWbZix66jCzll/m6IpdOFgENTIqZoDn
AXC2XVqF2Y8eWatVDD4zTaWW1XmwaQl9vWWFkm96mvZ1rwOc0OQ9cydP5d1CrvO0MstMfIQsy7eM
Pwp3baXwgBeXYdPaNDxqM8J/ETg4WO5WVWIk2zIAZTfjUni1GUgQ/wVjmCEpSO9nEfbTHdBTtnqe
XPKnpQPsgme3G+ZfkNxyiD2nmdQ9GoxyvdjN1N+2GscHi35bw42GPTIlWVxnvd7DVCH6hkGaWANn
Gayz1QkjzhC8sOcWFWtpzJW+eapL/opT3gWdz46NACI2ZVkfsQgHLx0OMhZglcgjyVXz4v8fjs5r
OW5dC6JfhCpmgq+TZzTKkiX5hSXbOgQjGEGQX3/X3JdTdVwOkoZE6N29WpN2/iaV4R+wiKyndOb4
T9JFsQs2HkWLP7zBTEcam1646g/iqtihhxO+e4O9itk41kiPMVAd15EigVvaXden/n6I/eFwK3hp
910bmJ8ZP8hHsub1yQtH8WmmqUy3XkpdHTuZru5H7IyvCQIx2aSpcXdpgo1fw7Lm4Zw4st8qXIdH
GjgCPnmYUbgapxQBNptaHPmiiwlAz3NAfiqZZnh+MTW4K/1xhcaURbJiP02rPK3z3O7pdSYokE5+
KeExuZnzjO+JOe8YVnH2N/L9/qPyi6q942AiLe01ZigPi4hFuYdA7qsdo6L1NNO97W5tKrz0aoO8
ukepJWiECP1BKaV+Hxdv/ljKJaF7zIQOUtOY4S/yymjbZFq5xXbRgaz3DY11EHkcrDvGBsc1KrMn
U8Wee8ymIULvJWNebUSLBWMqhLxqvNf3HrYQlKoi6e8Hk5iPqCsm/1cccPPe1unsx7tYgcuiEdRf
eSoWpvhBllL8kkb2QBA5vh/UQP1UUMtGMwn0O0TPJU63Zrp5fuTUS3q6quxBOmWNcw6L6GGECO39
7oPVEBFdqErDSssCAtNLcL436xhA8L6JlLUl31HSrMaaz964S3JDL9IMAOhXKlnDMUmtZsC1C79v
YztvQHAkeYpznLjdl9fr4mltKcXbpWSBFq6o1gVcWI0mvQpi0TiWluFa9BAzdZyUhwp4kL9zqtB9
IUIRPE56Tf9kGNapTONsI8sdtdOoLEtX35piVIy4pTwoNTdgNMCjmkH3WLGf5XbKdg1u8PQXaBlA
RcGSON1TF7HQQDDsuXvOROzn5zh0C3RvCpiPA06z3yvGfkoFo3GGC0OEK0GeLaj3UbYFC5LxIfqN
q3YSw3DQMKwRfkK2xPR22fDe5y/RaMXdSkN0+UUOg4lTWvfovKmOb0J1qp+jsCUrAgZx3BlM5c9a
SlLoYC2D5yQWrOdIptlXzFX0XRMYc95yp6ZmqWF8+TOQnvxULFE0QHn2NvatqqNze6/w1Mj6MPCm
Mp2SCjdZON7IEAX9hI9tSGRkTxuaus+mgM4gERki+4ZLUAttYG38U9JVzHIHHY8AuuClEXwcMSb/
6aLh9k8gM+GHK4vs5JV9654GQ16KGBi96FwiMNTAv4GDKjcdkic7Pe1dQ+VihcPslLwlHQ4lV924
cH0fB5XmmkgTAKdx9G2+tD6tj7Pv6PUSx+H8KHMtG4LHommpKIAXxDPMcg/7aFTo0o0DCClVvlI7
V1FFiB12PUwjqwUWSxe5LKA3CcN+QcMBNB9zkcNgAcV5Ajh8NjlKb8h21M4fgmpO2e1og+CMkKJQ
Lwe2e9ADtSNI+w1oDY8cnxZWwqI6zuvITyurco4/BanXb1O3gTyCAlhQElxI5RpjeeGefAJiDSk6
0mJ4Q9Ku2eaNFdV7gm5r951wpoEpWVqQDvPaBBOHXz6Iua7AF7QkMvimmpqetTQvmzPJe8L+nCSH
+cjuO59pi9A1PQhBsGd74mNKqixLb1Y3qW+0nqHH3J8mdNKGjBU3HZOvvw11aNkpi5MeQw52W/My
lfRp4RBNyidw64jyvte09tQ4vqY6V1bes6dAlWzDKWERd3H4f1ATMBL7Dth031PCj28OKA1nMxVB
8u70K49wXFXNi0JI+U2zuPgqGPC196nBlPBIrAQZgYpTCDt1wU1sXLFZ7D3PM0+0zgAbcEsWuq2M
yzj/KDOV/anzlHqdFFoetYtlmgXXSdAbdCdX4VJX3fdoL3g4EXWSTPj/+JuSGw4hb14k/Xz2aOOM
A4ong+BTz72Da7N0uGrtyE411T7E4GDx5fnLeYS6ib1jWG9QqJBwMR2mSHzMO9fCB3fRBr/bKeZu
2CMvi8NMCK5m1Dlm4FVraefX1evnf2uOj2ZxG9bJxtgRfoYLowPyuIwJbbRJ9IxzZg6Pg3Jb+76Q
cmoJB68Jjy+qQHJIqSEnXDj3yZWPeMRKKMroBHSbnmjuzd8WW2aKCQWzB119usc3LMuOr09MZbUL
5waeSD/hwuPBp6VrmweBifYk2TyfI28Rk4nAJtXsy1om+q53CG91Rx+rVITAmMypPgLmn4ddXETz
2zIF5b8hHmCYxbYSOzI9Rmxhe9FoSLlVy2l8HuWr8UbhXhroT/mudJxGH0xToO244Ff9h2VNOaVU
g+oI9Q2yv9dVFrN/gyUY7kc30N9TjwoPV6NAvltcL/uDsp2NT2FD2ukyYm09LtWYvvQ8PeFRh3Xc
fncjGcMMbpZsboNBp3uxEZOi52qNVsYTWGsEaDI4i0mEo8gP37t1hu3ihb26G8KMCl4TVUt99BNr
gTr0NfldFcv5T9qgp18spN+G7Auuwg1F4sn7iHgjDoaG1GvI6Qv5u8ggVUar0MC6ZqOgPhSkabbz
ODPljdiXmINmYVDuF+vggDFVYi/YJWZsZGEb0+uR1mWz7axZX0ZLBQ3esxWppUH833C+x8ISRk7u
ABVjxefjMOE1hQAU8lggRR5wPrT/5VUpYsbwUfimb/sq2IY2eyimyc9h9q2MyL2g8exe0tdJNr1d
4+CQQdojdtx48g9VTshYNkzTS4y/CChmP7ZYEbWNoLuJQv2m3n0GxcY3jL0twwH8JPGJ/xCMKxt0
3WK67+BN9ue4G2P6bleRfVvdqrvV9NFzXQiRHxodKIpv5ZzfcwNlDMLfPm5Iwno3vzYuzfxcraTZ
r94MJeVuKWpS6hNhxX+tp0jJyClzyj8B5gbzz4GWNmFU7v2brEynxEcyR/UfIo3LUQF7vTO9n18i
RHnObFn2Jy7DW9p6qMMP38ox2DNnV79EvEaGv0XXz5HJ4198z2Q0o5b1YJO3CQaCFpoh8yyKAXDq
pXp8N87opfdkk5J4z6qUwykSfe3fu4kAhxznAPx+zX40wGybfKN2EZD98uXGI+8p141yVGCdcf3b
Nqssq7PNZse5n3FsTvvWDhmCdIpJCeOCrwjj6iE7gjVY3mhrd5xbp888bqJeFubBs1H6e4I0yonX
KNBAhALWJYO651FUK3Rc2J/ZGdvw3UalNxzr1bpEKUNzzJcue5nW2PnlSum9ExWezrWTr+2voBPr
Dvls/PLZn+Rz0UMv3xgZzjzTkXR2ZCpXztaEtGD3jDrvMekwvj5nMdzSDZOWgKYevD02yspT3Dfy
mMMvhpypYgTaMr13bZojJpfuL+HUACe9IUUXjhssivivDd5zwzluF4IuoKiTm9xTtEYuQ+p89emM
DwN/ZVgL/nFfRpZZE2qvk+0JNCb3nHinLw6jTN+mqNInp1uW60gBrNw0DQgAKKi4gw6ajnl328k+
ircprVQd/qqWN7pJQl19AAWsm/s2vLXV24HbLxMhAlcbGYXFW02+Y7nZXDzuxHNEUCsIiiPITnuu
hSz/klHgnpxm9Svg0dShTTsCnpon0SMTle4+cMeGu4QFHypqTEUglpw6/ZZuxSUG08XwqClx3KpJ
5s2FEKx9mF1tpy9NiO1CIp0pZ7XE6k7KwdxN1bD+W33qEPYj4euHKgvM0SZZi+++MCACYfAUcrfG
5frS0JuAp0rlyQIL3I6vJS3ZwAHh6+C6bLBVb0elhn8rfL331I9NdBkY8wbbtnQ65PI8Tt4jwr+v
txHDTRC1wcYIHzZPHhg3ZSbULN+hWNxXMQfur3wBGp71pMP3AM3Go5ae4foVV7QS+ZX6z3QeBzOv
WB8YYPOprnJcsISVA/WrY8TYjoJUjsPMdacNtdaFOYpGzY9YyOQxwU6f7GjCFgTWlkGe4eb4e9gZ
yl4nQm7pFs4fLXUypJma8ugaxCIX6JnzEaZOpx3IfQ8qFeVnWAg+PEe2vQQHzCXg2YUtiU8jwrL9
g9E1+8zmkCuo5Um9AE/RLwArvDdA3TgBOAqOzaMGFMgw1VaJt/dGx7msnM57tNq6/QvUO4g/KZ+M
SDBOQFdwMlbt7eLq3ZfcYe0Lm1r4G4ehg3/V+KT3xrz+bBItlwvKNvTlPEww4gV9s53KvnyVK4TD
fblYHZ6yAU7cFj7UdEehFICHbNZRcE7jRn+uNDKCyu1zasvWyQIXqAZuPgQf2d8Um/5ppTb13Sa8
X/thDpbqrlTxaM6MMUS8KzxhvkGV0CoSCRIcBC8egnw2f9cgaKujRmFinJhkhCFN9pG1KfC2yZsZ
BfkYBLA0ueEJD5xeCYAs4Ws90+eORZtBNtXA7fDAqTg+3EhE7pFC3HXD2srELk/rFNIK6eD+2Wlz
WsvWqRf5KwwjHh53FDNR2IXhF9tzF4XTWeHLelQT2sIUlb56zd2EOJOdFa3fauzvcjJj3iYswji+
uM0iX+EgRHtemOLohVl5DrI4hWsp5ZPjM/7YwRuoo5MgCrkbQze5JCH98cgInj7YRZfvwDzrU11P
rdqsGbffwwTAZGFrjrvfdQrz/9cYxbN31w6IwqwXEEDpG5jH88RqdStwvYkT27ZIcIXrPkmPbJfJ
K2Q16KTgeDU2QQrInwF/Fb9FGrLk3sSH+z6tkAKSAGvXAdIYpiEnEuYkcDjw45ql+OJUhUED3mvz
r2U/21XN1JLY8Hqu7UL0pLI8KzA7oklyeKD29IJTP6ZBqlbuvQNcI90bv4Yauwlc+pfe47Fqp8dy
xWX0n9azfZJsTMtDsQISYV6CWDfXkHHWVCjzURQOzrFWzcFuiR3SKX1Y5eCpV3yPZIx7limS1P5Y
YUJHRGnHsG7efZUHHSgaon/Uijd0dnEqHhYILljsUYC9qP9pG1y0KumlOrQ9lIKDCoabf5Hojpc8
Y/kE6i7SBAyAboORmceSjoes5J67CVbcRUsexQ/gGUNYyaFxWoLdgsZruQzNNapbqbbuPKVbAt7L
vwLNpaQomSvwYZ5WEBy6wPHMOb89RR7Ut0OOZv3Iq7y812k6v4xphiLAsqIC7uaxITKnlgqPPOSC
pZGYLfHVk+lJBbbnAnDYp42j8lrm1FNu2BQmiCILD8h+TlQpQQjNE4lcVCl79nJetV2u5uqzyzzG
0kbI8cn3lpGSLlhs1NfLoDxLf2kTpkBp/kbBHKEcPFd06PUr/sVd39eRueaqGTetcZzfFXRSbORN
U0wnCHNmfl9cOf02rYS4iAl/Wyt/yLCnQ4zEr79chGNDhKVunt7VMrJkTk7nLHu/k/KURwEZQZ0O
yXJkNW30c1qKBB/covANB1WCGIdnm7XbJp38LmhGzTY6G3McnXHVPnplC5AuapvfRKWyq4hqatdI
GVEPeBtRA3RBaDLRTKWes4SnXOEYoO0s8oDotHH5b+pwDCOtqWNVdOIo/VFcm2m0J9NM4Tnq3fAR
pLzzG+6dufJ9tY+QE8TJUFNyR0+zFx9hHYoJn6QIfxqpAaVVeINOEyn44+Kn2U8+yOC97NYG+KDV
FrvHvKQfRV01z1kjilM6Qo7apEk/XPDowv3IPIEx2sEJW4Mngt/JCT5HU/Dpnhk2vVXyLw17wZ+u
FMPZR6w9d/DvoO6CRziA78VD0QUriO5kBi98cGGQ//aQ5nmNYu0+U86k8gsCpw4uOZQuPEYMSmks
hvQhd/VYDKdRGkgUiVxKB09JsvrEaSDkHKvA6FtZnwdauoJYw/6v9cLx3g1UcpeCoPhoolQEWxz2
MxqgV4grft8u/kF2ZG6aWpnktBpiiDnU5YQQ3bOawY6Zk+NsOfb6wrYPGThF2u44Ys0HGDAjkoLw
VwYJQYQjkmAsr9wUZc+mmEYw3xFR0z3OEirKy2y8mYmkVz3pZZo+08XL3vIOIDnLlmIsEfazJLEC
MWx6CtRUkCXh3Ge3VPtQm5xXKs+fDKnA51CxXzwQjsXyQ4BHOf+x7qWfawggitxMIe9N0XlP6O18
BH4tTmTSgm7nuX4ERCcNvEuYt0X7FatKfk9hXN2nlY73YVl2n0mLIXy7grDG8ymMPNFLMlNRwNmz
Ppj5pl860CubEwuNuC7lAEbarVIaqYZRlY8RvtrnyqqluYhOwtDIo1Z+EwP23H1FypJdhjn/Lm/T
8hAGzAAYOxGXbIn9AJoHoj1sgDBT2l7eOvd4uAINo3KZh3Iz8Nvt6xhn5bH2ZHihPHH4pquelze4
BWsyLxJyR7effwphapqdjER+RzBTQy6upuE3mOedZmBP9iWDb4E/Z1cSiTnLZL1Zq+Z+ObTSFz+T
v6ComIaFdM17dBlu2hPGh3qs9YYj//JHcsi55s4gEH1Fax9dUwV/M2/Sp7UT0wvriiW1UtXpITUi
vYaewDNNkLxTx6HocOuuDVrBPsQYuwXF3xYv5PoKysd8DBCHrndQCigjLrZWOtV7j/V2Vw8+LMti
dF4yHeqPKluxZhcmaT/y0YVHr2tRl3vHAlQZpCDhiU7p/NcH0XIP2dHXF994HL0jsJ6W1bAK9KlL
spLC8ugWCIQ+tXTPqCOECEn1ZE+QOhnhV0sy2DuFJ4+mT6HHR9C9nnxroNB1T6HbQlPN+KXoKZAy
OaJ4+PK45HHH7V6H891IAR6NoBKPxVHiLtsWAcYFgj8hEMeeIczEzYo8x3HEApqxCKcMv7DzhQfH
TBKYZmLB0VJTTtV6QVNlu9OuwKGIU65wd4ie40ROkO3vrkcmXrFHJXjrCGjhkNwESxsG9zNH5L/p
Krv8AdL8rPGvY3egqZLUxS5ueBBZ8kr1kQRkL+96YaZXvy2MS1hPRJC4Wi5ekCdIULCZBNvIlMWr
KtWM4RUsHGfeQppd5Pdmz7WQfDv5wA6Ci6x1iCwt/CL0NsMEHy8nALMUgPEEQTxcoRUC7zZS3Xyc
eftfV0c6BG35981mMU3fb+NRQJBBR/2T+DmWjl518Sd/diK/5rdnCzvhyKRp+l690ftwkmF5I0HD
0CpIO7o5if+PxEBafw04IVlLYjPq1upXNSezuMq4Ud1zGGTMQAm9eBFju0i/gTuKnqNem+ZSFlRX
YMMZ4utiuoC7f5zq9rkBjxaf2vSWmUnr1kA6ydt4+kqH1NO/g2xY658VS+LCQhSjAARuXjSHrmzL
G9h1lhQU0K2Rs+sTVfjXN0lrtms6BXJPZpROL8s8j9kmAQpBlW6SUmtCNvieA8v8DaUwiYlF0WPh
BvF8n4blqB6WOaILlK0GYWpSEzu8PzTuXpJuqr6ioYu+vXHhfpZYl0yVSPs/hAdHuQkKavtoN9Ql
viS4wiY7cxX3L1PhTfk2jDyGHY2H4QZXXnxfRY2linCZoMB10uhHRg4Oxl8KCdQbG03cI/REOIX5
InOOKAgb0zs+hHS9OEbXxxCrefSA8SZhaFl4oVvjyx5bcw8EmIy4i8g4HEC03eR1pI/3vPR4StfM
TP9ZjEPehaYJrS58qMEd8waXSta6FxOwpHHFzl2FtftmI0x3l1l3VJI3YtFfKXN6pNL/a+63r3TF
EuCRzLXzPM2vja69PQ6O5bOtSy5GGNgGdalYLczZdvnsnkFzqHPUiSVidodU4ct6Lv+gr4v9lLSe
3SXEY4MjiJzyfg393HI5IpFeTlT98ilwne/Rbe9ElbgvS1SJrQTt9KVkHBqyFl2wn0BenG9oa+i5
litC2nbx8EZdxAJNoiKRed8Tdq7ObiTsNrSGopjKde6Yz7YfywjIP91YsyQLgerOvQcc5r5Qf+2a
neb6wDl4WcJoJ5Qddk4fUOjr2KZ6H60jHAqEySfvKgZEdBmVYfZpddndcRRngGYDnGYVx92oevfk
sn47k1p5f/Av/GLfw+tLDRLq6dUSD1zdE4cbZ3ZIqCNHf4LSUPmhrvwuely5XXGxjwe9HArdT/kr
N9XY27QxR79TmiHr1Jsoqc36exhWP1x2TIza/JpNtp72nCOKJNoPKS0E2bWePDkX+6BvDZwoeP99
lBwLHSXpVwwwudmFBEfG4A/tTMLfcGBBhhkRPM2zo9gn1l02QVE/g9Kl7+EP31bpnYLeDXA8JlkQ
Tnegukdq5TWtaV5zVryZ82cZ5pn3pLWJ809KFUjQwGjmClpveTMw3QL3cMSDhwOUAGfUmfG46DAD
XpUXpXNcXbpSNg2jmuQL43FCcTC2B668W2IA7bwXUzLgZyGsipkf8Gd1mIOJoJHGWT+8dsxgoJfw
aqrizfXBT4EyLAdk+wvgIwEHUoNogRCFsVxnztasVS7UDa+oku6YoEsrpFbIYCdSf5zwHrDbxfpP
w1PDKX+xqyYTLPKRQ3EMRZ3D2hKE8xXkUUXeWzAv44qAjN091ZZQE+hOVdTdtuuqNINVgEkn3lnQ
swY74lBlBQSvFqXtJLi7gt+EITCVYN8rl0OyRZ8Hflov43RSqNYEMgjp53elpzv1yMoxcp5mxMtE
sB5LopdbrHx6Drf8GIcQM6nbaSpb5rka2kPSQD4uLykQaS22OViV+EcHcR+/u5K41ZWLbFfv54ZE
GESvOA6I+/XxetdBhGZ7dFLpEs6gcMn5pUVRU0ODVtXsGf2zuDXQ7eIzlE63fEBLg0GdjP1MsEDJ
MT2C8U+SH5AGxE12+JkoATrRhKv9XbCESwJCzYY3c5CGShXOe+ZXc0xCHXO6i9dGIAsyLs4SDhIK
w+TCVa4qCv9EXFYNd9jJRtI7EZdijs64SfJ/fcF47HZYpytIc3jGBRiCRSdTM78MZZu56yt8Gj88
YqxhKM9JaSQbhc8bCAWz0pnSgSyhDqXZxCvel62Om8JsRxmM0829CURCpZi54jMDjBGKZkJ8AkiE
dvw9JTW3ors+K5Gj9Fgt8kgMK+rTI2vD7OC8dSwGxIGWIPdUlYuYf5jCVH128OUEQJrvL+zPCs7i
8DzPuXX+K2DNI2/zVrR/ukwwW/kvhGXFEBgYSsAci8PymlAa4+W6qDcxJWfsRE7IDnoDrohe/PQW
ouFOzj7G3Aq3SX8QZDZnVGHUYOZyyHqbNluq6cEn68981uuVvRhgeuKhGIib0XzmlslT4icN2yjp
TxG2WzrHCv3aYSFNSPpEhBdU3zr6WuU1J9SQZhzL0DhX3ncREfulaAQ1y73LAAt6TFPDPv5vgGEB
Zi6HtLf30JcHisdWzyPvXtlyujc6aN4cmJFQerWbVH8K64z6sIyLhJKzQXqv0JIAkpeZq8+rxZHw
NvljnY4Qe0RYPJTo9d7BdMwK9hOReAJwWrcghvUN5akrDkHnQAkrft/GBNF5YMOOv1geWzD2M70C
vyB2LP3D0LWxgGE0uJkh0dtm6x3MzYHIr9d4ZOynnLWO3WICH3C7TEBqBrGTt3qfelKth2TInGBX
9dUi2CpXZb9lNGTe14gYGl4Rojg8bxKHLeC1CiJRUejtwK0/um47gLIEM04TOStWzCyZwWCSMEh1
cP9U5DEnUhfo+XWNFVs0jiSkHq9uVgGi59ibXNBy9HiGhRKun23AvfbSiRQw3a3VqUt2rVlae8a1
43X3ZgpC+R//XbhoOQFO2QcZM4gizgb1qblY7RbzvvYWnkiuPqkkdVWQ+DrkaGHpAatiWb0Qysu2
4Je4JbAmigiMPfuw4VbhVzMskiblR/PQMMFKPqJGdwswlcgsA9CNzK8vA+6F9OhRPiSebMT/nGLH
wV2+KZwBHuaGHKzkjJUoTARPY8eGuV2DPusRdRavT8/RnOn6UFENBzCvaRv/hfUDX8WRUftavxSg
Eam3NfnIcj5Udb1cMyGNw9nb5GCs3BrG3a+gGoX+MbVysp+o7abyhRVZM4xqgwECLmuNd+3F2AUH
hMpy/MUVTGanNUNh+o6BEcVkozy0qUce8rl7X20LfDADxtHbl0mpkWigO4/jniMmI7QlWilX20Ru
vNSfSw4Tkh2oWLL1sk4t4I8Aiq77XxDb1tBqOMpnbNGsd4xZHuPMeOQYvCLki3yk+CwNyKtZl8az
cx2byR6icXRgjiAHdubbtC5wQG7z4QS100xuC1UvXDB63yGDKNPh54rC5HFZJZ/TZsVskqu/pNZW
Yx7NpG31lwoyLoXIULkG8VgZzv3+1ZVlaDm9oFpt866berrUnGLeuBMgsz30lolxlIefXewrosHj
S6CqtfWO821C/+qVWrYnNbGTYsexVUW1U5NQpv0VmZXwx17S8nBj8XvKrPZQOox67JYfbwd0InSn
4IFbFNlS7DJ4N540Lj8X5wcervKEA4UcRM0eDkHc85aZCsCxXjKm+maIOKwaE0viUMHEP5pgr3su
KJ4DSp17DiOWCJ+d7br6PQzcxQVNNPj/1Kz6L5MPwXMtFOF1X4nxOnUtrLMwiIZm28AoTh4EyATs
uzXYeKjdCTbzYypDue57WYOChgU6T+M+cnqHwNtUGvWSQtR1D0k6lvXPaJD9HjF1efOXN5F4ZP/p
CAtTahNzzyNVnUb1EQPlxEO70i6Qc6V1guXq2j54sLXOD33aETwtRoHFMy+xzzkuzVWbgTw/yrAb
9E8N8aQTWS/G6D3Qz9ParP2DxR9Wbxp3hBFOdmMHO5vkRVXMK3SHLHhUA5MrRjFd8dWXxLFykpuX
0I8IBNmk90E9CfEVRQF/PBUoPNGaZr9asqu7PFLON8fNAKpP6N65fBpbx7Tgjyw70WHSzP2AcQWg
KMNqJyhZZK4z5P5TY2rzqCAxA/qlJzLZiDKNmC0u4UNme3oYKBu5J1buMDtGgz5raepXUjDeFhps
/OJ5SmzMSvh7i1TrdVy6F5x+rBC/Gm7GewBc02eMqZj4G0VhZAezXdvJnAqWebgUbHkkstQYfTgZ
kW5uTuStuWEohrNJkxIJ6gScK6+Nt6iO1Se5RsbLcWP/o0QrWh6Z72Qc0/oqOMGQUf+GYa5GmDW2
ui2ZyvtbBWu/bBPpEhiLFoh8/H78npmKeTXC/EFOfvG7ziYcLkSNwnc8tPgzgiXiiGAm/9xHjcT1
qNIrdEV0RpFhUPHmnICJ6CkkY5Ft8V/qCSsNoZkeH2U/7FRb1PsprLxT8X+7Lto63X+Lhc3KzuA8
+Ja752Yu4XMqMEoxhPS5f3PGECsvX7C690s7e5sk52nM+qq+L0vEmTOZMQwv5NZ8hqMxHHhPC2/e
yr5fyQ8vy0MEq3DLAI4EWOYoOnBGLDnsLB7PR2dpWLwxSDH8SIh7M7DdcpEZIzdwROx8iIpMh9G7
i4r5PKSkMue6bnHIh8oEWHFRTo59pIIv9Kzy4A+FPfpylQdGZSiGE313WzsX+dnizXikZa6BIKg4
shcmWhEpMbaOV2/lXeWGV79WguE9soFcw13chdUdOSiuvF0jN0pxb9zOKyNDnusar1dUggTT8NsD
xjqrxVAgRbMeUg/xaEvXy7BnXBjeUDClD5EwYFRRLp3cCa8l7s6NHqYOQdRz7hPQMk5JbWiHQntO
WYDO00hojQKT8aw6pMmqqae7nF/8xE/bvOYTN1S5ko41I9IwFwepTnntz4/dXBL7lSq5B0IwY/+i
uOfBNTNCtBNFkDzqBGsZROvgBK9JXNLYBpSrqI4ChQRKQXBePF3cgBHN+q5TUb055ajfSZ4mF8/2
3r4aaO8kd7ZmJ46ujDZSo0J1HScA1tXMSZPkepARS7226CfXaS4GzQzHda8zEbX7HFvLp+y62Nv3
denvmzqS7vaWeZCnYEzg/6oqLC8kCngV3amuH/tqxFgk2WlUwOO+gc+trj22lvxAQ9Wws0YCtApw
vmw5/UGzkL0dH0rGep+Nj7/fkuQ8cTtuDj28NKaoidcBxRqbL57n8i5PATTcYvLBvhdJed9WaSw2
zBCih5EdCo8nw062CgZTp0gS30AdHdM39Oj1OnFN/xwdiAOMtmGRYCql8UcjEWYe3mKVVuYpaeW6
q4pbOB2t9hD6RfwQcE69JtVKMcZaAZLPXU7PTwMx9p5UQVe86ljOTzGfw/aGR6ODgTXnZ8HT2u69
lQtWh2Xum0NYspwacos7DTP6pSHrcZIy5oZ7i8gX27Wz+UfBZvuVV/RysumIlsOTw8gtAe/OzbqK
bA5rejSM86Pwb9un6atqKWMij0BwajPQT+idfEYf1XZpB0rT0EMCYt8MuJ64Pc1cCsL6fcA4fOe3
fvI2SQ9w4oCgdZxuWd/HFbsLLWFJYN8zegofMpIvTCna5NlFSDo7tp/PmmkC/RHzIN3DkjoBnIUk
+8GIGYZPltT0KzLkIA7UlkwQewVsp90yx1WyE4MqnovUBbZYxhVKWoawuS5FQCXPUJldD57gJ3RX
c1ZRKC6cDIr+rS9qP9mZ3On0uRhw8e7buJVvMSZNb6OrG/LO5kSXD9CIQYox6IseblE7H1OXO/wx
QeK+36wSkgDNqlBKAEDlWdnUR6dL1HKkis1ZP+uxjQvUSsufP/FpVD441jWY/mVWef/j6LyW49a1
IPpFrAIJkCBfJ89Io2AlSy8sWT5mDiCYv/6uua/Hp2zNiGFjd/dqBDdqipD/xxgrkJhhXji5Ftm5
X3BT7x3Q1XZCCWkUY2Ia2bx+7KkCmFhdRnnxHAtUidvZ340DCBH0Y/YQSJNI3vEipL85ygAuobUu
A0gHz8HMAka0LLOdUK2HR7las2TwthR/xCOz5NyzTZOLn92H/HCYFFAQKX/gF9F+4DWvmGOKwQx3
zGYRVcpDIJ98qhGaZycqlTg4OuzCc8PyS3G05AF54dUI8MUfhmkXa+IGOxohCZnOzjRjbh4Sdt5O
4nfle+q4cYrrDof9AV7GvG6KfqBukgob+K1rFNlPBdQUcF4j/YMD1K3/O3Jc3JZRbfoLDzTnWzCE
mB1ELz690zAWWVyh3HGGJ8umMGMx4PBMYPGrXOn0FM/TekEGyJ6T6hYsWXPRq8+2N8Z8hGmG12Gd
nIjazc6hErlwQqRaXl4Mx5r1bXYH1KjINzHQN2yJsxcbQ4nyZKkmU3wNR99bI/OvIt3pYCrg+2eK
NbwLKF+woKPY4k4H1hw4YitNsxTvl7Ys3onq48aNJvTbXZ/UPgDMPDc/ZG/anlf4Eri/2o714T2y
zFCzf5itdncUQkBPW/qU8NNeDD1g4q1P/5p/Zj/ZvXJc9VLCIUV9caOgSDGuC9c+pXMNrmPTxlOD
38owFLwDfNNy1y6EGX5gHLDILDSJ8XhFW1/YrSWK3vLOg0XEYOK0zFaWx9YO9hUZdmAgMbwjR7Op
rIlgxOTiqJqb5RQ/ops6EGO64qeTCfZ8K0T1nawjp9kVvghKRkF/GHmr+pceaZVe6C8ItlNR2+iU
ullzGAZRzPcOa1nqgNMCwjmhNDv9RL4/l9s4j6u7dla5fo4x5vyHO3nKz0FP/zNaHm/tW4yOfEaT
JD+VVZYPtxYs+GYRnEBU5v+Bg5kuyG4BrLpILPdYg/8TFkrlesx1JuvPde7I2rEY86sJ4rzhJURH
pOZn1uhhPA2Nk4oHvFdNuk35ApMfsyrfHqEOWznsJihTBOOI5tmTXKgnKLeGsgrM6Rz2InEaFIfc
LaHVThyqSsUOBhlvnDkhE7XCs1WEUZk9gbWZvGMVQQD+7fQtbSeB6aK1oElIAwjNhFB6UzDQt1vY
YSOpLjoyuO50A8dWR8ZuvKpWM+nACasOW/UVK0+6AO8ZScXvAmoKLefArqt/WuGm8x2maU0CJEp6
33kjDQKvmglnGqO/LbLkem2LHiNQN2W4Wxa8YcU1pXaw3gmAfTnLzLW3dE4o9jN7wR/TyEn7WoRC
jS1/PmUdrb5011q//mPWnjXfZYIIkca7KfAqC8Stim74i1w0WmAZWAtV+S9lsgzLchdop2O/wiw2
rN7OxOzEsa1MZT0/pJZUV7NFOlRGY+7pFfSq24a8pmbZxSrMDlTAA8vW5SOwtrUvkla3HBxD6HIZ
M9IERNVrhz73c1H06mflmyr5p4RIgNqBKOo+qb+Yxo0PJoGJW6JvLptOwxs5D6mWbXewU1v3+3Sk
z4JbolJL/eg2auKfHTw/d6/90M7Os2jSPFBvrLHyYC/CLo2OmWLtztlJ9R3WaQo/OrMNU4Jn9wkW
5j6mqSdNqn99kbreD4hqFM59DVKa75yGQLhl3bMpq0ReOBKDUfA0K59nz7aYVRtPiuluzvh6XjrW
5PNeYYuFHB0XimZkzFEbQSX0PjbTLA5ux+oU6zwEb55KbXN2yGbd8UyiS3NEtbpg4sde2CbjT4He
uCtwKcmdxxRF7Ikyd53CjDp0Ua0O0mj3vsHzPn53bc8zaG9lHncHPx0mF2CgUpaXaISl9bYSWdLp
3Lapf2tHGLDUDrkT/F3z5gaD9Lv8Szt9f4S6C57Xk5X2WSKx4uAiXVDdyy4NbolWh94TmorHTZZP
w6Ete2gNuuQXsPfV0F87Wg6Ack5N/Yw/Nr54rd+8wFSlCr3kkAU2QZrfvUU02DVeg6WTnp5pi4Tb
To/S6bDQLl3gYozCHjuccWKsd4WUJE4w6pbUaA+8JlkeszsY6RWPmvxoRNfxnwqAjl2Z5o9FBFRY
9rOXPbH3D5q7EbOaS8WPnz35oGlA1dEEBxIiQkuV6KTjlo2gFY/1gLp600NxshOed3617hiShy07
uV0x6nkUbYV5zT1tC3GWaeOBSScwYw51gGi/1TEtELACsw/p5lAfoiF0OdMUyGslJnTnIVhLeywH
rG2E83S6nA0L2G1GRe68saFN2kOt3HS4rlZxniMCB4p5UgXKFNGimc/IFBd9zqnTvmrACMl2IK/D
w8/AbD7T6TW6R94g0/fSkD4glYNpp4VM9uZFi2i2ondqTGakkrq7EUMXKdE1AhMwwnxry1md2f3K
9BBbEDHSSVHfclTx9wAQaEjyeFj+S33ivHdGR+OvKp18e9b+Or66YL/YuThDfvRhlDcHEXGyPFS6
Vyeb5d7MQdqt1KNlsfJUQ1W5GDUZ/8HovrvkNH8DqmO+7qlZOQOJjM5Tb4OzT/nDj470xLqCfp2t
UkX7ZGiXJOrsuByQLlk8VB0VfkL86CHJTxWBzRN3CT2/bkqneGPZxF2yhbPe2SUuQpaz6Nbo2nY4
B0/GwSZzEHJhdKtSB/HUwe6KhyaeUNurKIXFbMA5i4wRlfflaP7rk5mjLmf6gHXgCruCBqv2LmdZ
z43c9s4ndW/l8EI/rhp38WjZggBgvZLrSNGSeUV7HCLqHj6kzqbdNFr03z5pGZjGwsv3no+vgO1B
NJwbyBYFvSa589LB9XhvpaGfjVtyYLJsK+AvyHbRYzPBEWmRlfAVZDJ4XtycjN88L/W+rBOwM83g
DE+xk+eHtXCqyzLG3R6IK2akoV+eK6KRW6dLsB7WY0e/eFmQd+GOM5xAS9Af7gj01TfMHIjI9MEs
vlc9Gq68rWTreavwyABzlCB7XMy+Dv5/ByBLwCb9/6R6+TbwTAKi1Gs6nEMHz1OWjcFNk08G1sKy
xGrE4qcRZwoIcmcXOCbCazDElK6iiV0c/DqM3QMZ4QMWGVzPq86Xq5cVEFUr8opEmnIPp2AqekRm
bwj85ZRhHCeSPQ0hA4anQHwjK5x6MbkHqLcsz1I3dv6SJU+PURmkXz79V8tmjYU8e8ONs1Rb3VCf
y4qRnYuMvxR5o3cFBcjZgjkPLyTPmkPqD2YvVB3lnz0syBff87MV2wDSxbtx3PlsjXLlgbZF0ndV
5kVATpCA2r2fpeVfZxiCJxOvTnmiACITsMUdHMJ0xf4AxEx3ijDkc73QwVxhcaZlzs6YHVqH7gSD
bHs2KLxPebF0T30vy/hXhlT62A6IMngcAo5RBS4ktvu1TDcewGB/X3McbDYZxKoHKxoOhFNdyR8a
wZf4u66b+B6JgXuNRhktOX8kAXltVl6nPsfKVtELGYrHoWp6and6/BEOxcsuq+glf02NqPPTQK0u
jBTZM/cM3g6FeWZ9hmM6h5z5onyXA3FPZAt3GOD5f1Nne0HxNALAppQJD1VCLc4uHAgfpob2wIOH
meBliRcctyzYxLGzXZjsVXbD93QEMH5CZyUmJmAjGtfYR5G7GeXIDQ+Prcmdmq0I08aV/HELShj1
5WFmbHmfjOADBr2f8gXFU4+Hmo2XB/1M0gFHi3hQjL84BKfhVfd9cq6aTt6HXkfJZUTGIjqYBkF/
EwBOjy9CVZ75QDsBinqT7rrzLLsZoDGRdLy9aK5Q6vCy4mAgJSDAphW1OWFHGL4xF5R3Vi/+LScy
DsS/I1/vvHhsxgPMH83eIFcPGEDYk6YK1tY5mRsLUjKvvxtZ0VzNLn0588fyQTY1Rlp+i4530Wyl
3StVCt7DFLnpxZG2OgHXbX9zbK17iueimbb2dvRZe7e8QEmZaDWR4tImYXUOAuLS386pVWPIgDVW
AJK289SzjhbFP+DfHCza2e/+UYsc01PhcsGSfYxIcNEcNXqX2GWieJ10L5gRVJQ0wb6iJJOwQIHc
VY1AfW9+SmjIYVc8OapRyRGKKSnMyZ2IV7kk7sybTSnho1GLyhUsZ/SW++1fwlTmDgiIBYCnMXPv
rBUBuAR8rOUeYzeDiPDG3hxJttF5AJWgYA6kyOSEqBeRtYEnsuOtPT0yt3bdb4r4yKXjWpPNOWRs
Ck8rXRCXdXHmL9obFtYxosI6FIEzW0gCPd+WytNvo4OFlBrSb7MdoEd/5gurC9rosvXNxWbDFY3w
i6Ux5ij24KWVC0uQjAPOuUBmp67SXggSvB/v+IgAGjgcdP8AqsRv3upS0OgYbIA5rFSF+uOCLcCZ
CftLFV6vjxqhJAaul7UJ4Q38NAnxRExH462Xmf3p+snDMUPY4UAuE/QKUrWo8Migp2QmSX2kWw7E
pKxHHHlQoQFS2FJJSz07VNfouHpZ98cLhhaiMKzjDfBalpBcCtgBYP9Vz0CNgl91eSukxpu76+vF
3Tvt2O55voBk9EIMvJSqhfOrP+LR8Ne8P2Kwi8yvEMpWepfqNG2PkhdAzha2WNbz5EP52Cdw1qYd
mpN3byukK4e8zLmRqSAIp5uFJfCEpBOxDpaWDwaAYniM8d9dEhblNJy71e8uhUPGS2uMCTCHWG8q
MkgHAXuTx2YK7oGzhmqQgTLnEFgfStqcq3FPioqnzuR4XUU97UrGBEoMoRkrsgEz8MB315ChWPh7
ue99PnSD3LAbkiGsyk0czhqmKS+a0CFYz9xEMZlcvnVsqXkxI8gBJlkQOOqWj2pwQvzHjVinRPuT
/oETpSc3Q6jKXxFmyb+TO/tcTyxeN11djse1GfsrNhcUX4BNgOVE3gJ+n5wzLWDj0cxriVt3aFj4
JR6K5p7vxXnpe58sdQog/kCjEdiPHFDefqQCgA4WDgF7QWTht0i4N/8torXiy1nwUYJtwv3tLhkD
OXnlajfq0TwSRArP1hXsj4qxjzhAJcJH/UoiCFflOrOuqScYmYt66TjOnOz/u7nCtM6PsJLBPip/
wSnadp3jnOCyM1cYnxz/ASxz1O9Ww46c2HXAb9a3oc/4VKxcZfxnIi924usro+qhG2t7BXJZ3GMm
InhWxq7PddcRNE6XitCaScif6LCvLpw0KR8GefPXDj5J1c4qQM792MX7yQqkU5gcEelAO+HqJH7w
6le+bN/zNlVITKGeQDpKAwJWtwR0KZUpeS6EBOhRkOuAKmEts+TQugqwACeaqdhoBIHy1eWEEaKy
8ttDn0d1OI1S23Dv6tott0Mv0+hUsVpu9iUEF/wwGqmdjOwYRMbF4w3OT188YCso0H6ZHFvHCPeJ
/OkwXgdCJo9VWnDkDSeW/k9C0718xjmpsDogth1d8GLs+fjNO5uQWKsBEdLDps3z9REcqeWvCEj3
ELT+mBHPXpkzcTgqBVLzDq9zNt2LYSlw7U2Dlx+rtg/DQxP6jqV/BgjwfbeKgIIK90adjfvGnHz2
Nh84WPOvOSrGFsNhiGOWd1H71jmcowTvbqpbV8x69jjVTgoRwfWPZGfZO4JnHMnEtjNuRS+/K2gu
/MymUv+VoQqeyyTyvevqVlN2x6kAdyNv97napawR2Lmydn6owdH8hLLMHi2/zmd87T3hb13m9H/g
h1zGbTAoNz5Dh/Hks8agLPfS67tbTX1c94BoSDZsgwkjDGJGiUwk6LmixIbR29NUbsUjtsOE0XTu
YodhHb5nzF/4XwmRskFKd6j900k2cBboXCKOedpH4WHJmPiIwuA7ead9WhIViXHB7GkCjc7LkIdH
qdL2sRlMRqNEDnpkx0/TkzPCsXe29bR024kWkg9oj+2/AMRisyuXgIhzHTChbXQxLI8QzONyO4Nt
BEeMLepeB2ycHuZknfh2ZIMNVTcdMnOYanbYMa1H+XWlWezZ0VBgr9T9YG/xuWj10ZlSS+ufs0DL
d4NLKcP4R8w4IHgKB1bf+Q0+titYrApUnxBG7/D0ls0lLXvxSONLt0PCjJ8bOJyvBT5jQJ7xraes
Yb4IgSqtCskOGD+SdUeIahvR0FrTbVGxMktYZ09fw8AXBNe3GGN8774R1QlpnmIHum4G4kEV0MKk
aE8+aPFrM3viBJhp8X6j4IeYrQsmhzTHrMxQ15v+l8OJXtFdHofhmTKl9YTKtRCNM6N6WdQQR484
JjjRtQ3x32tEKAO8auXIXTUSUrBzhEDuudjtLpMj1CF3PJxWWyeG+f1ZurPMX7va1jM6aQ2jiIxW
5DEfN3xeJHRXSdJdJnVfifjwYMD34Hl3LrTMhyIe553NLPD6jrUKPy51ES/4/qPhGcs+5ditm/IY
AG9dIVKASDPP8DZXc+cSsx8hgwoSA/xWuuKfYLRTb7JqHZo7EZWmaNPTV3U3TQkIoCZtsFkQ1e8t
T9ow5oiYAWb466rRHnRYCv/qwIjGD9ok1ic4MFQrstaG9ZAI/Q2wqVsTaCSp1DJ6WK7cKGbv+xaM
UTlHu1tdaLfNxDAcV4dl4qYyCtBQLaMiPmDh8C/5wjzuRV5wX5H2IGmxyOSZPG+L6cBlSAg4d17L
GIj6FOamVswLhFeePGqDwhNMKWIEIBEICNOOhde/JGFZNeV4LXRUe3tNOKrbjazYQUG4y435zwki
PVayZ9sN9XyYNk0hs/EoG2dIjnlv9H3RQSf/IjvjyzdDKOvb+PygaQd499CClb2By6zNLmZyby8c
HeyxwA/6wAqXRjtlevBmbl/2FzcQRCAnsHX3g0zwXELhUUgc9bz4X8M8Be4p6TUHbgxQiBupDXhv
CPwOy98lLNqXDm1rgTA1WRyG27os2NkvdVHofzShNPkH2oNITjgd8ur/QjgGEhPMCve+n3eHsJWc
dgu/VWpny6EKkds1DbRMFCjUHjjXlZrq9nbrK+IuoZiq6I5D8EpNXheu3wFH2ftmyLoPCJs2e9KT
rx9YEa3Frhu7sIPTg/AFYpIWrf+qqevoqM50d0HU5EmGVujcl3qd9/g+S1KkGtuzm/enztKZBGmo
gQmCqz3HWtoo740SLwxhICj1N+CC28FtyvMk/7QRlPXEoQCE3fHMQB1wayQUHXgnuDM8QjyPcPM7
RlvsYJC8eDQfoEJhHTVsbvU+EtM6nGbfgzJVslP+kEXNWoWdIrRYjMP0SHNJ3xdsfiB/GaxVOz58
Qzg3jtjLDDlieNdx85HDoNc4z452TKoWRtvEWqJ1J6c5j5bPuYErUkTftFd4/bPjQpOH+x1kmEgt
fxhk7s0H09tnbuL5GUSTe8nHqnzyp0mvm0bE/g9r/fCKdby/0dFXevp8Zkq4bri9b5wvG/z2zHDb
hWQ38TNdSbBdWAZnn7KNtL8hZC8fWh/lnKXJXBX+H6R+PFMxghpdhqp4lFWjybB4av6CSxJdkwI7
JXjSYhaENsVynBXzwnGunFiBbWmNvy+XXLxb7PUsFCH5m3OCLbg/cYtpyHFtmlVYlbBPVJfVn+y9
ycvxtQtxExMwSabyCBVnAkqcV9SawHKqf62clLf+lJYPFLul8yZyQ38bYxEBIIFVTeMhPPbYdvYO
h/z/uPEJSTnWY+5yCYfCsRrC+NzOwxyehgKQ74kc2PrWruM0H4NKOepX0eUIdgle1nIbRFBdNpi7
AnbwIWCFT9LmK7eqTYLo2ebsr7YcyduPkB98Bn8heLZVDBOXIEhjorKpwwJUzdYdt2No10889v03
x4MCkH6/gI6LaalBw2F5mOBeO6wc/V7o+F7ZFKAmiENP3izfV2inN9YR7vL4IF2BVy538ZiipqRY
yHllUi/Go6l9bhOdYUSjeuNQh7W5zi4vvmcSTaN3jdyS0rpKVYJzOALZGed7J+8cFzY3C8DQ+8rh
VoTUwDBYkVBw/Ko9pBoy80OJbTr/HckmOBsfHyhMq8FqmAyZO/0ae7d6CxumvTJKhj1iTtHeFXWz
5sDeIdss4KaU+JjSZv4TV41zmm1D3fI6Lcuv0vF1j8Jsm3/+zYW7ncqu857IGciS3sXBwSJYaphP
Ks1SKN90Dd2XTDFXOAoIBZFU1rAhxDF5DqshpoWBVVV54PTJsNWHUwXPv+cYiT9/VexpnUg8l+56
C+susmxxVE2zouOenpwK0z2dLLQfceyY1/MYB4E8xBgUMUxVXOtYdqOB2oB6jk6yiW4bflxIgLrc
+rXBof0TyZj2SFxQ91lru/9mv5Au1tsR6kYixJVX6IhmaaIPQfJy3qQGYxJXl5quIz72S8OucguE
hOYjrNaFeEKgITDoTghxlyhlM/m6qDrD5+RBQqm+ltURh3gmIMlwHotbcSWQpX3qtWganITwdzKu
N+39nAigptlE3Mew3fD2YRCtH2UxVH/h6ToXQWnGQMRB+XjNOobRyEkWifwyRS8ZssR927TFWzYO
+In58uGe+dwQYxALag2gM+nX3Doon+0USOKLPs7GWxwDt0Df63ONBG2eDeZ5bLO6K/+CSiA9kaqZ
NagU+vaIXJDEgNi1f9aoa57XbFn/pKNWb05EB/s9IMfaubIwuTUgIQFKFh61nPYgntf8bcpUyGuJ
rcoNlEa3B2q9psO94HV4rjI9nhN2f8Fhyc0KJ5yAxpFXaprwbM+HR17CtLutSVQdwrJyAfK3bn7U
QwnDPze5uPcpOKHXhwkI3iNXlAN/Mar/sBwGRxqRw8D9YG/br7S3p3WNWCKKEZgE8cvyzI3Z4yCT
5txh/qTTJFpijwJBrEnArDpeghDPSM4kZU9vijVtnaLLyPxHiCnd48DXd6CbOyZoFWH17bwEZ1zX
B7umMmTluBg0ClkckfEOoahe2pqaFXK77VqTvyVjw8iGgIZA5BKcOhAembe1CtlbTnM2vuS1SQm1
tYR1nsu0ZyiPlyU/iIHQezDQNfUIlWH1IKRXliY8l6wGZK0gfW3ZQwPLcTuTXpkykuuYknGBVcr4
wON+FRvVRlH9hE68do9wF/Fgwciz4f3caUS9eqmMvDRI6Vy7IBkxczmJWfaqHxtzty5LlWHCcWqi
bnDIKU5D5QKEH0iC1VRNUgHlcdyYd1iJe7mFoIFXMhJU6/4za1g/BLy+vmRuw1+zo8YTHeI8l+gs
7Lau8OYaxbdBm1f4/B/ypjTtAYdM+Nj7bv2++nkx7dvRTPS1Zzr9FRFt0dm2qjMxfiarGzXgxsII
1SFwDTuNfiDBPio2Dv/CLKnUl+KQ8Y8qWFKqXT7rT9142TbBNRKSUO808lJJm5qs/c7nU0/z+sqE
LG9vLHY15S4J7KpPJUer9i0Y46b7W45Ua/3hbJGRdrBrUlzCtSODjiTEm1ej9K34ZstQHcowqaGH
6Cr8105+9O4nKTwN5G1e+1gsuC6QVu34yhqQO3PfE4p48B0IN4+YD7EkUhawoBQvWeh/BGGpnmeG
kuY0mnI5S1XjevCW5kVlI24qoQDESzvBkzK0K/UbkXXLJW/98Ks1IKl+aoIZf2qw3wEyJrVdP5Nf
Re1DjLmCQsMh82s8ZrCdwdXwZiJ7i+W8/eJAZ5a/JKqaYkdK2fvPuJ5fPekb9EOgAkickaDj62OH
RYjEeMhRciM1RaQ5T96rPy02AAuive/RG4OTjCTOEk1Hxl7GAVe5pWliK7SeXOwastvDG+Do1cwR
GRqYGOs5xwo1/zaDCswn+A0vZ85ZkvHLemaaeCtnwQcGg8n+4kpxu3ewggaUxBz1fbid2f+R526K
J54R8GC6KcXvYVnWm6BL9lZH0Z1hAqc6NXZBZJF+G9SpKuYqPae5l/zD4a7pp0aIeWJkHS40POrb
xjvq/xSman+3cO4xuyaJORH46H9ZuAHHNuza7xEM1IPBLGFfQpFkx7ofx+WxlwQWMT9nApkZZyT4
Kqae/A9beBoyDkOOO4VcrQxr/pqMxj/UUZ++gAbzH781WfnT33jNJETjBsPgsIty2NufPLn5J1cG
ppitT6weEEvH68Lk5F06hZyC42kV6C2TcDNKV4BRvxcgPwrWbjkkC7InGvKha9xPhj0NmCUtTQ5d
jIQxV/TsDPSCwBueDnmCOeU3mYYc558zqvEZMihX/8YjaNPeD2QC211tFxA1fp/aY5TrkVVZg1Fo
Rxoxy+B3WXJZKhxr98nPxpJRvGcX2HQ+B4Y1K0OHyK3tfICullqGs5Br7eOCbee/fc04fp+nIavf
scsTmkwK8Z1FqOzJPkG0w5gmPNRTCeV0PpYqBqVmyzV95oSO/cl2VJlldp6fYwlZe9oScxInVqdo
JzXJgO8m7JKV6iZVwYPFzHGUBtEJ9Y4HD2y3WOwmzyzmlPLSxcLMFV31X3VRB9ecZEqNXNhk/n8U
5FZUtKZxwYENeynXzA0TaeJnMllN+VZlcB3xJLhVfli8ItlTeMb5OaESLd/XXR7VECmKuPoRZPnc
DxmsbssLB2bh20CMofgIcR8giOKejVOqZgvvBbkvZ8+SQXQshI7aTcOja6+oW+JqaukaqiUP25bT
fHWvaT1rkQMr97lyrbZbPTn+E3vvONsXLmjbn95LBy4Q2KJBf2S0IX4Cg5Hj7uidYwYbb4fghE2P
9pbU2cloILWAxYgcpp/pjSD0eazLuj0zVTrrafVCx3nl+lf2GA5pkt3Ueje5X6UDdE9WszJ3dmKz
f6VopzW0cVHdcbSKxewuSbL+nut3fQe7ZUveQS22ZNNjM2kC4SKGuJn5k87dUGyMrHMKm4gTcluE
So5H4cOy2i+DO0FFowAVMAtndEBG9XJuZpHPkMs8avKwgLM2I+NxdqWPx0CHAypK5ZGo3NAVRO+D
bJJ75JD8pfJbvCC5VNV7VMI04YTTpN/oWAlhXiWAkkwjJm2Mm/xuQZNssUJKmFOOn1QVxrXVL+1X
0S7BeMpnzvlFwNZzr6HvHBLUCiKxpQZ2EPkA/95v4LOc2Zm7ed8x61CqLFFBuaYar9vjBR3pQ+cl
fiZ2AYaJ1dJNhochCfOrqdeNOwZh/cgKnrx/Ru3eFpwD1p8l8KkJLF2PsFbNlsB/lCm0zY0sVkPa
wY7sUuJgEXaPaJMhNa1+7ExgdUml/Wt5IAFybdlivMAYdLJfQcba4gUJkYkgcmG3n5g6lvSNRr3m
oqPcLbZekhKW4uR0rpATIdLE49FPqdpOC7VccObDgwM+elrIAbcbo3I0jdIdNWGa2+0sBDz7I2/E
zBfUlreuYe/ewWnBPTJPf0K+yOWeHewKxY0eX3YmJ2RRRNaeS+Jl5dotzj12BJJxPQlanLJB+BaW
2fQNM0W2Hw75CrINNT9Gwk7nUgda3+csaP5xvIzxJ3a2RI7va/lOs10sTyy38/uU8zKH1EJ2yRMO
FQ+jxDKhTSdTcmVdhFyWJ+i6PtmwDdtrxX5vVOq5rx0Ikr5LQVqvWIvveWz5v7HNOL+awsMTqqwC
wAuK5DoP0FBSKK9I5FPbfDdgu+5s3dkDZy8STEpU3mnE3vCapsDzryGZ5x04CYfCt0BlaovFpXxM
Teet5LLJFG8Ld0L5R/qSe0TepdnzAceXhRPuK774QBwDYpB8TVPRshWfC8oBfF1crG+0c2jaWD8G
Y6/RNJcE9yHuAq9/T6Oq+ZlcFtDkjjvKqB0RxHeZpv1mg/rgvUl09PpMj+PU3cg+NjtBQYivieUN
SELutj7b9BHJotstZ93fjQZ4+M0oqqLHHrNoRz3VUND0DsZyfQ0jepU/O0iih7qNYNVGblOonbcy
XD2uLHx3odstvz2PvOdN+/oH+hB3kjDwausAn1U8dO2XqhaGjbYerL/N2ry4B54cDM9ylqxNGiYc
MFi+wE0p/O5E2Dbxzl3HvDGEPrK5afgfN6WzdF+ts86/HYcwOpgrQzipH4+ARvyAq8HU59HxarZ5
Pj8iItwSmgcdjthtVlPmVzeETPMLOgYdfsYNvBMvjrVKsLpiYdmzdQg+BZiLZzKcBQCUhl7OfLUe
h0bM1buKoQGWjkNvHQgDDvdQoIv/0oibNAzHInmY+rqav00eYq+bg2DR0G8Ge6SgvBwPYwkpeDtg
x5dbht7q0wQe6NW2IUU+lX4oN6zq1COvCf1ScoTFdyJTIiB1WPyBW2uucL5nS6LbyifgxvmuynhY
7xkn1helI9puOu3UR0nCf1+rmKBp7C4FkRPoLDydxFEwcb+lExF2en5H9dkvZMI5DfNrmjnc71yH
Qx8HSCd7F3QXvBB0aJ/wfn3jRp3+wLtPTzMEGnb3RXkpccqcJIBBNvCqzdkdT/5Zaw38J7vFmjeh
6EW3hcU+3bk2i+S+dwrNvqdKxLNSYfBtDU9sjD9pdyqrWgPEGLwPj40Cm6LBeDwe+ph+Jc9H11Y3
tA8uBX5KNsXpvzVTxSvJ1eUP9EkH4oVPBShbJIVRAyM1bsksepwnUb9YfuxPkLbdE2Mq85gCIURI
TWTP5Tj533nutUQD9BhdIzEGy10i00AfCd+SYpmdOThOGQdADEqwszQhnQfl1pzAGBf2KsVFvxUG
Ki8oVjyjWB+vHmZ7xk1A0CjpOMzGKK1QrUSy7pSQVLNjKco+mtSk7yVHf2BsNnqg6cq+tG0GSouh
pvgYdP8760qfr6vAz2CtrK9uHKvPBrjLWypnUpG6z7NTMCPpr2r526bhdMyT1X8u2y4vTiE33l7y
6us3ne/pRxoHcd0EZPDuB8FpfD/1wUCQK4BzaSTfqm773wwhy74jKHPwmiSa//jd/0g6j+XGkXaJ
PhEiUPDYkqCnKImU3yAkTQveFEwVgKe/h//ddsx004BVn8k8WZne1oDDsiWKOclXiczYjiL4Rh9r
oJHr+baIOglVvDemOrQiYzBvQejoi3nvtJCN8PymGjQl0uLwZBGxeDUZJ6yWNigjh6UXqw0yTo59
a2cHhvSb2Sn0lnQ0ii1s513Opq8NjkrJEcyJ86ymFCicMzdHY8ySt1l5N5xXxpZ8yfjBRO+8r2sR
PPkYzHdL2czqIBrAAZxFLU0DIuk6ErZtHTO+H6hGLA/EyrG1wyJmFNQaTlm/zRzDRxB4fLcsmshd
aroseG9YYy57B5XGs8Nltc/T2HxH/UC4BXJndqo+KBCvW4g71rYTOLSQwzf6zP4lzBuUQKWXv6PG
tA61C5q4HC1lo78HF4m4O/1lUZRusnroVpmBHM7reV1k5bmrfBQopumsosa2IWMVvvbg8mpmwpZr
Fo9YGsZIpUF4Tdk10dcTpo0qzPBY2OdOmZLkA9ELPUVl7pFk6f/U1E7fdi4qatrhC7nhtLFKPSFY
reLwzQhixGqJ8bzc3ykayGYmLIPfyJ0Kg+Gi8j32CpC54ffSxo7IAYZO7QtCeNYg7KwTagq60cCf
iJPWBTmoJVlwRx+LDS91AaJbZag4TIt6BxTquleMtR141StBxsYT+ykY0gx/8omqqbMKm+Mw6UhL
6NsDOISeJJhx6J/CZNnzWYebVi6oAX2D7R82228LZUDUCWUcp0wfsVkzsmy9If8LREqW9WBx+fV8
qgvQ5eK2zGEQRKOnSUaBgtBjYpJretCSCw1I10dC03uv2sauu2+EqBERST0RshF8Gr37kLpSnUAI
JNYxTASHqoBsfTFHBPwDJKg1jnmopohqHiiWygd3uhvSCYNXP3Er+LzdEu9RWATeliyRTkDk4Ik2
hPEvlyDDrGwGvojDYMvwRbFxRAlWStuv10BFuYgDv7oVjV/AvixK6xAwcv4MfNmcJn/Elk5N/EP5
Xv9WVUO0O4ZLfrqxz/9MHNLKFIb40m352PQy+QjAm68GFqKPceBVW4DpIl3pBNTrOncJQMRa03Cp
Z85PbYjymQtrOrpUWoQiguoh35f0n720KaKpcKHL2T4IEYJ57ldoyY31ZiemjhjvkVuwhMOeUYXJ
FJKXuUgGGHLO5iPCHiTXaY5vAU2IjNLSZ4RAgbuirg/fCT/ERDA2/h4VEJuivMRxm5fypS97Ok4i
g3q0R+4do7robNN4bsYh8/+/iEqV/7GbCuuNMyfiItWSWFgZGByhSwdCL214XTqrf6CwEIfH43fX
u8ohfSXn1bqQ9JJfHbbmUdlPAUBymgDC2RCH+Bu7J5ctKqsxpW9NyNWs4DiQSW1098oi/Z1ia7jR
8H+2sR3v+hwSMi57KgQ2pCQTVPKLPbzOKPxaeVJ9HjjrlCU2vACmdF8z5J107bltrU5mT98vx+4/
RsRx1Ae2BnA1je0188wAElWY3dXnFQIgP7/jRkdI8DjGrRfX1sTwuF1bfslcpLsF8f067xym2/DO
mt0M3ewp6VR7pVXhLPFUq/4j6EOt2nFBSaDqinlL67rpmnPBJ5AH6M+mX7x02N7VCmtaS71WBgCh
ZpZxZFQG8o4pwYRoFTRASFlrVhqeSX4vA94Om1aElrjfNCqTWBkqnKtmrrq1N40EReQNwa2bbGkp
ZRvEVWR2tdEIxJLjZH4DQIf80dZEJPc6xOmq38m+dFnj3+EdiJ3g4SQfSmMzhawX4vlFqJxOkwJz
zprd4zjDTSGMF2tmd2Pbqjibvm19MKhJP5VvtodwCD21E2Wxgxp5Vx8VfD+4xa30Ka6ZiG19CyZj
J/HsrMkjQxlDUKJva/zYeSYPoN6MQ8b2sdkZAzNCR/nercSkffNtN41CnG8kd4Vw0fzeei9lb34Y
INyMXZmZ+c+oHBQ33FrVb+H2+iFDjBXCfCfIa20x9L/bxyn2CeaoODnG7FIPXnlydNCtpQqY98OC
wMoBkCcePHrmBqNQFquebOMWhiMKu3af5QFugYx9V+UnDkK/6V8yoYvCJ3nMTXzmDdUxgqr8g+kL
/9gYPlcD69OwqI44BcJVG+j+PQdSjztlmpmvL0XSv6pifknie42Q80vbaaTc6IAdN5rhDG28ISgP
WM6SJ8ne4TOP7XsYR+Uz274vHKwp5fjE3UTJBYt9x6aB0UZgEq4IjfLSBdBA87mQLxpmxboolN2t
0SUQ7YmM6+Uu9XvD9zBXx5jJB9VUkhL/PYN9PS/Q1Tfko/Q/+LFDxUYrqTngQjJL0eQSKAmM07A3
7TBNv43MWWCOvItfV2c8WVkVr42WlGoMWcv81apCnypGNPaOEigA2c0iHBcaDzh626wyGOsiK4HV
/QuRYnpniGLugjJ0JVFYvf08Bk2XHgrBTnvbL46DhQcLnFoJDFp/lnC4iia0pNGYmsN/PL6i3lUs
7F+tPNP1l6lU/bh0S/vkw4F40qhO6O1kKDD6B7q40/vB2hwQsznkToUmAN8cPqeOeiDtmHg8q/Oq
K42j0zHyaLnB0bjmFmGk9Z2sF1f6pCY9hV8jfZ6PTqrHvIFoybgtqG7n/2TGT2DxfeizjJxQiYyE
ER+9ReX1KZsDbl6+wDyvnn09KsAcS1scM8tP4eg12c9spYJbFWm1uwVS45ZPWAAsvdEgxt7Jq6PW
UljftqlX13u6QyTS+Vj7j0KD4wsGJ6exLZfgRtCtC2ROofW7mcx/M44NGDdUE6Otxg2qh3oTD8II
zwhgLG89lJW7yXLX3GhJ341cEKZhkREKuKVxTZnXoZCxwxbypusRsuZwHSLCb8Lzkta1uRvU5Pxj
edocC3vI6ADJ+xAIqC195ld4xyCTTbCFZNL/Zqg1HxnlEPFThYTEMo0kjPkOeGALGeAuUpHqFGMg
E3RBTIUxifXoMFnfuoG/fCK5cdXKdxbvVfXlXEeJWXvyUQ/YRomx6xDjDqtycEEIul2W32lxFp1e
GmFyleQZzrhPH2xgefUL2yxjRpxz9/1+mTSxzUfqIDFAZ9CyUcFWQd/Pf95aGE7dyagouQh26tdW
z2hKIuRN+vlAr8DLxCGV3yCcpC1pLaYjeHUsRXE2Ev/qwZYCv7rG7lPHz3ZSpEkeoa1KJ0lpyxQ6
23M0GIlgTGon9jVEWIFZGHlk+gpbMY/f4mpU4afGMz8clUbNj32lMRQ6bQWhrtHcRiQZWjskAoPe
p/xW84pFT6oMWB1NbGYPFkHvJsBqWE8Q3gKiIYpDkWT+RNDVspgD0Uuym9gA1ENWUsLxRzmic09g
ZKfcSGK8YLQhKvtjJWl6/3QJFkXDXchyh4BuPCtaXtMyljEiC/rjwgWRBw+m2zJfBg3OxbNc0YaE
d/sKWZnXMDeNfi9jcEJkq3CdrGjCBGa71gyjiuT3KxcWPxYssszF0ilhioxGuv8skum+nCot9UCH
G4NZB4RBBYbBxFkNnSuL/VjpZdiq0Kk+ydgwq4NREF4gsAONkZWbRb6nmyZd0Zv1kl9g3+X+bpa+
HRwm2Gsxis6amhPIjHVU9kiPArmH7ZNL93oD1wMNcmU47TCcqiFmgoM0v6nhbgXZdMXWhHC4ViSx
o3yyivFSDJPv7quuDvU2MLJFRuHUqE/LGmH2riiYJudM96L3Pb5I1Phl53e37g7vaMQ9zBHJq6Bx
vguBiWaMM4aeSBv6NTaPZNgK+F5fTTaiEHFANnLXVK715KfufOdoDaibeo9AlQPasGA+dK3tpVth
6bI68096ktBRiR6X48Aj9NQY3jpj9p/RPyn9QnRR/+j5yuFNkU4Dt8S25a7uKxvQXchERliSht9F
XUZBW5qasz1tXikW6vF3hAP0S3odZiiLDXmAmwzr/gM6he69LdMW3C0T9+faGIe/0MEessftiqK1
RFF6YY5o54+OtCh87GDa8Nil35gr/P5gMF1deW2SP+YcB+VO6TIttjW5eD+eR3xOlGFEJPmC0WWy
L2C9pRhAM14nTOLqBETMI8HKsDInWorWmv8Yyo/XLpHNuAvnLviBImfipiZjkTGjPVBDe7A2zChN
vObQOHnzXw9rhLmSaZBb1y/aPJms2r5wkk7XeWqNN362hEIhGSL4LBjz0T/0biwumq7F2dZCFaeU
XRuaZN1y1PPN587WkQVr4o6BAY4NDP9sMWQePpTQ2YwowZVBq8gJJE66XJo3DDoek38aJUTVwsow
tEy+oG+zPJsmieC27kI6Qu6T7NSiHik9S37HBHOcXdeLj6OLiZwLWxdgcESDm9CDnY0Cpza8lyXB
1cHfgQmEMNGkAbk0Cv9MxgJWKc+AJng36KSKEV7pVRHiNrd4q2Cl6301jtWPUU6KKS2zWZ7ZbBK4
h+AV/Tg5FlUc9CL2X+CaFze+0ZrFQFf2R6JA/A/h0sPtGQJaCJF6hfY4q4Nx29Wta2wDeuBmt9gM
2SOMKXSftuk407ZrNfNCnhj8fT1u789s0XF7Kl2IwUc0sGnyX9elVb4xBj0kG0NLWR5igI0Z9Fiy
2XBaTOIG/Bwet8fC7574SaE24gF89rtRMhARMUuCsqQkXGk+TPChLehxbjk9POeIuE4mFM5sJ7gV
v4lXpGdmietdqUqAnKry/oqH0WReURs1KTluXuKH12PICiMwqRzsMp+QFleCc1streXvsLlAc+ak
xFfcc/I+YySoPkTjkorL04ufIFEgkyICxKCzcSUSGSE5iA4qybLkpZsZPW9GkFrjmvGB/ZQBE2si
yXt4SRTErmiynWQNTlY8GENmYk1JluLcDDWlV8/QtfrsXKPrXhmn1mdjWHSCfUu32ZG2z9lIjBrD
jskazx47sXoCCwo70kGNf2YiZx5Fwqkh0lh9iyoo8dGUC7NPgYWOldAME/P+zCX1QbI0REJD6plA
QYnFN49qbXWvQMS8+T8rrggJWVWCEd53biu0CpSetrenIFTequ9MgWQaPnN6HYqaT6OYhSYUyfGm
EDhPyCRpmpqw38waL/9KQELV69Ko1LwztRHnO5UFgb0bDMZhluTZWbVaDj+BYMm99cpWnwXKnPa7
ZZ5coGpIuuHAdNxIzi1po97OVrnnUUGV4GM0w4VrOdkBEqeOkhtnaQ6pz8M0RNgJqzcoJ8xkBR+1
pxJt7lkLDNkXa95RPjgeTvO9ZTmNe80ZNpP33o3tsi+bnugxu9G1u5/NLg8O3BaagXh2B50OCf0w
FBqLpaltgllfm23rv9S4IomhghGVfA9qrNtjwu3/R3gLexq+7O5mdEg4ox4+yHJxktr8Q5g8PY6J
BjTdZjBd8D0I82mWBranScOLOXaN5f8hZmBV5zlm5q99tI/BkQSSxf+SEEWjMUAHNUA2pHqoyuzi
d44yN4qb2KAvwgsnUPWu5zL1j0sQkpZMacUELu9SQH9w4AlpT2l5y76KxTY3WXrebPhrhxIYDuWD
rn8nH030SnUDQhLlwnjeiKRmNDA4I9DEupTDYwcxhIqyUpTEmczcF95TfJtcE1Qcd3Zogp6LyXjK
g6AZnzP0god8YdV/Z6qZF9zv6bmR4sOU7HujAabj46IniCtE5MmVC75lIxtzwY1v2McA8GDCQe0h
dK+DWLxjRx3y53k0XXhVzMHXFucuaxDDevThCpkYnyuPQVhjPAkk6OeceWqxrhj0bVsjJ6fwngXR
1Si3NiVj8gOaiRTGyFSFO7RjLPftMK8+lkphb61skqR2Wk1Gce5mG7WSEgDEBhnyWag4XsQGeJps
2XPFS1kgj11wIzW59a+QWKLSauJGapr6Xk0Fn3dKzIXXIC8Q24CE2KxbW/ROZWGtMt2ANqur+cuz
qw4Y74JRxcSbcnQs+yVh1L2Jq+AOsVLiiHwKXkNThR+QY/6DcuSAZlX6CdEhv/98XPgRMLd1Hyea
qCso4YkDj4nqFuVj8jYYg7MrAh7DQs8p2RdVJuDqp7QBbmuXD0AMEDzN4fCvdYfiWLemx9q1QK+5
CbOiOodWXOz7MvfemqDkDmSbje2ogx680hLDOJLBIM1X3An+JnPRJoMcisOVHEILhhr+oV06klmN
EBzb3LB0BIUXuvEfMoHFGZgGCjaFV4ZNCnwS21k2buxwk0I0uGRF6j2mqN/OgSB+iOk03CKfkSmC
y1b+jFQbY0TdNr+oxQaARCUeOt8N41Wbkpc3tp5si9FUw2XBoKzdlTwC5hbhetzw6UnujrmXsHfq
tpi6zWCN2XRgnWvGkSqrARgtlQU2GH4bN37WpDAyWi7arfLT0Yx8R7bFdzEr9giuMXHk5nC44AlU
JBe+ZMijEN20ClQZAmkvBdtBDhwEAiRkB8C9LkPqyWwcuRWCn19E81HNH73ZpvVaLH3QPU5GMugz
sxZ8HR6GPYdnP0TesEpiHKm7xLizLzkJ4FW1DFLsdWlpZAEMfUK0lKYT7pxWlXeuLck/XC+JewFO
cV+jDem/MMFQBjqgne+hQJwghCOimQf4YcUklGxZn5N/i2iiglsWEo1Gzz1yJNu1qQjRY2hGyF1f
IZRRs+fz5gXd532OjGZpnaWVnLmNKjEyvgKAhswc1XRUW4l/g6PFJo1/Pn+XdcNxNgdh+2XHrPnW
EI9CbhAsvO21x2bL1zuR2LmZEPBi98KNjCsVuyzQkMDvxy2aS+cGhyxkNYd8I0Hsl7fZLi0oeTac
2awo8yENAyi6MfJ6n/uInzlZzZA+U6VBM6ZAgyKntpx5jzVIq3VXT4O9w6JqhTsbuNGhCUG7oO5I
lWJ0ImV+xhwh5W4o2LFsRN+SUBF6fQsgJTD6R2e8Z2YE5NO/VUaLnG/ANXKVTgFvFsIg2uBcBdnM
SdKa5o5oGSaJPElE0WYEFdunjshFCydX3aW/8DpAM9fBHH+ZAMzQnAwykxFIjJLtkx13LyZZhb/L
3APVJuuJ+x7VbkOD7zvi/tpU4L8tyYD1h6qzxFDXQcY9yrnPCBckl8/eNvNChhCtiEPHZFG58XMl
om4Ld3JYImSxtIholCkDCf1VSwTL2wLXh85j2rdwLf4svtivmrFv8FDPuTGdODRxR5MU5+C3o8F6
5ueNndWfuoCdVUgEDBVBmBmE13h3PADKhecQwTMwupi9Ds+TWRy0BIS1Vv0cfhqxZVhrP79bhpCz
1i6807mzWDX07ScaUxBtVAjmdqSlIBzHQo1A7HUXDlsHoROqTzuYGxQYYx8wb6Kf2QyNA6nJKoFE
rcagBKGhpJUWp57hiMvgu3GzPRs3wzy4loeMT8VtBeNQqSDYTO3AIwQ9xhvXrLgam71N1V/dHJ38
3TyqTTB5HH6cKTbK4jqvaW8FNX4Qsc7ixCmFIFgnwebowaQmJnfD59AUgGni1jkgXrGTmxOgr3tk
1d4TuuE27vTpCruRW9if1rgrysAK14hHPJe9LJosArmC/jvlIukjSAH+feRK+N46RXx8m7KSvEgs
fIO7SzxDuxuK8M5+zUD2my+ClsuAGu1nIQ4Gns8IIUpZnEe0gICQKISPhWd0v5M93PHm1VTvKAST
2+jjGtm0jcBWDp5mCs6mJ7KgglOtSjANrqrnjTc1MGh9RIEs54e7VJWK1PuDQ8wyj8rBDY5zZcV/
kzvm5FSVdvY7p6I9V2RaM0oB8sL3vjhlTKwomkokQSFaoI6tKksWCGOfaPGanjGuBe0IpyuatTQx
DEAZfvbNzEApJrUtYqVYescqQZ+Fq6Kdb/yZ/xyivm03i42cbpsyiLbWeOr7HxaxkxFRqkg3Go20
Hx8Z2xYpm/ShhskqtEs32aNKerCSoHI/jBgnz2EucgY8TqcIfwcOORbrKc7Hs9IY/KMZ2Um9YcTU
ynWC0e+KJoLuN+9g8xmp67yVszufOoT6PVTZ1n+C3kxcDXkcciAC0tYctB3LFiBaaAuBUI7pngSD
/s8cm/zH6DNqYd2jpTxY+IvF3uW2fpkhWf5BKYrlU23hk121VrVcRoqYx67P3UudtKwjYg5TWDa6
MZ6TuW2Mc9XL8jslNf6fMySEgskWhSyDgZaoBmJBnQimv4cuT/WETIadAU9NmfbPXUHIz9XI8ovH
QvE/4EbiF6F6/RQkMwq1HK/fDrUTEFszsUkVY2EFA64jfwTrX3ZHaoW+N7JGswvqNUcIillMoPY7
YS5DvqZ0dp5LCfR8U9QesrXWcFhtdi1wrxsoTauNOhSHP61JX044hdm+CYLI/DWBGVm/TS35VnDE
/2cFzOPAoKX+F05sQrxckSeYxXGswiHJ0NhhF1amH/lzmrJZxZUwtFX4HcusY4wCX2mxZ6o6yYuU
bGu2Wet5F8/onVcAmdeimV+gMD6VWT49GdNMpkM3iTPyMmg/XZo84pidLx1PVQbxeioOJYLcg2cp
VBeoltNDr3pvy0VT7BFlyxvBP/OVhf6yockjvXLyjS+EjOaJ+F6OaGv0Nm1PlFcOemorgn5+T7zh
RdeORrqQ52s7tf3ThIXowat79M9FYBzrYDIjs3c/F56VTewONwmyJqqh7iFPIPAOMU/NfpbhIytZ
iZkm9FP1gWHhnZ198FtieXo2BlgFlPjZPkVRSSJ0GX61HrCkRCh2Zy3z21XclCUH69hv59Dxvlyw
Su9GWt8pVqNVPdXCNx9sncZrFF1fcUBmDaxIv0W62sKAYBoiz9ieXhYufXx5AUym0OgiTBs5YYdT
9tuYoOXmeTSOBSkqz1UOo8Esu/kJ/SChGZ1B0FAQdCf02NWpKMb8p20T8B95le87ogIfDTUu7x6/
y4hO1scp5C5fdO3zgSsUi0MKc/R9yvAuMtp3//mtOZygKt1Jl138m1PMR0mwdKdQBvJs4UrCMt/X
e3Rc49uISozdbi8fQ+nTYHegIg3TH146EuQAaeA8Aa4z877qHx7GcD10lfVqIiJfB65nHUBz23tH
DfZbnCfevxGv266zCA1ChSCeLNEXr66byw/bDWjxrUa8MFKvj17u5jviw+RukSbGBnzSGwMoitfK
fCeq9h+ZLPUGkARzvJKpxEkpcOFxg0LaVbbDwBcV1y6GnIANxulJ7SH1aDeXiGSpVpCH2SjRIlUU
4qGUKnuDClQimqZ2RFYybkfhDXvXq/UDPFcov6PHDICIImaJIQNGXH6sL5icHOAfzGhfch2w5ZmC
FRVz+MTl4lWQrmf/op3gNuIweSjSRXpsmTvvSH578oku94qPpP20R/w4YToil22mA7FN8VtThFuD
OdqnS0d0mvvK2jVoIrCYMrDFR9fveYCe8At/ZD33syiN8Q87IK5V2sbSmfonjrlPv16y98J1dASZ
lmmUBQWqJnkRbnPPgJ0x19uUAbRPa1xANADuznIk5wJ4Qfyqdu/b65hQpWsJSEqB0qg2ognLPTBh
+UQkGY7QSvuHBY/QthTDAdOdiXCkDfOIPHD6tqF3X2dkIZ98FZogBuPWYtH7NAq6BvQT9Zm8OMJr
HGQ1EPxGTEU1IdD71kqdvQuSjeBvMIXsmWsmN4lefiuRzlgABrVdhMROpcd3YZioxwmZ9VjIJrAR
Yj0yqqQX4IbT2XzzCA0nGddI3r1OxuuZJL+XQqXkhC6u9H/goOjHwmYRuao7dMIbvHEM5ZGKWj9J
37uRB9FJrNx2yAkBSOz2a2mr57R1AQv03llCGkVtUxGcwd9R4B2T5prc1uE9T2t14zvxVlzZ/k7g
e2fG7Kr/TMcMP3yNFjKdgOBL6VbOZkkQ9SdwxID+opuJ6iURL/YsMXO4FmZPqyYNlYjsq8gb1Nh5
ni0LWk4/f6UNaXeBVU1RuZQw8hCctwcvAWFetggWnIYhrIeQQULGfCxdk41o3yyf5kQ8yBQjzGdf
aJ3Y0A4bOIgcWRaaCx/++kHG4Yd2Yf0PNFDXLAmyP+aeSCjajBGAWTT51s88P8JpgOeDsjBm7NoO
P5bP3Jqil9gbhvME+0gf5F9jozbqqVUxCQgMo8QOoYNoF+C9Uh6DFOlN4YW0fwy/110cyn2iq//1
pHgzaIves9FUH9j9KN/ZWTVHTuP0q0w869R16p+pEChASPvKHGGfpEVgtiYvYBuDnVuLwVIwPurk
whYLS6jN2jxCsIWzvzTnrTkM9QXPCgCKomOX0qf4RpvcqyWWabZzAPbk95DnzkMeqPhRuFOOStBI
1+bovsGBTd6YwbCFRvT2aBhl9qmZLjxPosNRWEGNl4AoH0gjeCTMwH4qlS923TxlT7Yh1LtVoscd
CjH4lApOsb0HfJ8no1O7MITYSy1o4/sCKnHBYIID2BvVmjFP89I4JoLYQstNE8bWGrKT2jJy854y
fhMUzCnpiKi2cdEtfv9XxGDAUPpo+8qCJsZKrsReMhuMrHKIr0sZAGtICM1Dqhg/KJ/UYTpqQpPQ
etnfeMGw10xTT6XojJxWuDRPcFbg3iDUmN6AqTVJ5IU0nSvXZNs2JLZznuesfcDFyDpfJFa0MHe/
GEkrznAm+9M0BfKIp0K++x09pCd8uWEYPH91SfoMLBIxbRI8wcb9Mh23RYrKvG5VWVh1vLS2rjHg
i+3gzv3JtlpuH67BreeN9kHM5fVuEt6QbwWzvrAM1ieD3s0hH4j2y1GuW53QnAVuH64UIrDHDFvl
USFxuPnuIF6HofPgyJuqHzYxrs9hVXv0wCeuJG8f9LV5oHoX+2nuJPEZdPgH2iaTsqOxPr3Fjg8F
Xv+jXOh+QjYNURd7ajOi6RAolbvueW6qYV9n0/SOZ7/eB0MN1o0P1ocxyE70Nsl2eQg7turmZKSn
Lmzsl9wKeLVBn4dMlviC70iN8dHoCmNdGOnLlEE7JEjAQrwLMclZa5PICBxbNaMXA3k2lj/2+g7T
SLisTvot+7iJhI7jD2UOFwBi7rOV3UlmlR/HJ7v30seyGavXenHt4zSRSI4NxbqIZsGYShdDRGIT
ka9TfSMHcCJ6eTw6CwZvto8q42RviMAwxvhK5AfbRdjHP8RyO9/AXXaaJvauQOiLL05jQB8IHrdw
CsIJb73o10EyUCfluiJVp1RsO+sqZt2PsvCQZ8p4RY4hL6408o6qu+kwasddtdKOZ0MyzyycmDxH
+brOhT0jxOSOiSVVgr14zW+aqmHnToP/Nkwq+0UvjOACxFfkYi//m2uBLoATpFsNZArvMt9+HzSW
11U4u1pHeNDLK3OTAnS4axo3C3/K51grhWTCNeKt17jxJdMe0eAzfcOGBOS3dJADkRqe84TgCRIZ
53lB/TfVpAg4mDNyIjgw67Cy+YgJWnihR0UcZw9JhFwx2HaVa+ySSoi/MNdgP+7sdZICUir12H1x
yIDHGmTJG3rmDtpgPG8YHTC2qqaByGCCfNgjliN1rO6uWGiWZ+BqBu3+7DPqK0t1yCARUd/NPlkP
bRARPxgj6UzGb9euzG1jt/W1ybww4z4x0ygRgq4jCYhDaOKGYqHLUgDNoXcgCzu8yHzovgcuprMu
ff8VY9YYzcnAloBO3CUGyuZpkN1ShCumy806Zpz9XbREzLObms6C6fI+w3ByzVOCFKNiIL8NPVqo
nzBbpltiMlm8Febw1LfQGawizX5by0YXZYz3iK3YOSHgyy9LOBFtORvOW40aNmqGatwmoSDDLmWI
+Y7Eo3tlWRkfbLuK32Y5XppmGY5DDtC/JhrnJ6GV3uD94BSZe2uV5hwZkFME7J2ArGhRGMMRsWT/
z+/VuOX/i1+MwKRBli7hdCOc/aNFJYHcnUSJLPHnsxeL6VAnXOP359phKGkNl4wyqSVi9o7nUtV/
eq7HSw3S78F1MZUh/4Swbk44D8sq/0UDwGGfpcYdr6vk9zgRNcuI7zhBz1qBf07+MdsqHukK2s95
UuTXSCXq10VZb3jsmGf0JBSu24HaO2z98TGEfFzcDeP1SXUZcHoy25/yKq5ubqnGVwnjbM87X44Y
n+Jnxzf0zWqVvPC8TpFbBPw1VkeR2BXkY3pu6j+wAav7KHEb8YYglw50wK9+q//nd8N+1V+nIFHH
ASRJfyRUcdyTRFM9dBBCV56m/VoBzh3gk5W1wXmcJZ+FO3KiYFTzVmUyldtMJ3SeTIvf3L7jjAhz
VrjwW68FUM8dCWUBzCjzDkhedJtG9ItWBdmOss2Ly2FeO7JBnTxWAMaFz7C5SKT/2fZMuVc5KKBn
8iTj5wXM84FsounaIKdfqSnzjhmCwRShvTYPKSvwf7bM8zMg6ubC8HXeIhwPn8mqiG8QOygXF/7Z
rDfn9cAgmj10E2wSp0MmaBY2wNa5YhZKE/AOT8ykYMrqE+wSqiieAi9Asxir54kp50frqvmFjO8q
akpr+Uvuu5WW+Kx/bBlhpLezewO9AHyiT6H6BPBSo/um4SlPtd5qa6E3ctCmyWSyd1DQ+pOSBhQH
OSt2uVAcVp2vSHZvJbR4P9Yvns7j0+J3HuZIe2peKtJN4FSwTUNFmwCzW4MVMQHFxTVE4KRvNIrw
LmUdzUPE/M4lxcWydgHDMfwSQl9oQqlcWH4+G5YNOQpHebguZOwB6Kucv3aiK8cb2pZnjryQSWYT
UMOPk03nip5k62RMZCfWShhXQaHIUqdbTCHNvlJ2kG1HKdotzicQR9QCr04e4hK1THw/WJae4t5H
WIIo/oDlyj6YHHDvuBGN4zyq+gpsywVQ76Z/xuInTzhQcd8WZvCOBNf5Gtr0TQepdbCAc651ABNi
0LL4Ixi9fvw/js5suVEli6JfRAQJJAmvktBsy5bneiHKrmvmGZLh63vRL307oqOrfGWRnNxn77Xj
Nmb3EhEV2XhZgdVQL/63JXP3ZPTrcFVZ9VtEOho7gC76PRxJFgZ0P5wXxGVgZ37+mEpmgW2UsirS
gxjOftPJe8OHy06kMeCDMx0ePIAgRyJT6bIiFeujvba1QSMyDzWRpPd+sMQj7E9xjsbZCOoCa04J
FR7luCv35kx2JmZp9+kju39mTWoFRT+P/xg/YBzkU06Du6V2Hr1cGJ1pP4x2KMVVMOLmUqgubf9C
fykxXmVXX2bZGeswKk8zRJOPaQCMg38SUxptEm8Ltx8OSK4Mz43XZ7e5XiQnIg0fXmOKm+hcurR1
UX7QW1nu+tD5B+6ro6EDwmtXdMZfY6QbaLJ1clSg1dYQQ/nVTRb7jLWtIyxiFylPxt8ZRhg2I6V1
cSm95OO1EwAFJPCAmEQKwhtMj6cwxkG2gaLpniLt2jCOyvR55ZFtdEzrljvyiKaihjlC7KyjDMDK
vSdC5f0rGe72oeTCS+dptq9HbM2DfaQkQe19omABDuToXhE1e7P0GALUWNh+pL4mgrL6b0uv+jQL
aKlzbxvHzOmmW5HW9AXw1TsS2WvPPCwxTTEsTzbwDsVvQUxr1yg0Jit1TFhcPjcVfJFfftkKxih2
v1NPv1pRZ/7Cj59RJuPjvMc4HL5rrqH+BkLdB0ETYuoGCZ6vMKz1I0Hw8XmJo/5UMh2UxIypYHFc
4vo2kBJc0/AyWGSNXkDbxbIfCjc/JH44vkkGoAvl4sVdrG0uME4cbMQszN3tIma4OTbJgjTgBeSQ
w8pE+NyyeLvGIH6+vFzWT0ZlknXTTdduTVMSwa2Bxu7chf1XN5BsLiuo5RcXM73YWwZehg3Ap+Uo
miU+DjUEauYf51O71mxvpdUWr3Dn+DbqODUeW6roiO5MiWS10SXDD4gSYeG7c2N+iRgdg7ZKsEj5
k0uvyBrQ2TtY0D7KtUTgGTVfuAHoPeuMmY8FGxp/IelZlNL0g2TuhlcWuWh6faFYrSYp7XjfJELH
Z9YLkdjH1UiFxoi1Z7rYcYdhmo7AKH3C1mTRVsXN8cd2hWlvi5wtFXQkkzUdrR4YIOdxUHjuTaU9
nAkx3gGRTZK86cyfuYEAaJV7nbQkWua0sMkEZiO0SfYOJBwSGuTnkEInbOA+F+9+mYwHna8IH2s9
p/Hi04rFvj57yXynRykUScHqK9NpTNlRjE2k8NvoecTsdYdThf8kzgzi5mNpBHAZuVAp2y6PNc4Z
5r289Drsj6Jle+qDojoVhljppMpf/iMXQizLW/rx3OpFLGdIofUrmGtwey1eAAAV1TrXpkqE3hMI
Xb7lhNQYPZwYnhMIuMyAWSNH4qk+N1d0xZKo6MUiR0woJ+kLCqOY/vOj5pCLea5BrhGwrYHqwb83
D6Pbkf9Jy+xzxAPMkE0m0V0t3zTw6ar2L0vS8ntJTI7a0VgPbjiHFrIk5ggMysgLqvBZKWsnhqbS
GPBDgmn2zP+yzqBjhiiaeUnALoibyfHrH6xi1N6+S2YBfbCQ8jzyi1SPBKFqjpFa0F1tGsq4zEIX
YWC5oix2LfiZ+lIIXx0pwDOb05jlMAbVlIi/KzuWu4Ruq19bjmpfuHSMbFLWN69struFjh/IFPuG
wrrxkgjT+TX1wLUwj736AdCGc6P8Rn1ENGchD6Axv3YhF9BA4OymSRkU3EEWFcAgP4d5kIzGFyhZ
8wT9VyNiW0Xl7fG0Ci9QBfvqHZIihhcKpA4jL9YXCy37x+izN5qZQeREPjo1vAACIw50Gj3/Bdx8
xtOM5T3MrBnXcjO9QLPxLlwXGd4iZI8Psgk0Y/iQiDGm0iya6cAHdbrJLfuDWznijS6MA/cW/z1p
p9/ZTpM9pTRcpN2BvYVT+MeGFAO9BqRI2Cz08TO2FtpuMXjE/9kDthkeBrDg7vfM6f8BOOssOZo3
E+3mlT0+mSMLcUkAH/TeExnUu7emQX0mcmLNH24nsYZOY0uNPNThoMDGthODSyoSoiQNl5G1x6BG
htit06PVdTlvXm84WPRQAv10mX4xIj7VPeuNbUgHGniIedwT4/nEPzo+sBMwL2lUq5MpPfHp9H14
hkJIdZhn+NXXUjf+Q6ZXK1rovOYDs9lg+sm/GdHkYBJhJ7YMzqXilKC/LO0dvbEy7+pN1vQg4Dlu
88p04bISEMQyEr827CPlxumx30KYvCPdi3fEVu8BLbT6iUKhn7yq+wnb8AG0E3hQDDLeReWivhku
0MQNVq/lyAumJtAb3SdLeM8xbF1QXLApirU5bWzrAmrB4kAEyQGKgeD+KLz218e2sAceFP6ZQVX9
F1J/juqgnScJMnKfhfW0sT3jyLKRlULh8f43yT5dB1eQ6HM73kFJWb1FhnwewImcBPyafUs15yPg
jIxtNUcUa8RjlBHa6fzQ2JcW9Scpy4B2N4Hsfyi1LC609aFvendWsAnWlca9wGAOyRrHZrx1lvFF
LPnsbLwWOnQ+0h1bcuIEqPXsczBCHvDvcPlmNYiWNGD4nOVXS+hk0w/2u8fqjqGKXS90gJuq/fDR
mKyHlGlvMxBp3wOj4qPq8n43L0rv58mvd6jsZbBw79gOsqu/wST2e9zC/b5znI94Jm1aoS5yFwLb
yTy9I6q0MoKVd8W6657lqne0gm6yNsTOqFtC5Zb2X/MILh/NzVB33O+FdCnITF3aF4VP/VTGsfuB
4+AiF3z4ok0SSqklevUgvuZZ/7Oa7KEDMdE12rKRSMzmYodFerCVe8IM7OxcT1boZWF8xPmdBxHj
7car5Lyv+tZ6Yp3iXWQyXwAXouNzTQBa5DBaLYGOnfmCjfVPLAbFPNCCHscMvsdS9jeF47LFxJmy
dB1ActCetro3I3K3ixWNT4OJTpXHPtmL0DzTdYJpaqrVrp0cQYTRnp1mo+Ky+RJYuvdjU8FebkZM
2RdKUZW71Yp3A08GyFshNpOHQ5rlmTzAnbKem9U6UkRuEfhz7gSdBu4xrixCjidM6m3lPjZYa7H7
i3hnUkGMZEk1PGSNnSBkTtjA6o9cBHD+jUJvYp3/V9h8fbjPGfeWofLsmW13BJgzblsvqa6h3b/B
CnFeotZGxktxkGpaXrvQPtTKnr6FKQtUY++qUBe5x4JlgiDS7uHaAS4jC3mELJU9dpB5DnVvfGvQ
0JtsTHs82ERZPNft6CHhKDqqpFXflDliwsnysbpwFPOvoNnt5b7Qj3MdP5AHp9pdmtzCvLmsAtuZ
w1OuDKQDBvHkHJcDYpEzMlMoU7AeIiNSjCuJL0wbKoPpgXCIMdNWngrKJQ33i9B83+P7yyW4EiWG
veXjdt3AT+vJ54rksYHqtAfe1ewav07eYmF8g8IfxrOXGIBJCZ//4uY2nwsBFfxApKLClp7Qq26U
k9wvLX3BiNJIfIzpvAcre7hADDKOqRrqJ5pu0i/UEexnSePwWaJlJvVcPVG0oa6Wrff+/ONUiYPi
1nLBXyFucD6WXedVpEBd13JP2kcESs0he/JyW258zzLuvG7wBY1/G3xN6WFCfP1y7N79pwcPa5KI
5nmr06izTqzWsdQkX0PnhDeXt9IFzXaPV8N7IERylbai2TYtnWjYsY/5KDU5B96wIMB6bh0JjUrF
lONyrwYSunz3WUD+SzpmQs9vsh3/xT+b8VLPF7GU0UdiUBXuhZba4p/3aF1y/872/F8zav3cxMit
DqyXDW1l36bHxaKKl6uXRfatqbHSmVFxbYqmZeNsZXjDMzMoqETaLovHy0xKr94zjnpvrNwJy+SD
M7O/HYxDarW8lRrlX73VwzAktGlTW7VeUiNTXOqp5QVYy+KV3RUNvzzWk2NWYFHi7I3bGgcS20yS
ghz/DuKGSiX7O4fMQ6FuWCRu0To2guDLH7JlaM522Vt7Mg/VC23oId3i9F3tLHPSOzciv1owrv3B
rkZB/NC/tQaew6L0XEoTK5hUtWKWMtngN/4Kc0FDuE9Cn81h+vCaaO/3ONhKskvLZE+IFWXNht8q
/kX2XNc0pxgAbRQjIRuChz5J1Xu2UIszzenNlC6vrKaV53IM93mbfXdGHixghTn9QXHO/DIJ8Ump
o3+dsQwXAlOwrUbOa7A5+tHxfZsVSNIe5rhff4YuurlWvL78XFteDS/qDpFIuldepXNgjhWcFafo
80/luu6POYn0B28HwJo4qYIUcudvqMKnJCFrFAxD/9nZy027aXfNJzaE257ahXhxu7tr1QcaHv84
qv2OsHpvWQOm5NEm8zjKUl9ZPK6d3SsvJ+OCOcY6kDhFt7xCvpngzmBfp1O1cNA4pN5PVjsTyZn6
KNl0Le12g66LAEG7PMjB9IjpDesuqX5jw/bitllI4CbqLplZZm8dC4OnQWmaUdGcNVvZKnurbM5V
ZUQkieEqHwfPPwC7/69M3QVQeBfkI9+wJMO+moBOP/GYOA+VER+mmXDdaJdhuuta1eza0oIXngyj
wYqdnZGs31qsThs8CVBrBEPvZBaAUCWtSJmz1tfni3wkwDiaG4xY2zzsvvxaH6GcFGyuigqSj/+U
paTdVIi7hawUrWdqTk5UEqYXxq/oMGFIueryE6cULvfh1aADzgXeUhPqwv5hc8kCHXOIVOUxeJed
pgIPiqsB1fAwjLg5yzE7ml0j9o1yimdNHDOoklV4TQv6tbqcYbhwb5GTHgX5SJK7U/eXeERzsB1j
3lOjyPBtKXiIw1A/6CW+eygJjCTwsgto2fW6VLCErL6JgCc/Xda98AAJ6lDz6bV0yBOwwZY/soXv
skG2FPesztsHi6gn9a0I8ZY3/GmlJEu00SK5x6OFSd31o1UqZojKgJrCLk+2oZvUV7/XNyyaz7XA
Uz5TB7kBCfPt67K6QPmpgn6OmRb1WvSesZS/tEbdnHo38XdTRMBTlcxtSfQ9F2xsFmdy9phgXmNR
3uq65VU6FPy1Thyp48g4dB/YFBPDmjB5s+PLR0TqTivjhTTpqoTjAbDwP6/Pvni3VwRg6jPm4IDN
j4aMnxdWZ7icsmoXYU1/NsL+Kc8gGTNUmAHSjxnUXpP+M/FocMzw4PbSzw6TKMyAE6QFiIUDLKA/
VG6nxhiek2HQlCh1C1E2GqCRy7DrkaRwE4RaIkEUpK0V6s0lmlkTQ1nYa37OunbUnrwON70I1DEX
YNDmKG1OeWzTGEBWCMLH9X7DLr46WNWhy7IzyLy/XAfc0wLc5WCNtgQhn3lB08JQnvhelCEvRwAx
IsASzZUWZbAf93Xoja+ejKpdIr30lWaJc9M0xYOtGvs/YkusQYc0/ETEGVecIZy9evAC9pXvkWcO
hJi5FHmbQcwTTqhqYT3hj/PIahGz9c5ch46dETK1wj2guDzyozOY50ffcEZWFqB2MpsiivNC7Pwh
p53grBbwlHxza/XHL1R3bw37sQYWgbzInuNEoAL7Z+z3ySX26DuwGDg2RAbS25KxhRoGOhtSno43
FnzJdqpF97mw/kT+oO4c6E9yToYock8FQuauQg9hljfpMaFNavwLGonrppXH9oHgWr7jWasOcCRa
AkOwEx3q/EBgK7zgzJ30UQF65UOZJuMGJ5BPRubGJ1MoVQMk87a4UB9XMidbbqs411hOCe/MvBov
lpqKF2eK+jfdyOaxyiJz38XL+CroWojY95Hd7lx0ClnMl1xTV1RZBbMhxcu/gMJ9xslxjawparN2
uC7hixVRMuR7Wqzqx6bu7P3Qib+ZX56l148/mjvchXyl4OwlWzSxO7S735gPOj9kheNi22wasAtJ
uoT9ge6Mkc11GD7hjh8ukY7c9J4j1jj7UaIGnVzRcezXXJnJz6JCbOK66wR7rkq9N4RTAody7ieV
GDg8lx4jPX7S0uEdkHXPSnk/YkhitKrWPuTgyoLJnbF8Z5YvYV+7KKZcvfYLg8QBZR/D+qAAVE1k
tCKalYgHNOv205xgDRFqRvt2suWf7pPm71yof3PZuYdct1mAtyDOsGkWPMvobccFMs9zKgvjj1dX
IQVdKx4AdzYJXs+i6BiidMPFNB82AHz/wUcmvmrxtlnhdduMatMDF6d+2/RU9fDDAxuJ13s9d/nq
3FVRDbqA3L4T0YCHQ723toufnmSZYERsWo3jeG6uHJmgHjDj43Q3h/mjG6wKfhMhNQ5L+kPz18Fm
8XtW45hiiWlLvqbAw/CC9qySIgQG2ncSPpE9ZihXHTxz6k55if1q62LOO+AKbFkSJ0X7TucOyWmQ
PY48F4AlqvFRYX1jjW4MOl7nMUwpmkRxlWByNIfrgjscro2rZLAU4RfT9nJ3iKmbGxgA1hGJSp8G
6BWvZMIV7BYMl++N0rQgYPMs7qYex0MW+zhae/7vptlFvzA+h8CnaPQMceAPwZjyuJAPWI2KSNgF
HEkE6FSCGovMhvWPqpw703t/ySbAbhjbEPB8LaJb6LYuKjbfS5IEmF/qEbXWSj9p4enOMQuTIxfc
FjSsiv7PMBjOJkxXjArokJgqCvMUGkOMxZOyQ7pIyPN8E9EjimzHnrVRPaYoCji2HiEhxDUUkw2a
Q3YwDWGnQS4wxZCViMWblen3dC6RIecZhBBUBRtDpGx+u7gApQoINp1Yco5qvmUUGG+GGAsXz89u
gvr/iI/JfWgxQgOKBoTZOKzRZ0ljFe+Df4k9iH1YzPGVm8B7xOprk4HxA9TDHe7ULMuAvabOQlQ5
rcZzHObLJll0vsKUhLgMJsvUjkH4SPLGpvkI+iuVABQVNfDVMAaO50kkxOAUPPdcyqfFrhZUhKPZ
sBAo/Tg+9l5DmD2Bou7knb9r0WGw8HLy/mG6IisQ9s5bGFsffKqrBo71eRMZ6XUJ1fJROuAhq27E
Ltha5pZoWPkkMlMHnp6xq6fNna5XLBAh6Oy1T0SwmFQa1GLOFx99T8AdAPTBX7LuGpC4eVMBTgV5
ozh9+fbM7c5rsUfVZsWklILopE/Pp/uwKS90vAxUfoberp+6LEjXSTQEBknxyOShtJBi2BE83lR2
yhTpj3RyQWO/1an6ZTvwXw8ngbwS4JfeoFEM91eOk7V3MNgu9N4HvVQWdyeJrxb8I7zTJK32lleu
rqSl5A9c5BsRP5O+AuUmX7xInsnQ0mEhYAQAhGfgpzJt6RtquYzwPoNcIRAy99Mj79/meSL4Op9I
9Nsk1fjHjGNj5tRAA+wp5HGeUkuce1zFR0TV4pimPQUsFhWIyYSHsM8JsFCchw3aitLL1Ofp3fOn
XQy7+aBMG6pZbn4vkXHQTUtHaA7Eshlz9K3Y8p/nke4KNVHpks/1yatp+sJgZ3xGtCRD1GzNECKI
uwBmbMSfshviek93K1SWERpr6cr+wBDanosFGx3Fo/XNa2fr2CbjCsmgis+3NCkN279L6ucvJS3s
T6lv3EfbqnYOpGG8xwYabj5aE/VKDSmCduyg8/T0lXor0nb+U9NqR62B4cM2LYDZrIkT709lazkH
UzovxcWEK/+ikGqrM84L9ArddiddVCPA2NYLH3XPY3sDg1blwVRlgDTiuRjGvXQXUsc71ohlR6qp
sC5Tux7ejW5epmy6p5Ypd1ajv8lsTfV21jhZ0YeY/OqFlk3A8mSOsRPNeIriCJOghOywm7gZHovE
5xc4mfLf1Pv1OUSnwzKK9Nd6+ZthEOyMZnR0E6tdDJ5+08ITiEg8T9k2m6YIbTIvt2FmZnhXzBz0
U0jaGrWmFfnFW2jPlXM+XjMnB6onVNRs89oreNumo2ltcX7Qcj6P1jvHevUfU8DyUXO5nIJ2UdML
Wqt+cRYI7ykp96NAkTznhvm+UsgDKjy6IDIt/xVreU+SKh4x3tt9x8bTrM+u2XgnhgmIItmkAqz8
CHYWFThPACvmnMh3kxI3j8Kr5K2U3Qxbi/FCb9J8BlzjYovz6v6IZ2X0WXU05TblnnpULEYfhFgg
d/cq+5yL3P1bU9V0d5bcfrfBDW6gOLMIs9gh8hRpipm2LKsiIjghBeMFkoAPPwKWZ+20byl/8EeT
V/V+0E6AWsF2dSEHvedHtBjLtCRjzikeLmdXhck9gXX3MHow4tDEAJVB4EynfTJP5IGKUWbbWenu
n1fNxrZTDfITJ9Xec7lkV3x3jSKZ4wCaB3D9hrjfEUJgw3eQK96mm3CLU9qbJjvYXNjME2/emaRw
jknhq8dqyb4guEfBQlqb5KFqzrHbPhbd8lpBArM0KyOYV5T/GEv7Xx+hHvqq2tStywpwdB3FhrHI
jY3rFg3EjVgO69/1GpZJ/lOQYQ38ZmhwtSX+QkbYyPZDGzpHE4Y2fti8+ljc9OAkxZMbJ7+ZyyEA
34Cwe58S/GANwfurHpu1ekQqutcTI91GMUiqdIBqHIFbDcoOAY38ZFe8697N2JWBOEeH5YBtcYbt
Da79J1Pb2cOigRl0qM8oNyyK6tA/YlHIjhm3BEWAcH4Z3GR5opS64kszowIPjd4nfi8vyDdcnVUx
HCrC4tcIftN/IJolwGaYWsjJPtcPnEM3Nc/+kQW1hZ+NjP8ysYLvlPefokn9QsUSIwcU+wNHDgBc
mfIh8Bjv1cSMgFt4IWTnVp81mwSPkteFip9ey61sB3GsPOtN+FNeERnKm68pCiXx6IrV4j5PlPWM
a/+Zogz73K00itDyHr3akI/4L9lmslqmBVhkFAPE4XPMlnJHbSguClIKPW0rg+0HoDbnt2boxXfk
YrC2POJnQ1qJWz0I5psGcrZ5LP3W3cm2Km6Fn047m+DYHV6k9Pcz/3O56WxbwyLHMXZhyVm/21I1
7V7reHzJdG49LmnI19VO0iPB0/zMLMiGxLXI38MGXTfrDLesjmjPHg0sDm6T9/o+Kln/7dvI+WKO
6c9ZNBuHWov04sd976J3GM4Bhpn4QcSP/zNnQZgAkTyfu/JBTfnD6OhbxSIJUoFPIn/Mk/y+lEO2
pzNl7bMhU7b1R9cGdWxQDU4V2Kngxst/OCVob3q62SpQflI1/yUJtCWr5VhHiOWFB42ALWGJnLNZ
yhIG7yjubTPxh/DMZn6Xf4q0a/Yjt5UUZ8EIhMBR4Z70PSVttKSAPvExDLL5PMm6kQdYiwarELfa
M+r+8/mkDmSeSHeP/MBEv8KMsOKSXBJcboE5xSnX0Gl5avqxOoFVjmD1zbEFLIJZ83NhC48pxdXj
hzKkPk1VM96V4XcvBoAhUiHAf+Tsf7c+GqqVQqwmmesBA0hnhec45JIxdfND5KXDe+HbEgts2fy4
UeqcrSSuftMIC9IOyyj7v16MsDpcIL6kcEc7JDwo5oMyllfKmahG1SBVdjTMJkdywGz+HaBBWPfU
dBBdiDV7kZxPzdj9v9+YdCHfezYrmFjFT8z29AYHg0r3ml/Jb6yW/DTkozLYMXHsliZdMMEoYaN5
WAMvQMn8PU9C/jQX8p8m3BmEAuR1LKFVkhxp+TAzXjxk5GdXx3zU7pz/50syg+SCsAP0aFm/aR0h
zPciHw+dNI6WLHJSmuWzzR2HtAOxFYQlyjmiOsbKAxGO1YRgGSNcwzrYdRNe6UhOXsDqd/OGfihU
2nqCOMaCdY8PE17KVOLid7U7PSzEstGkGhkiJCM9YjVFubU9HyBa6VbHqGKNgTfe9pdX2XexG7St
6v7o2ixyejmKOdmF02A0W4KPPPy4NAb9DjMLD5FTDeZV0ZV+9tPM8F/o3HMDJRqouyWUnIBWcOtX
kPl+dp0o5Bcu0Dw1BofPuAOtuMlix35owrmnXw9j/z71kyU8kGIoW7SoQq/NkrgFsqlHx5msrk9e
uIhOdgD9FFm9bLxi1xlT+iljK9vb3GbcP+gC43AydD2me8fsKJwFm0ZayeXtcbHmpHmuWihkQK5D
9YeuA1U8xQipzksnHfZbsDyq+FnzUqoCP/Tr8gZTXXL9pC18qM+ajO+01zI15CrmxdcuobCzHpPU
fmG/SnzJNiOv2wC8oWlyy30o2ichuXTkIurCEegsasDrJb8SB7apLC8Nj7vGJGc9IqpQ48zGDCHl
VDgqQ3nB6oppu9LA0hKat73a0STvc+6CG1UvU3uZXUvkLxOEHuPQJ2o0w43QTYUuE83fdKItf9uC
DsKL4xj9X5LI1j4vZbTcMNOmbdCGXTS/MTLCaUDvT8ofz+nkM8NnoQ6544UkWAeErK6Q3aORm5nY
QlYa3U/i61V9s2shlwNrCVw2m0WgUW7nGKROvUH0GgBcZhBeQyMk8JdYDm/eisa3emtMTj7x+PVI
5lz7TGZAbNg+HfaVfSKRKv86Tkp5vd8xn/Kqot03TMXwmLDQzK8RVGIcPfjdTkvaFg4GfKjLD/Ri
lHcuoZk8chEbOf6ziXh4KKDJbuKYn32TeeDJAAQNID5HXlszsgZvbd8vcp5Wx6JSYlBVLXZ4dZJP
xlSb4kyzLt7mNhuaD+XzuwqgnCC6hym7/0Z5KjxTFWeKUxH30XRl1z9LCp258W3pUIg/qqKtOO7C
gYSS5jO/Fol0xnPNw97BCrS9I4a0znonwE1prUM37MFlPP/BCqnf2cc08ieZnOQ6yp4hWbLGDcDz
ZGcoRf0tH0V5NNesUGVSOrYxalR+NBV3TW6AQXpH1MtoGi1VFP6pGJrHZxc7OccX9eHgEBwae6qu
XG/cxUBEze3CZPydiLRXWDNj1ezxAE39d25oP/pOqbEfz6Y1Wtk179Vw0i6iLYVRbb7SBsYWj7kR
heca05N5x2s/3cmbgntsO00Bulss1BbQdxRzAXvEP2Vhxks4KSY7wYO2SGdIrmXdGumjWVgUdEaz
lZ5tMgA1/KHYYVHHdV3naJhUdRxLM8W4LZoow6hjR/dI+3RPyLzFRTwUOTWgfTpfDVz5PTtvmXwY
+AjnjVNSf31r7NDIwDmBSXOpc1cP6bR4H8OAF3xjTIVPiVeXvTd1LXflFJp3r6rLk0zc/m9k+a6C
YGNJceaOxwrUX+AIJwkEY7iGsy4HKnsRXZCs0yo5oMvRwjjqyMQQbJNf4UwnTcJhQ4FP34Z48PGn
V39sNxpshpVUk+mcsAuc6sgcf3w35k2bIarGJBrzYQpgwyPJthFko9X5IcL6FHaNhass7xYc/mZj
VucU8AoI3Swa0Psc/VxMbH6ghgOFAoZgL9byLQbZj++UjETdPp2qdHWaxAlVLc2UeOmhHU3noUUN
WO62cPOnDIaVKjfEqiRkB+qXaLDSdfMUz7RtYGWjm3EjBoOCp7JEhwo062JkYNYL/aUz+sFBU42U
92jSu8DrWyTWV8V9CpYmxEJxiClQOzfI6tMX/RPGGzZnaBN0sgweRN+VmB1vW8HGnJtkZ4EJPnsZ
qYsGFSulMT1PI5wNZlit7eWihHRoQ4XGKcFbG6to85o1EDRkF/b+ez20tv+ryX4PN+LEFY0BUpNl
Mtiv4sZ5FHNnoqhWpsrl2aOsd1+FxFG37QCf7JqMg6VpzbDL+FR7DAfHAatBgG2yf7PbBPRdHVXc
n1evz0k5MDkMF4rQTF+Z+uEG0gVU/OFrisCnPvkW29NLLXAP3nt3NTn2GEEhz7ZsVzdKUfj0OIjc
I1WfkPGnFK3vFS0RU2HZFeFK7Z8UpTzNSYvVm2iuZp59WvvxLx0owntEMXWLRzyfDpwUX3gNWW+B
+I8amkpFVi8deeuo2OzF3mbtqm62H8Usd9iY7GySS9GOOTmbr1PPu/XJrFqEN7xOzUUVY/VOYGdi
SiqN7iM3rSbIkqIWn7ESxSlhMGH5LSMXrI/RtN1bDTwgZvdj4/dvWYoerCiEs+bG3ikt2vCfoowB
GX+oL4DQwzOt3ONVJaKAhcRP4FBZ3dktHtOeHE/KihEWrMTR0HEXZN/GP8Ae2nEOEULpCWeZC/eB
TEQ37ZxYgn7ExuXgYLMddsCEUeMgEuTAL2Xhx2unST8s3sV1LOz/40AYqee7QLaxkkN+6MKGtBNB
QPPNK1c0N5gz1E1rSYogY1FabP1mphCBQC1XyZxTZZvqRuWUErb2NmZ8f08G5d/412S1iI94WK2u
c3xT7NesjTXYfXxg9u/ohqtaW97a0bdPhsduGI7AhO0RqC12u6iRJlsTe363heO+W7EWz9mQsbkf
186JB6+12/7BpM2mfOhRgcKfgiUjJ4elOE8hDtJfduSWi+iJ3EUZV6SS3Eh2PinZKOc1wff3aIyJ
zSsHX8xrNBXqqlQ/GumGjiIjf5hNrl3wx2LQ/xPnfr3pCkN9MpQK45mkPXDJLHVIo5qQYw94rvL3
gdTk+IM/GMIdL3Q7/lQ98wnsorYe72U6x9T8TApTkUt0Y9dSBbEWOSuH6JWqnm2AxCRGWi7RO9fq
ibB1FVmZy1KkGiPayub9GIw2Dbid13e+GaG+Ese0XumYoWjeTHv/lLDmVSzXZfSZA2Sfd1j1fB4w
fvHhJYQXSly3bgJwL/jOy9FQW7ubSod1lyVj91FqbmpncJuFXDZgc2aMWU2UrKAQG8DDGwpLhIXc
ZjEwhz4pZzMu/rnC44+1cGMGLNZGG/MZM/SR2Ip/ouKgx2vAwxKY89BEF3viYr/N6tApbmnjwvhA
U2P4zcfGBWvZW+wTLTOD51IptzOwmkmpCE56lkTb7zAHQzn13YC+Dnf64/+PszPZkRvJ0vWrFGp9
iWs0Gkljo+suwmePeVJI2hBKKZLzPPPp+2PejcIj4AE1UItESZnmNBqPneEfkKG9MUzeoVzTwh6+
dHlrWPkatkjzFU10rOEreBpIpzFZvwzayj3SqViKvTZauhaO4tipWNXQTk20RfWFqZWMDrZC8eOQ
x5GL+ZPBvXFBMxhcZOg6wwbW3nxFL3r+GjSmqHfdVDn0gOoJ06duxrcMyuGwAkWornKEEdFztMM8
hsy2KHCls98YX4Cd+gftAmi/LJEnsx4KmVfjfQSpt4hXKSpU0P+SKtD21mzNsr7PwmlghoLiLXWo
DRaWQ1D1yM1Y/YHGcH8FMkzijD2hIWPY9pWLzo+3BjNto0QSF435vcJCwFl3NWnzKkaDZgI3Y0Ze
itSYmw9H01uGZUUoqZ7XBSoyHvW8O9hTt44HziRjOOzFU8zW+SgowLZyMToJxs7+K0Za4VpzSvf4
r7stLo5zMT4oQ1AWV4OP4H0Ltwfh6DRWaCjUTAYcyxvrtT2hH5jWFeBe4N3DX0yrwvCnLjGXvoYK
n8IullhBbiUdVR84aNwk7X2oOqb6VqvzdIfGk2k/0KzHpWBwrXwXVj7cmabyoUkwWr4uexQR9o6A
QryJi7i4BMmQbvpKuPtgBP+6zgoaYd0IdefCzUN30RYN2Oa5vsZ1mmQ6sIem2YDws7b09AfAX4wk
K/SP4i57akedJFdQhoYCpP0sfnlhZf6iY4Ryc2FYnsm/jsjk94oPxl7PNYJFwdgiC38RORkz7jZV
z9B11RoaR4dsXG5cCljtpHY0KQtjXabazNH+S9MUc3N0NQAUydz/MY/NsOmRYukUsnPBjEJrmxvy
WAVKLPRTBu0dJMNnJzVK54dowvoaZPqMuFZZ7MBJ4HLDPCu2ACBN3RY1uRHUQdHRQEIVUoXsRyy7
DVKSNWVN2bRbuwIrT/tUDw/kcXHxjEYf8Afu2t6FEtqS25T2xF1Q9drROMICIp2KEYA7zg7BqsAq
FTB1aUzJPS7hs971HQnboWmVb+91EZjlE8QuYsQYIxX0Y+ynEe3HHEWxeIFwl+VxRooOzr8rZEdl
MAfRPfD0Wt0jlDbggINdL9W4FxpoEl0UsPiGI/qZYY0VY07y84RGIIXUWjqL4GnhGfbGdqKOoe/M
HdlQ3JRxeKdbHCcvuh5QYwLWOykGYFvMwrCEwX+02ZTu0L6qdBnIx/TsjrWr0TOiJsXeTLbVcxEF
3i6yTavaBtIMNYgyWz1lY+M9tl3SPpm1F76OKGeI7zYKHIukvzZ/gX8cgLsndn9H6h6iOxPCfkMa
uxq4zkNknGr+K41X0ME12iB8MrrJ+JbLbnrwaCD5GIpodIyRZ0Th7cpHN/Dep1p/rYRHt4hY4Dwh
e66Tv9Jk6KbbFAH869JreXiUMSzsdVWfBRtVVophQ554aJ34I0qgnRMW9SYzYf2ulJlOl/CtGZwE
ldk/jRDgfngAwswtkPswu9OlQDLZ97TIN7SyiW1iJKcIAEM/IUZq2MdJ6W4kB0qRYUfFzC5yhN0T
7HAYxDA6FJ3nXUO+KUu8fCssojIHD6TLDERwipsuzqqQYEJlbjpcWi5lyTwcuT5s1RktcvttQCf6
4x10Je8rxJT0mQn50G9qhukHN3NwdED+6WGWTIKOlKdOdgwYxP4Virr/okWPFgc93olOhp6wP5dI
wnqBObTfMTKthvJyrmgNFWC6uLFuop5BJAbRRtl/w9IIvAyYopkJHqKSPnRaT4BlQ9R4pk9GcEfP
XoPPUYVRXY4YJhcrcAJMpsKuGRhTYkuGg7OtnRptaeCC401vev1tX7XujYyK7NFBudK/NcYES2Lp
9yNG2aXbeuY6N8uGHNAvvWIjWwp9jBWqaB91pf0lVDgTHsAMuM1TQyaDvkAqQ3Pt4RjkUlaXaCVf
QFcdUBMyMGYwRxHv/VpFf9mhWT3bqkbLKO7FzzROvSOonOrvNhLtVRxpdVmmQZDupNdjh+XB1aBr
N2TRr2xqFpFeaw567JUM58b1mbXdNDCgPOpE0uPLyRa1vAKC3VR7q+eJAZCpaOWFeUKdOeqoQvta
OtZ31bfGAT2FZvgCP9oTTAEoTpHsr6GUvxaaFOA2UxmtZ4Ykc+H9slWj4ut06GIaTRIxN2wjuFjA
/fnWyC1jkgGscxyjzQsPmbl9389Rf00JArgbKQTKhTGOEazEu7ac8YqeyToPjhMD0R2m0sPafuqD
h7rEpWnTTWaCcPwcWtYt2BujAyFL+n8cMUhhjSmGu+NberjpuSTupTtPtzhGO+Ud7lLptzwP6KwO
XuAg7hGV0WqulneHHDHAqRyW+roZqtR4UBJtk3xvBtjEIOQ/1V55j3AiotdGbCOTeAFHzpTF4gQd
YzZghx7qLa5vF4Bk3YGK4YI57mAg1FLaI0pu/N6jj64tZh122WX9i8GAMoRk15bw1ehKRWOwnyHc
O9jIzcsgWuFreyUqYhCISvpydJOm8EuAhGCJdEAx12vG/BD8aauM7rPCAA/9d5AsEKO9xm0j1CHR
FyovuLi8+spmAvbi+COqLS1yICldkyKg4M8mnHFj5DtQCBlVAX8duX+qTNtO8IZp4UuaL1lWt0hL
TH0YiGtKyhYkYYqIMDN9q1AJlA14LCD3tJoNhgMx/provNNNJesd2bymcPaZmUMcCerRwP5Q2wfL
cZMGpRhyE7R/0bhxHhcmefmKMHK2Cwa73FkV5ferC50dzCx2LAfXkwxK4b9mP8fYkjGFvjmve9zt
3TXW7ZzGoavot6KOsdA0hlQAdiooRW4iwy2LWymNrtrWINWCldnnKj0YzSicB1mqHIBfkIDfxHsR
HgwOTfuR848IqjU44hUqqU53EOsImzFl/qUzBGgmR0la3SJSzoXuJ+V4XbQe0sgXdRtUzlMKFVQ9
QqbIUuilzmhsQNqBaiwRLQN/6A0vDCatNXaCAtQ+3aMAaElpyOuUBPzZJBPJ7uc4jx4dGrfUcbSP
f2LLQoKnVVDfm00dF2ucNPRlznf9Df7ljEL2BGSM4ozGEaNVc0wubAqQEd38InMuoyLgD/A0QEkS
jw2NLGtj1OUN074Ipdtwtirni2O60x7dCQUXOMeSksaeddG5MXrOeVIdGqtMjNuGSghEiWnZ421B
PGVAy2Qhm9dj4wYOIBzPeooQfgSgFXl5CoE/mVcQxcuuXA9ZLOtrwL1R9i0PAfN+V47Td1hWgsFf
OX7TDqskEoZ/FxrwlRj0K/IE2L6FdL4W0KddA5K2JeULnCRmdmDMvOQAFqq8lqNCv4iRg/3Dww/Q
hyGF2TWWTkQjZ2fMNDIyah16+NeG6Sf+q1fQw0KWjqCMiPL3kjfq7Pms6hafikyY1bXVYH79pbfp
g2/jTpYmnFDhuhumYxD5gnaYN5AisJt2GYtBPm/V7F7pCVULtEdm9zrHUcdlGjTRBvE2Kb0dxjjI
mD7R+wqB0zGWJRXRqCxAzLIopQo4GW7SHWMNgulAQJudBxzcqwAdHMNvyJxLxpopJo3WbTpb+ar0
TRCWpI1hrp8bOlZU7WXmjr/oooOqpf6cAFHQeiwTWpIYoI39q+XxhCtTRfQrvLFrnpI0zNUqozP0
dSIWM501nDAjD5vGp4YU+y6de4MvK6xekExS+6o0u/mqsuHTAqXOGQAhqRE8K1OMNDZmM3F+UWko
uHRMueRjGlb6ZcYQJAi2Us4otIxEfzRdXDNBAk358VNeFIF/2xkghDFIQR6/SebHzox5+2shUV14
VmNqhhuvn1DKxaCuytt7rp0Y/HWGosOLrAI+T0g54TdCjP7aTINL8yWdTR+KlVR3pmF7Am5E1fd0
19IZ/Eam1P1ElSAOLUYo3wvd6egFvBNidaNdJ5iGa9966AtfQluqEgqjcFBfpQhgMesJii9Zqx08
tUiz6XusaKm5+HK8H1M/IiFlmfoKv4nssjYXBgAN0/SFNHba0wqG1Kktp93gz40wJjYOLaJvoBim
68ye6hd4G9H4mOh0mGp0KSR/c+mW0oAkwf3ZMlpfiAQOHmfIESGS1ZXw/PKsdjczdTP8m4CKcDW3
nhW9+siLXo0TvpxHM/YKRnZJ65Q72c2koQgwlrsw6mJmM3XlHkxJ6gqrl+EXluCjo1b50OgbHMFJ
vCGkMGhOikx/YwJe3ndK9qin2Fnf9Bu23xBXuecO9TcTKSfjeYC+bqxmCGiLKS3S8qNMqSTzwjV6
3DesPvzlkp+mh7rHXUgqDZ2IxnZf7y340j1KDkkGVMtrkvJWe3qAnEe9Zdh/04uyYZobKFmUDykQ
7mJjui70SERQ0UOH7TwwZbWNNLizDIT8RDTi7LEx5qbSD0Fcw3Alh/FXTDoRdUGlDYWyCAqfsTHr
0i2vy0EUwKE1kRn3DIQoC5/ifu3Ptv45M1nCnZuv4DmQbQPsI0FlG3qHgU0qWaFMV82cDd6aykha
f3k5fOIVStkMi5F4QpQEBGtUMXJCn+EiFBATaRowKXu0WgNTkoph6AZqOdPKQWYbG0W2jtGSSx2A
7hoQGBkuisSuaGHG0OUNtoMFZ7xHrtZaWQzlnoDsi2Qbk50sA3sx6R858sLogCBemm+ZTfvwaTH+
PY5DkT9nbV0z/Ii7KQDouYi0UuMCMNyGJKgQjjsEc1BPDNLvHRFsvNWJJ5NLM+6itkHkonSNlxKF
Nfdb2XlIcLYB984RgTXAgpXJP9PQo5X6NDv0ir6EJM+3cuxEMl8oC1TZqxBOzL4RWDzkp5Hgm/ew
C1qNyA6v+CunxpxfIC84ATJJcRZ2jwUekY+McMcAwwwd/I2cepfcV5VWiLkDnNilBntIVuwCvxI1
/5XvuHuZOE5Y0fRjanGzDtOAYSssVetCTwGQcFcElBAMK4D0mkEQX5ddULymvvZoA5hgGWCvRs7W
0T0dp2UKPh1Bm9v1Sx2N/iuTPF38GLgosAgFZk56ZPh1/ZT7oYVPAJ3AB9+uaBAkqD9xf0g9/0A2
rISjR2IHzxAbehyKSoKO3YGSvXZGMezTWZSXdTj47RPYo9F6WEQL6l0rWzQU1mVXTXjHdD5xRIUQ
+B8xp8rCR8ZNkjVFAgXWMvAm2k2oYb7iQ0U5Gus2ZMwUd9vK0+5tpfrkIN2k2lRmLP5yYRlC7Yco
ADoOF6PqypklrmQ0x8CLzXySW2gTQoDpiuadWeQUQR3fhh5R28C0CimZiLYTciHCnu9rA9TXWmX2
8DUPstHbJdiUTghz+R4OGVZMT2KFAH+O8STBA70IPBt8Oc5fcwZi4FbNfI4nWBnc7SvmU86ic0qG
cdFLW5dPDOv0fAjgoyYUPZNGXY+4WO1Du68ZI03lNaPJvIYhZOfWzy50ymdtdKZClGka7BkckMG/
2OZTf+fkdXcFpsjd449kQCVKJLiLfEAZYfJcb2n/52gpeXk/v1htGaFQJsbhRUDPtukzwVYVfcYR
jthXtSdZCrCgzL1Hhk3scWbo2CCQeTZsU1zYbCjCWWwWj4GHYMwhIsSB3OwK8mvf4dYHEEuPMUAP
Pd2Qbs3AMTxVWqsEUHC+KzomogGQaIUaPnDHfeaMdsJ339f2N8CeRdzSc4gr+gLzDI7T2ivYD6wQ
TyLU9wByo+u5ydICnQXdG3f9rAfs6yrPEbdjZbbiSCyD00gVVn+vcTq6S4RR+l/csjOAzVg0fQ6h
L+W2ghdyzIQz3Sg1MZ81Iud6orRq0A5hHruiHyd/0Wspome8N+bnynDJ2qgF3VWh2dZ7vDCj54aJ
zgpYbmn/Yg4xl0ecUr3LrMNFaYW8rcdMKsZ2CmYzPhaXGCwkd9wLMKUoCSxjE7mVxyQ7zqBZbpvM
nWHUDBGf6HisUEdE8lnR/8XnEAdcfMNNBzmXpqRJHq/MlOxBgnfpQ6H2SSscN14HfJ+kupnduY/x
QGWJZso8UN1bk3FX6smA9pwtbe2rGXQ78mIxxCFMszy7/26isJk8Tc2YBKgNioa2hD14sHbgfdFT
RuyJxY0eZ1WxsjCvyIyLTpXMZCqN8wvWBaX0p/4BbkIwV3+7ou56WJR9OcHqhKXVjnQvC2B0+bTu
qzDHmhpp5Bi3d99gzN88RRaqiF9aXfTjNXgdowx+eSTbsb9llsYHBgQd+aBgpzvgz/jpZTCMb6j1
ZkxXlCu8IEVXA12KPe4xMDHsierzhs6+ntddIYvvUW0W/S5WRsUwyaws1e1iLrIO9uAIXylfuRmI
UmvP6CgMv4W9ImLtJ5xip3Jr5sD17Pbvf//r//6///45/lfwWtwV6YRx1b/yLrsDC9I2//m3af77
X4T15f8+/PrPvylDECS1XSRmyNo8WzjLn//88RDh6Mff/j9WEmQtZLDyh++0VbWm8hl2qUjNF0dS
T0A+hDYOjx8L9kZ4E9VLrZnijwkzrgiU0vlf4779MdKl1Y0ziAfF1PGYpp78GCZ5kzNw739LTFAf
a1OV3lcTik27kX02ZTtsc2AnV0lISvGHK6MRYNtSuJZj4dEgvbfbIBWTICM0hhdyxWRXZxMmPA5Y
Pdd1gqtuMH6afl7uzq9pLv/R3/beQk3Q0qaic46+n8v+v10U9BStJFAqD9i9DM21tjoHjdBW2dkF
s1kGUCiG4UBwAX/KNu9sCQ0W2wPbS7mdLWTBcAbpmGdkRSH2Ds3amCZW3ZEUYKe6wCUNzM2TMS77
x8HsfH0MMgqbq/MPcfLKLOFZilG07SmpAFx51ttnkGzQbAe9eJhcswelVI7fkUbsN40USKFZJDVf
JymDw/lV9cnOmVKYUtMzWw6KbVonqxZzk4S27xSPKd7LUCBznV31CURHWM1zu6Ip7DJrxl/4EGq8
WD45pvYHq1vKVZxWqVzLU2+fuQO6WzeNKB79YmgfksyyH4NmQQ0jfvnJUs5HS2lbWuDzHI8V3y7V
SMtgLKCKx6alsswBgazgNtXbLvHGbe0K/Xx+Y09fpykVBxLYobY5l+bpo9noB1UjbIwHPEahUYTe
Mmyhj7ECZ5rvafszPXJIj8+v+n5DWdWmja9MSRKulj//LQjR4+BBGcE9FAkp+sVsOH+FDR1sZmfG
/POP11qOqeNq20Ti1jxZS2B1aEOj8x+ccEA7w4qRUYEdF12muVWJPwsrFtupLGW6WpqKcauzvN7f
HkzBSXdoXS82UIu6AOqAP6aFHIQykYROR7GOiWgamdPm/EOayxH8PbT8/4W1w1skjnqn8QyzlygB
k+M/uIHu0U20kFwO6LNgpt7gRBANc/0jc8wXtbgxrZKmxVHCRzyjJtI6cDAGajl/XgaoU1+Y1+d/
3ftDzZXuEfkcx/VM5ATe7koVlsHQIKLxMCF2OF2EmUM/Dt62uswb7D2jtKhezq94GmnZDpfKlzcg
ECmxhXy7YkiZPOvQUA+8L/PFyuExtHQDwGk7Hm181Kz2yjEY3kODabcRPsir8z/ggxNOoDT5HbS1
TEee/ICkN6GrdIH74HSjPKSqoYVUpj5g3L77ZKnTK305dAsuiAALqs3mXnv7sEE8+kjCl85DmIfe
uoTfuwWVTTHINH+Xx+VlScp3AQ/XWpumD5C8KMAG1HO2P//M74O0zdu1+TGCJxfq5PC3ePbAJxjt
B2PwJCrGozYPZZp+hdVPil8gsNunYlrD1Y3+Fysr7lNPcL6Eo0+ipjcPtWeXSj2A+GAAatijux5p
PG31jLwn06jbOhvt16jS5eX5Z37/nm2uJK5DAouykBB+u/fcShraQmM+yJjs1YyHYkR3KpzXVtT0
f51f6/1n5LiuwIpQSaastrvs/2/BBUvxwiZH9h8EcMataLyliAvtHejodpWLMf4sX3l3ObhgKy2X
iAYpWpj/HLzfFszAWvRaZEz2AsMsL7GvjK09aq8G7eDIt+ut06Itm2FkhI7VFGBkiGcnKqjYFs53
9KLnL1FFv53ZVu6mK7foiqswqqG9l2UY33ih7d3+0Q45DlB2iSqJZIegUjgngaZvpq6efTO/lHM+
75Esq/eFkZlrBnDpQxCKzz69kzfCepaQDq/ExBhNCX3y9gVgIwzvk4qJpIcHcT7Anfcr5pB6YEiB
eLzenn9Ac4kbv8X5f1Ykj3QRFNN8+O7Jij1IiQLoUnXJ7Lh99pSR7ZSS+coJxXiIrNn6agwqwelv
BAhSZm2ym5lWrwU1y8aWcnz65PcsX9a73+OSJXAgkVZ0Ts4kdJQAVBaKTiBl8izEtbW2fg1x6Yd/
+yVjt0MdjovMkEjjXQ5UBtHoKTEeFRZU+mjhZ/v8v/hBgI+0ZSFgRKIo3n4kjOdM4JItryTI0n6F
wjfwBIUTF4fTjsUtBqGAiGnGoqeEF+dkbe3OEH+nJaSWdZ8ppovnf9HJR7S8MdP1PA8lanBgBIu3
P8gTxkCiP7aXJj39raWk+YiHUboIVpTou8/WqzDpFJ1f9OT+WxblPjA9xwHuLMXp/Zd0WBx19Dcu
K8SwsxUyHbN3FaDaF6yZ73nfdA7BlT5ZZWE6Q1/7CSfVvv7ksMrlczs5HGSxFuw8oogtvZOw3HQp
1kBN2FyGYzodWuwI0SkV4xcvqm9I9RWaXuFtgUfxr2yZ1FD8WlxOFc1yB5PcPbZY6MYz1RlR+iWM
4K6l/w561J4CNJ8v/NCJHifLdfeRlYIGyegvAp79cX4nTz9xTcHMq0OZUmFlxxF/+/oalQiLmj09
lPx0bI0cGyUdN7rlDnRXprSsh/PrnVwojta8MARIyJiUxkRuCQC/xdxQ1qGLyrtx0NrrBYxTWs8j
U8YqgHh3kWYTN/gfnlCtl6yM64vnNMW74sqBpUCnX7dH1Ypy79LvxttlQjypVc3Ksatxg/Bj8cnh
OD2hmlVtqgByI1tQDJ8GMu1OGZBPjCe0q5kbZlDl7FsnZViyr0RZT1vUxwzjMDZm2TKuB9Wwijvm
Pp88vPX+h3gC/RPJrWqz4eokYOQCYE8N8euIF6AYrpiyhe1DBrA84w53uuar6kwHjnFHu2+N/vaI
Objft+P05PaR3Vy1jFvFF/q6Nu0R1I1F9G2wFlskYL3If97EAP2Shwp5EH8tmKp5PxuFCujGBLxP
CAq7WjyUKMiGqyBv0BXBHTQDzqydNiRNKyckg0jfS1McGnSKcHDK1MjEdIoLY6lAIxEdhy7rerw6
I3D2K8hSRvBkDYhOP8eg7NM78mu0EUcUsjt5gVGIzg7nz+y7b4TK3LMti2PrCmrXkwRUAtmL/AiA
ktPkjEYTf3AumC0izSPn8hcdFf3JS1sOx++BhbPPOE1Ik/9pwttJYEkaeOTYzmVHMYztPcK95aP2
3OCTVU4Ta77FZRmKamlihuiaS2j/7VsskZKJQZ5nR5AaWHbTMjzUygqg0TCJ8RnfHYwMwUe83sOb
oJQ3CKW7Ozeckk+SzJPEevkd1JM22BiT1osnT2LQmFhob2L7cAw8NTyrKo22OQ7kxxzPxf7CwK0I
R/qiPCZ9VX22B8vxP9lqSU/KoU/gUlz809P6bQ9MVAKLMjLzI6TaRbA6nm8yNJU2w3IKR9gdB8A+
Lmc3STYCVPIqpSFzd/58vY+JS2VjcbjonCl6sm/fA/N4HTv0447zZKKpBS4UXTwIuAfPR676/Fof
nGUJtk1wawLoJSi8Xasfis7Ffp53PkNURHB1dK4t7U/2NoiH4AV0P74Of7wkL9dFvZE8SlunV0zc
hGMZZmF4bBQmSKpvLuESgq/vAJjZEs+T88t9dKxRhaZOIj8g7p+2gGuRTC1TsfA4OCkX6pjURDqf
MDKOyRbxiW4NcwDljykurwKfKcGkW9Sl6+rnJz/kNDXiXCsiP/1owUfMhfd2r2ld8oyYsRxDRsTE
DRJsBHtR6fkJUxHR6URPDsrKjI8AH6cZbvKMvavFQ6x/wgBDpldJrvNHCZbDX7m6ia6x98ZcAcdh
+RPl00lszv/idxkNv9gWrkPfnBTc0eIk3e3VCOyhDrIjUrRyPgyjO+ojbKMx+arw1J0vKnzVrO9j
A9xwRQkoo7VT0Oa+mLVtBL9A25mKxiXsC3DRXj07xgUzGdta16YXSET2yYjjYxzhBHIzg6XqbyvT
RTLBE4hFNavM7zxrX+SqBjoEIhiR0/MP+MHpp4AiZ6M77TgUfidvZCoE3NsmOiKdOVvAqXEOVoHb
PNuz1MV1y9Th7/MrfhDbHF4+gk3EFkueNi9GJ5b0wo3kOExev8biyQay6kbHOM+jbWnJ5qqxAiwn
yyB+Pr/yB5eIYyG7SmjlDuH+evusTWpikFVF8ZFGN1r8IR5QCnSIl97/+TquJAdWMPEs0uC361g2
cH0Tt5JjYunx0MKDXJlT8tkd8cG3tDTXSKWIXnS1Tt4cgGtr6LwkObZaFe5taNCx2AzAkR5lIJk9
jnhH4i9RjP4nL9D84Ibg02We5CpJ6+X0mxgwtWDnXDivFmmyn4vvOC2nUHfRcbKdAC2xCQGo0O3R
l0GvYJWpwb05v8UfHSKuCOHQ/yGxlCef5Qxqx2tVER/xkUrp8cli16KPvA61aayzBnorRCq1CuQ8
7P545eXkMlFj9r+kP29fbl0qa6oNPz6WjlVvkgE50AnI+dU4xs7riCUgZhxBAf3Ek6L85G5+dy16
4IrpoAumeXrpNb5dG3x3EOlulkcH1tuq4G/dz9JHPjAW2SdV0LvThdEUI0OTWR2DAkucnC4b4EXe
VEIecdiWUOZw1WJk761wQUcdv5QQ59GO+NO0kmRnWZUEDBA+3Y63z1enYOonYbnHFL2PS6ohlK/w
YrrI5zbatQwoPtnP9xcjZRD1CHcww1ta6csu/JbrSDdrl+aJTXQH3w+VET/3OP67crAuSCaw9nmU
8fRljuB7CCkDaqLcFiM6N+cP1Qe7DcrNpbfE4MIiEL/9HcqJE+UHvjo2beXtmhb4JRIS+VrVrrV4
eIunHCrZJ0//7hvi4S1STUXyI+jknITDyEdGcxS+dUyb2AlB2HYziJaBtPrCI8M+IoqIgrVrZ+6+
Bl/6ybv+4Cx79Ajo2FD2kmaefMHIPBeZJ0N11LC8Xhe5913b9+izA7VFxuT8/r675XhUhpdMnymz
XZozJ/srzJrrJLaPtpyr+AX5OmRrUPcubkBpJYhnBA3sg/NrfvROl4mQuQzZlH36gLPBJZMFPWkd
JnFQVKp44xuFd6vxY9kFixYdENksXp9f9aNt/aeTYINmJUqcFEoYF5WgOVp1nERmCeSyGhyR4sCn
VWuGIGvPr/bhvqJXyffKoYUz83Zfs9TtYsPI1VGVhKEW07EVY3xzG4XTDwu1xeP55T56OMoChrK0
1phhLn/+2+fawXCLUKeyUJKYslUrcSRDxdjY5GgXfFKBfPRx0Ou1SFBcirDTCrcyq2FWzJihHPpq
pWA2oLacx9vczS1s16b6WczdtKa5iXLj+af8Z0D5pgJbmjOaUEgdRtYpTh6zRhghkAg1HC2U4TMN
3nkuixWSOWONax8QdagxU0Mg4tRirIxxs+LDreI52ss5biIU2X34/Bf8uzEinugATmI75yhSPIO3
8OUnAIGPDoGLygKhlA4sKpFv34rf+n5QR5CEZw0ssQcOio6Gm+3zmOIGNybjk/15l8axPSQ+zBaB
I7uk52/Xm4Hll9UUoH6ete0vPDzx+LL97JMM46OzphkmMlK0PYqu05Dc6rESolbHtqjaRzygssu2
RX4qamb1SSB+vxS9KLpwBKZ/hpgn7xvrBBtlpcQlI+7Fyg9buekqhRh11FufRN0l0L09Wixl8eWQ
NJLtnw546sCOCQyNe8QgQwL6boyNK6P2C5DxHn9AqTdg6/31ZJXdGkO1+pNX9z4msjxtlaWoYmDr
nbw6CxUmFCly7ziFer5KS3WdlCjx0nbzL1ILIKIM0Rc4/zm9/5JZE6yRyxklHz8tflGLzIN+WtQs
aN89iHlEZ80dLNw43fzGLvDYboYeYnZh/Dy/8PtzuiRq3OmmCdjC1Cf3a6OHsqrAB+ESnznqulQN
Cu7oOVfJl/MLfXR+lrp+qeIoUv+pYX8Liz1iX9VkES/CoR+OEijiVeSEz7Vga8+v9NHxYRvV0skV
QFZOLu0kbEU0yUAfy7A2wLQ5Ld6jUR1fmsOApl2SV/19krrZt6ET8SuNCOtPSyuy5iVjoVXjSDrn
J18l3YDSMLLJOSIpNd/66BfitEQd/ecxhgKRXFTzpZAunOLU+thVhouiwjFWc43Frg0IaZ/Qcvzj
KMM63J+UE9ImoJ2cEVq6s55L1zmSYOvvrprzS8hFNZWj+HX+1b2P0qQDMDQlUEBm9fokBXJViM85
3+WRu8PY+MLMtswy7S8zFIwlLco/eVMffHYm2SWBxnGt9xUaE58FJk6kgUCefUNGKV4ruqorpnPd
Nxga2Q6xwW4NtOyzKdQHnwNNSoZhzCiBYpyW30WEASHWae4x9HLYWAZjrqlNk3U36Gj355tKh9Kh
PqKBqE5fXxgb/T/0yyMUYuZZgWdMCFL3gE9Vj/yKgZXh+QU/CKA8lgY4yWWLTtvJVeEZ6FSVZUxM
MQMUnnv70Nn4nXqRZSN/gmfyKPtPlvzo4DBYpxfMkJGa8+TgUJkMFSpt1tHrUf4OwNFeKgmFQbiF
QnYm8T6JMR+9PlAPtN8d8lcuxrfXOzrds5isyjoyOQVwAAwDSbIZm5RB/zy/mR8EaAa1lNMMLMm3
xGkwaaexKkVvHefC9l7MPuzX2h6LTz7xjz4EdD9sWk/eAhuQb5/HAalVwFsiaTXS58rLjC8YFOTr
oC/ojNiNbFbIQ34vnHr8JFv+4KzIJUZrMmVla/skWKOpn+AaSHJugv7NLyDDOl+awnuRJkhrNcKO
qJe67/yefnBaJG0DLqEF4wsg6u3TIiThhmWfUNbRGtu1QRKslVf4Tx0CJesKhmb0SUrx0YJIIwpH
erxHxDvfLohSATTugSq2bxuFhXnUH2Qu/QNuSenWs5vn88/3Do/BNIb2IPAYZraEmFOcl4jryY68
zjoi89Ou7CBG7gapjnU0DJATRvKBiz6yEN/oFWKZRV9fFwvVZ+BbRuYhbIZPNvyDK1nSwWBaxIVF
u+bkLbuIGqZFV1pH/KihsFt1uLiaNLiK1oNXbht4DHtc6NMHP63sK/TRxGdTsw8+WAAqdGsoAbSy
TsF+yp+1H3W1xJ9n8HcRU/XjWNXNJqyK4JOH/eBIk7NyXS6TR1Bny5//lumgJWjZqCfKY5xpcQnV
BJnWrnO+FNQ+r5MbT9et1Yvd+Vf+wQ4DsWNcQT1I0LVOdrj1bLd3R1sdc4G6MDLnXjdjVoGeC0WX
5zMDRmTwJmhbs1whGO9eumoIu0+eXPFkJ4k7tynIHpuR2DK+f/vk6FDGyPhR9IDWDL5FzeIA3ody
/vOvCSSNTVt1GdcLeXK/FOmAJl9hUvb6LjMM9ON2RYm3vEjg5Vk5E9/ze/vR2fEIvsBWyCu1fXK5
4MI84GnL7Ks2zOzXaCjn6KvauCkgIHxyj32w1DLwl0tFT7Q4TYDQ8wuMWqXqfzg7zx23kbRtHxEB
5vBXWWp3T9vjMPYfwpOYySpm8ujfq3o+4LMoQUTvYrGzQC+2VMUKT7jDRacwvkX5dcRNs0XUOTJj
BNUfz+vOrUTsAR5HpR0WocH15wqydO4twaNZAFf/HPRkchtYgFg/WRhL4D0b+OHKkHfmR7mWvIpD
yJO27OTAi0l5zXzzAoNL/1BXjqCa2KDn56J1+nh2d04EhTvuGhUdg7VePGlNgtNcmIZ4TxkKq+Og
vzEQ/BjwK5MZorfVj981a3APA8oGpJWT8+nxD7hzD8CU86kfchroQyzyyCnJvTIJBQRLIN4aJHlL
geEQwEF8wxwNtIpA8GRb6Fm+XDkhd2rG3LYQnYBekwhRorn+tDCZZSOrOCcKcrwJsmCI9JzuYgk1
4w+Oo5jmo9iXxNnLYBrplk62uffn2P/Hbj13/3gd7twKLkBEZCI5qxSQFx8iGzWdTFrPngAoGP+w
M4qtyFPn4+NR7kQwV6NY1zPuUSXqkOzPnhw9DXdmMNp4kUThpvWL6it9kk9zIupLl5RroO57n5mH
xeMk0Uvj1rse2C6BdgZQ158GiGH201Qj5vA5iBzjd1q/+Y921BEG9IzcG1ditjtnCS4GYQw1VNUw
VH//5Z1JW810kapMnxCCqE9+2ZjHNDUw0oiStff7tpsWkMgS6BJSeNy8/uIbtgN/s7DfePLq3Mbh
BT4OVkJJUWC60YmuFWcsBbvwEOFdidnwWPLMn6SEdjzjZw2v6PD4a99eXSApaS+ppgB7ahkVE/Rk
czgVxVNK2C/xLa2nZMsSGR8n4Qy/dW25xvW5XW2LJIrLEroGuPYl2gNuVOToWopPbjwWxzLXk710
imYH4D9fmdztjrIA9XFWFACN4Hixo/CNbbE+gtyWurL5GRtJibYnRxRdn7KFeR6bxU6fAnQUHy/q
nSkqQCEvOLUEoEWL96B3RZdibhteEK1CMpVSV/GMJVVZbUWWAXx4PNrtgVXVGYdsDQy3xz15vX0t
mKt4oYC3RerWf8mRRduHosPABudx9HSnrmu3plDIdUrc4V+PB7+dquoX0pxlvp5JEHE9eAXNwxsw
xbw4SUFVL+8mpf2Zv+RRIleih9vrTyU2IAmoKCqk0CIyAyCFih0mQZc2lNRMndw8DsBX9u+ekIJ/
cOkTApo8sdcTGjwTPV881S8T5u+vg0DQjQ5/sO+xqXz/PnEcXjSdKo2nKB6LxfMSLxegnaYLIkPl
IZ4LNKlRAYeonK21/+58J3ImhZ/nHPGILrZkOpQaNgJWf5k6L/mJ91f+WqZavtPmOV3Zj/eHQlTP
d1XT3F+sIA4hQkftqkemsxpfkRQpT2Zll3vkxddw0Iba29eBMpm2RclOV41FcwnygNqrx4Mb9hfZ
tp2LkqXTY3M6hr9XtnS+63VoHKMYVNumLihiuBFPyk4U5nAyc8xouFUFVrWY8j7eQ7eXqgONQyFt
CKu9m26C3/RYGgbFgB7CUBxRna33Mgvwhwl8rgC0vvePx7u953hJSAkJ0RiRSOR6zxY1XnVmigMX
YgfIaphTtPe6MLvEiMmgxDEekQi1z4/HvDNHFQwqBpS6yZ1FYNQB8yhz9DkvFmq+f2iAmr+OMkZA
EzmIg9Fgnvd4vDu7iqgggMsLVVRxMq7n2AYj2jpF0l0aRKMvJeLIZ0r688nzGuP4PwwFpB1QBGn2
Dc1kyIWQoOtazHtz+dI6UXi2tAhfUD3s/4ehuGZUGR8wIsWb61nhCN6hfJW2l7FPmldfM4Ijsa7x
mRqHv7KAdzaJR90ZCBG1KQ9e9vVQCSobQpces5Ij8vNaHZwGD4dXL06H51pOiFXN1Vo2fSfeodbm
Uqygmghpw11MMAqa2vcKvb5UwwyWZYfgSchB1LGu+TnXBjTGXoatibdqbFDJQM5YqZxbefg3+iyi
eX38Ze9sWoIvHmYQPS51HfX3XyK9rssxX64rwOCo/U4fW8wP4nNZSzTpyHI0BFE7O8y3jwe9s3NB
fUKcVuw1Dupi4b1motIw283Fs4rxOGEGdkjQgjnZGvpJj4e6Nz+1zuShAeGlt6gbDFgtxrox1TQy
sCkt5yTcl0ZZntsYscoY07WV8W5DDyqNUHxVK0r1zRdPstn1JI6xU18CLgAU+mG6T9hnnERZfcT2
KDk1ykEMmZ9m5dzcnSjRAO8zh+YGboFoYTlpeAZfxsZJPrOdhlcYJw6I5SxHXlHU+8cLeycPpESt
Dg+xL+2GZdyeEm0I2QqaJzCzgJqlGf7pOSZn22lokZtpagxLoinxkZgs5pGUqYj+zGot+8FPalbu
3tsdxYmCbgSgB3I3hZTrbRxPiJwjSzNTeZNDxIft55egz+R01BujWttUtx9ZnV8uDCIvksplF7mP
63Syc6lfDFm5qGRkaMPv4BdZXyYUxT8HLgLcmGGl2a7uMrHCLb69tegLvPWwVVsXWtz1VEEzGRMS
S/qFJoncek0qfhhDnfxTlRrqMoFyMHba1P/5+HPfWWDw6ITUPKYmwfXi1kpTyU8ZMAuODMTl7LT1
fysLs9n5UVOs7OR7Q0H5VKEtI8Elvp6g3zgyth3KU0OVWT9Kb5zOiKcgQqgjwvd4VirduQ6W0Adh
05Aj+DDWloWciKdS6exPlwj88YFmqoOQc+mccgCGJ6x4gQM0WnDSUjGiNiHK/ePh78zUw82Vz8mL
4FA+XswUWd5CEU0vQYEAfUMyshnwKtmgLtethKC31wPgbWCvFiV7qHnL4KTRNYsQNJOX3kZaBoUj
5AVxbToUWCbhY1Unh8dTuzcepFSF6kD2gAT+emo1VSBcq0dxwZzFNvdmORjeMUIz+lshOMhPNcel
WnnL7iwnOAPOJCgHAMGueT0mSFh8AWM8KaPaatGSy52yeW1Ry/tLBPWQv5N668OCJuqybGJ6dSQW
o7WYJOpYdJeXIhhEcZylHhQHSwHBnttSVsa2ouK7cs3dW1XwWKrfqsQd3mKLX15raoKiz32q0Bn+
cDtE/zNcFRPsulzxd6kFa3CH+8P5CquiHtDl/jRGZUEUhMWlllbz7M6NOLSjWUDCksVx0Jo1DYEb
tgGqy66tBE8UNt6BrXH9Bbsy6D2sjeczXjKRGZz6mnA02/hYmOQHVGBr/8mnWK1/KW0Unqj/+K3A
JbyeUYf+3mETYLwMs+/jcu2aifZdQxdKHKwe1d69psPAPTawC6J6G40BpthxWKf5q9GlHsLylaIH
/PADgGWfGgyAkX9LYsTjHh8LFZP/euHQowO7paAbdOx8ws7rCWYWDqyjO4VnXQd1lPJib2N3Kr4+
HmV5rbGMZJksJZVDkBX2IgjRq6qMoYJbZ9y7mv4kJnR3t4VVu2h7d6jglpEBs69w/F0MEGE/+OOw
crMtdw6/gJiLf3Nn8URZiw9pdMgiu6NvnycjryK8BizMUbFNjqPuJW31vCs3qsmor9wAN0EJVwc3
HHc5zXqPlFOtzC8HpJZYK89FZJ5xY2ophsuxHD7XTj1EB7oU5fA6D9ngH0ItCMODQHwFH7JcZNHz
IOhR7GOE/pMVeOBNwM9vItyyFL4ZThmUj+vfFEduBMpYTOdcSGdTRVH9NNKZ3jqQjrZ4RWIdBFN4
62PSRQ00i44Cv7q1usDtB1Eob4pibD4ytWWjySA+0hIAxueB/bL3fAbEIX68eF77l45D9UqEv4yQ
1JxVTYVdToWFD7mYsz3hGFWY/Tl2h7F+zYogh9sVT+jSHBCIjhM8EGugs/EWC71komWMw8TKZlg+
B/wGoHbUdwyd+5KA/Po3oP6fYEhi92f8Bs1/3XnKv+Z1nL/UTbyGEbk91jSBuLOIvnlmb2QRZmwT
9WZwOqQGSw/jDtnsXbLYw+NjfecbcimSXxCFkUUsi7dB4ZQgGYb+3Pdieq5z6NHofuDzk4/6xkcj
cCVmuPMRlYYNIcp/9YzFRwxSeK6lMXdni683fO6zimymKyy4XFhHFm5+gSBohthN4ka9ifLW1j8+
nvEy1uW6JLsgEOQ8s22X4AZXZB7a7VFzZpOl+D2kdjnlB8iJkG8y6aEfVmpJh69oYWHMviZNdXuN
8grRaDfo/rCJlpeJnQQJCOJoPBeDnV5wg+ku84D17dhiotNoebxLKq35UJepdbCMRFuJg+8Mz1tB
X1hVQVCLU5vu17sMI+PKtLsQ4DXa/puo6SDEzboZYjmk1058RJIrGiguAwrfe2Nm2mBIi+j3x5/g
dhOANoQkQrhhQ3he0tVirypHVe49z14IO5TTBgi7p+80x1n4E9PAaJdFeReg2uW2a1z12x0Py4eE
hhoe2BaA79dLgDafQOpmDs5jb+AXpDvFh1T6xWtvIP0ofUZ9PNk749H+V2vNkDRIljseuds+Tkfv
3GQSs+XKsnrcT2uobI3QSAGaSK5EkTd4GopczE7hchWTC+DQ9RQNYRVhyLV4tloqMa+4sM8V+Yc+
0Sb3ZGghYynjil4GeJokIXqeEqDJY93Xr+S7ro8oLdIXCH6kYbySad5bjYC2nKvIDcCVlxswRyaA
nj2rgS/FRYvGz0iIy33Y69lzIbTk3TGDTcPEhaYHthVAxCI2GsrUazGGcs7RmBabuIUbUkWTuzci
Y9xMOhzUxx/79nwBe6OCQS4PC5MQ/nrlR5t1xbAmunQV/gabWZhYlcKON366VVh+kL3jYv812f0X
ZOExLArwMClPj3/D7QXH5cb4QNGBpxIXXv+GwqWvHFoNcK3RqE5dg6N8lsQ5zg1UTMoI2cOc++md
3V22HN1dBSQCyEyrYHGqCIQatj9CzriQayaUDjhAR6fqO1wS8yZ4Lx71v+EQn2RYUt0lDq+gxUaB
YoguKPoFu4KO7TGovPKAvMCaxsbtk48GEhvVpwqv2kiLmRkiE9gcmRqFcK05A/bSNmXhZt9nYuyV
2/lOWMe9DGoSPh74A/LA608nQguDUaPDzc1x5oOV4fBZutG8EQaa4vUw2Nt0RC4VnTk81yEj4c4b
xIfH2+fOfEkkmKdDkE8lahHuhrkW6aIPgnPbddVhGJyP/jSnH0IAKbvHI925C6iT8BYr0Qsu5MU1
leSBMzuo25x71uPoF6UuNrWFYcK27PN6m0cFXOLHQ95ODk0fwlVqwWT0zO96gZPZRrB/0JBUGw3z
GQCEA03fkCdIZe2K3sSdj6mqedScVOdMNXGuxzKjoTAizBXOs2gmby9lo/9DfcT4w+0z/FLSIm8R
SnGlvpmnTn+ebS39hkmgvXIlvW2a6/yQLJNwi1aL0mbRF2WTtGjLYEDpGE+UBG6ZchjXqgvC4Z77
ecYzYkT9PyxQEVcSMsc2sKX2acS1RH5wBj2T/4ZSm5yLm0ya+2nAzRSDmboprJ9e2rkR9jmDFfNW
hF1SnEdzEt0hMIYSFeWkxmxok5omxpt4BOLEu8E/J5m/4/wT61/iADsCcTRq2cQHx856EPSwG8zv
Ot5uf6GJhRmij5S3t8+HNMpe/bIq8NlDKGNNb/J2H8ISICTyUNEhn1kukKjm1oJRLs+j0Hzs5FEX
j2xPuwSg+MFt5F8f78Hb+xlRY3VF0hmxeKIX36O0KpNlZ7WSRoRHvOc/zUM7nmiSFIdmAtyrj+G4
EoTc7nvCXigz7Hj+CSn2ei9qmo0Ftpuh7IrD4y6pabHppeNudIgn+/dOD+wU8RVMMnAtVLOuh8Ls
sihjrcjPo5zMrzaGFtGuzfxm3Iae2Y1H0Y8Aluea23Rl5NuwUl3PPPRASqnbL5GsRRAVdY2PxtlF
FmiEqB7pQFG0CE8X+sjZwbcTDCVlj7XrzA13ePe84Z+jTUA7k2VeZlKRZsmaMtt4dvrCQqzb9/ak
xSOQhgkrltyfP5aK9v140DvfNaA7QZeNOiz/XCx2B266qSxsqj1zjOWpL+ENnnSzitHLbt7/6FLO
5nGnPEkfnNrd9ZdNIgwhJqPpz7rUnb3b4CROeBNs5tRaq/XcnBHeQGA9HucS4AGwm+uhPHScp7GK
27MAeInFZi73GAAOL2OkG5cyzTNsVrM1gOnNYio0iipk0EcE3r+MTT1qdjbNvebchhFK+HMinRdP
ToFAVE1EXx5/uZtIEdkl+KhAl0CXKlTB9QyTKU3nGq+Wc9cMwR5T2eylGESwidAt209QF3dTRuzo
d6Xy8Jb2ytt7+zqpDAzIJTRxm8369vdfMsEsASOFA5I8Vxb0eETyg6NdDjka1HMd/wZjLN9OtKBs
fgF+4zusiqWJ00i6hh67XXT1qanp00pQfbbFi5wFFQbLvlGfi9lCeqLtHMwQ8Anf5Ojcfn685mqD
Xr2ECngYUCGlQ04OskTVd46J+mbV1mdnsoC1lrhpphtE/DLMVrlZDnYsQ2PlhN4bE4A5cQ79NZKR
RTgV2chq1G4oz7JxRHwShRGPX9xaw++6osbxyfOy/r09INIdMkCCVoeiLUKeizUNvXzUss6RVKm6
6h8XPtXWnSP3y9Qh7PF4SW+ro4zFw8lGJrJSWdb1PhZpErpO0UHl5gunHY1aUebRNq/bhvqjFk7G
yYrNoNj7QgRfHL0Szj7OErP5pOFsGqabxpJVe3j8q+4sOmElICwg8JQMl5pjKLi0LabXxTnF6u0b
+MT+B4l+rG3A8PVHav5R8/7PTEWWNJMWruq8LT6zKGfH0yqrOHd5IRsa1aOR7GL82uYfoZ3ZX60W
I8mVCPONMbnYz+wpaMcwKNjSy7OjZ4OVOLQgznMu88LbzBycRGwdPAwnJFNUC8KMczHFF8vCveij
65bpcJAOlZ6XSZpo6LTONFR/GfjuWFvhGG305r2Y4vfTuZRDkLrUg24/xEGAEB2uYIOziQUmZp91
bxzrk5xd0a4kQXe+nZLKJYagl4EigXoafrmY4spqvHKUORDdKjmVmmOeMq0e96Zwvgg/TldK6Sql
WqwhtU8bGgjfDfjq4h4WRVEZIkmbs06r75KNbfNUetNaj8ZRx2AxDFQ/cBQ8abzUS4HEOg6Qrprl
cMaIpffOlARKNI51DEcO0vfod4cawH53N2r4JnyWyKkal4hYDY1pC3PW79mM+cgr9cIh/DoYcRD/
lto4wk07JygteqFaF+H+lxGXbzG+HQU2bVhpumdnGLnT4Yb66MRPMrf2TpKF7RHIPT2+QImXb8q6
lLACQR+Yp0TYvYFBtPCcTTbnk/cR1VsdPZ4wD+YfbYV7Lb6YGH39WWqGHu+L0LTFSxwYSbLP6doM
26TBJ2iX+3Iev+a2jcBMYpr9vzhSFNPLXBpt95RPsWahYmvFs5FsprgstUsdSDSGNoaJrka2AeLh
BC/oIIb+drQnjIkeXxA3oSICcUAB4AdTmUDBZFEjMRtNVyqkzBeX4eJPDYP2xtsXvj+k7QcxOmmk
JIdy/WVOi6LhJfQSJBge/4Y7Lx+MWq4Ltjt5zTIXBVrDOpD3nFv0fsdTI8wRB/EoTvItHJ7mn8ej
3cxYoZaplqhOvRKmWexzaOyIn9E+RwDTTavpUJmDrVz1gKXj9Dcm2T+tjNLO2GlxXYgdXWhD/vv4
J9yZMDhxZgpd2iX5UX//5WRrQ52Dj54k1Y2x/GbB8fhWY4WDGSuGL//DUEA0IQsRVtC5vB4qKAtv
cpOyPmNeW4X9Fls2T+wSjOOaP8Y67ez3NhUg0JHigxdSeofuskg0dDIVOcTlMy51zXNRY1IH5fac
G3X3jBcs8k6Z6axc/7cxssLlsH3U5c/NsviidoroEWZZuNXWU9ntzK41662r2cWXPmq0be1W2M1j
NPbznUuryGxKG5yHlZLqrZal69IB9lyQdaX97OHGfUnovuKz2a4FFzdPwdtQHkEqrVcU8RdPQZ3G
YYOMh3tqYk3+tJtgrvfYf2avZtFa58Ka+5Vr4e6AvDxKhx58ybK9Z1VxQ9dAc0+uPf8Zosj9POAi
tjP8+e/C1JMvj1fyNgYHTs2rQ8GUb0iFRr1NvxwIDHNmbC89+1TpWvbR6Bz9u90R0ezTrHQRdCzL
Cv/mdGjDs6l5rbHRQ3SydljimvvHP+XmaCqkPwgCFDQJm5Apu/4lQdfQiUtwXx3mBs69FetH02nK
Yw+k5vzuoRzF8lJtTbVzF0cTJ1y87ZGVPI005yoKRHFuub9jPO2ZP01kq+vXx+PdXHyUdpTujyIC
4W3gLzZRSvNzGnWtO7qpO+ybwo3/nFq8pagy1cfYFvC2/TZ6sm2RrORY5k1swc7FZQAsD7VcNAYW
Q+fl7Nfo27TH2GuQgOTeoPAx4MOsWaHYY/AmdrBd0fcxvPYQCwMHTRnSAcwxY8QqJzm7XYW7nI2Y
KH32YoceHuJhhajOOYLPpGaBxAK175yPjhiisz7gfJiHtfliG6m3ctvcHA01F+yuoJ/TjSabud4h
CaCPyMYE8chquU+xlPKcV3q6TXGHOGBzlqxskxvSASEQQhc+r5ZiRVJNuh6QcMAtB5E2x8i2Y3GY
yiqmI2yFXY7E5TxLM/p9RMSzu9RemEW/daDvc2IFsCEffNw79M/BGPvaEbNNim0bDT0ley23ewsT
rqI6l/SKYo9SBKC/5CyOjYZ2sNOOXX1s8G+4GM1kbuo6rjeNTHB7J1r7WVIE3uvzYD2PVUiaierD
rpUo/BYiTY9Gp/s7w45wqIrj9CO23PahcRy5a+YqOyP3n33AkxBrUCSUvwStMA+ZdLIdZVfjJOLG
3TiYrR5AQGgnTISnlf2rcpab2XHB8w3IaCgTLL6A4aMhVGn1sYi8cgfbKv/w5iJeidrchVnXPo++
I3Z627UfiKXilR1wcyepxaXgBB2WjvnNG57VRmloY9wci2oCfyoT/xjXct72rrWWSd3eESBN6QpY
BAwkA0ttaAPK3yhcKz3LQg/qfmdkqRceBqce04M1V2H14ptuav0Io7icQdRTAFwrQt+85h7SI7w5
nC2iCP7zerETJxv0nLb/WWb5+BRHVbPFTbR5doZCXhqXg66183x6fDfeHZQJgyBT1/4SjTAgGlv7
bpSdg9ps+2QLr9ZJt5bexjG7T87zX5lpFmm2LTO7btYEyG8+MFpA7C7VHgECjDzl9ZSnoRZmZejh
SRuQA+sc7E2K3sv2VJqyla18OxS1RHp4XCWuIjEttnJMOuMmxRScqsbNTxQRzY8IanhAH5Jx/3hN
by5KRUXiJVUAE8dDUOV6VtGEK7LuhcGJn9PsI9TqT35vuk+zOX2tMzNbae/cGw7dBnpoRCY6HMXr
4bKxwoMphmaSU07d60oOKEdP7aTFWGdpwlsDfb0xWH65FWAg0MqiiUYMz7+AY10PCPVND21r0D7Y
o42mZigrOXwocKTJDnHX+5ICYuFFxYaCWlRvak8X5R94AA/6McM10n3yB1tHVBYDE/RlUxoIB4LY
bv4uSEv/JanEujWdHQDMMwlsurfdzJ2ODtCAudnhR5V9GIdMdw/GKLJ4E2AIILdhO44TZlhzOGov
AWTmV0RK7O6UTnAYt6hy0/OwQ1AOJy8VzribQSlHx6QNvYIkvDBmaw30sbhQYBkC9VDdNgCZCma0
eBh6Byt6aj/RBz23wmNd11/71nE/W+HobT0bDl3ae8A0p36t8rU40UqaCTAXgAJ0VNASXipkGuSQ
b5Vl1MoidDV04yeMGw1iXGuejdgeTkrb4/B4x98ZE01O7mhLbXwgctc7AgPlRDizLz+Mke+eogT5
grIT/lOd2hP63VG2A022WjdWS3i1D6lrcnkgBUGBD/m9xRJ3g3Kgzu35STQSvC49POtT3/uziXlP
m1e00owp/ruqw+EPmWkWTstVk9tbJMTdTxG+x4g6pHDvt1K6TbOZ0A19saUs60NYxJ73HInI/+rM
tRl9q9JCy1uuYwBqCKfnsYV3eRFP8rVqWQ+xCSI8l1+QzmrTXT+1nv9Zx4G33Em9asVHyxez8bUe
qr744GEpllFZCaes2pY5+GokzOegYzsqCfkImcAaRwtMHwaQlJ8o8KHhsdWlK8DseCIY5c6ImrLe
dbgSPTUNpLYDdcHsWy+Qq9vQPB/OCNPP+j7h7fxt7Mb+7wyLt3+q2XHX+m2LqweZWSJ4tc/AiL99
i+vvHtAuaUbIqU+iq6dPjpirP1qzq59ci3ZmoMTsHu+zxSXO+0RfRiXzSqoLrttinxUWSkDmKNKX
qtGjQ2Wn+dM8x5AcatTX3jkUnTpOEfLF5J3U0hfR7pyFsoRNG36QZIK/6/UIa86N2+/5OK6xGt6K
0b9uZLAeiBWwjzlEKOIvg4+WOE5HlUE86bZsA7APZZgfw3g0PnV2K/RPqKp4fwyNb0bQ2oRhHESq
lfoOCc2i2iWTLbJNPVe+9ZLGg3cQOoS3DTGyZx5at/CzkzVVMls58jf3m0JRoOTHaYcbccP5n6OK
+q/srSdZ2dN3MATi0vcW1u+6le+phpj7ySx/amktVgo7auF/XSwyRkXDoPgAQQwU2eLDlFnjFkPJ
qQe90j8N2Pw+D60rV6a3iHyV5RVVAGTB+fRY0y0jE94jN67icnjKfNnvC7uad96s/SlFXpwM4bSv
UZckhymZIVl6Il3ZfLfnSgG7SSvY5QrctCjspBNutcFs9k/2ME+IceAbve0z3zmiNxsdyrpy10qR
9+arpIKUjajqtqpf9EshYpzKudJK4k7c4DEnN/0BhIyVj5BE0buMZK43m7Fop9/0CEeffgrW9tPN
0UZbR4WhlKxo996cAc1AXh/Wl/HUOHO/0zLX3ZCY/NvOwRqL+85UaStwppG4YcwlUK2FyZiVedc+
xVoksb6g8aFj37ybeqguGUDNg6H39Us5et+D0V3LGN/KrIv9q+5NWHbw6HV0M65XuqmMsJ3atH2S
QV1+ldGoyT3I6zj83bJwTdiAArH/9Iy5Tjd9a/fVpg06O0Du1AytjXqAjc8RHab+JLu2lzu7c7KL
X5vaN16WoNoXrQIUBy0mYa6RRCGAqhqzDA+HcnpBVNrTvVf03Z926erZFqGb6iPSomZ20O1pEmgM
d3VxdMfYcLddO4bv7LAzc3YzAT+GiIrMfkMi0Y3RMWStPzn4pR0LhDo3vRf2L7QGhs3jG/z2EIHE
VFw/5agH3WhxUdRNbzgThe2nyuv/LSWZdDhE9hubPd04Qq/+ejzeTRDE9Y1UHmcWrD4KN4tkJgQz
N2COi3xjbtr/jvj97Dt/CKKDk1jPXheVX0wxJyv1yqVjrdpKvL8AmqnJ0kRfVhC9yQqTugrsJwdJ
5Z0o7egcZMXf2OuAqcJIaeu0sng2hKENW0+JAc/z5G0AgIsfpT/4H2szn4+WiNdURJalzbcfxruG
AxDhgYPG2vU+L+gKV5PQrCc78sdLSoi/qUwEvwc3Sz4Phhy+kXK/+m7t/BYTIn4IE8f58viL3N4p
vFB0+QFyoCvI8lz/BNYhzXFfd59C2c37GNuXc9QN/j4ak3nlvbjz8cFxvAF/Ec7i818PFTm9b0cG
yY0VZpR7EPQ8dfaYbqVACUNHff+Hr2Ec+3h+tzsccAxgfupj1P+J+K8HrYJ4CGZuuaciMGpEX42f
0xQmLzZM6dOUpNZKAfDOHGGZqVoMSm+3DaQadlk4QpBAsttJn5qwtzcJaCO05XJ5mDvn7zLgfL1v
ioRGhPjQ29AKZH2XXu9mgZaAO0FuSvg/Tz+WXeYbuwYm058ijoV4havgvLPpoKxaAaQQ1CgNMEAN
alv98hbO/uj0vTvJpyTr8z9xQfGLnVa34jlI0645BGE//XjvLHn5FHxC57JSIrvXI3qj1uTTGGIl
2cvq2Wxm/USHov6GrmSHFqO1Ji7/xnb+9RFSUyQrpViAYSGSXIvDmRW+NKj3N0/8jyoK45bdFugV
D9oPS0ttsYHPCLmvSr3xVWaZY280pBKDY114wxc/N6MMaQXc6k6tD7QAdjqSbHLqjG+8bMY7WV/q
c4AwQTwLFS/wbcumITFub1YFzp8RgPqIVN9I2l3kw3A4VzX+WxsXZdIv7iy07WB287d3fxpA9FS8
ASKQ5iwDI98pKYNxXT1pXjQY+7HV0n4XdCKIn8eh0vcptujhuzc9krbk8AzIvgDYd70dlOl2EXoO
BmZTXn0dB3KrxOrdH0lihvom8bXm0+NJLi9KogYPzTcFRlXV7GVI1NgugYKpTU+KknvKafQf6gDU
Zpc38/HxUMs7Sw315rCEjhVgqCXEToSB2aBTMj4NwrD20rarbTUF+jEqo79myp8rd9a9mRHlQZ4D
zq46/tdLqaAkgwUj/qlEbDPe1hDxu90Q2+0PRyTvFfr0aKGp+YH4VrgCFHuuR+uDKbF9EN7HfJwH
PACKbwME4V2PlN+HrO/slcd/GckyHEdD8S3QfEcUfDEc4R9uqr2sj0On1S9Rk8ZgiHV5IEooacvg
tDO6FFeN0s6PXhBOm8ef8i0v/fUWUeMDmIZiRAUZS97FRekTuQ2Aa+WxMoYY7m1qBcVL2/lBuwFn
lsMcMxNxHAWGmpuoLC1afRpSRqcC7tPvipwWo3IpymwjReHDxmnM4aNvZP43qdWNuQlRfP1dbwKt
3JaFNtLahpLobzHOzvdRirYpyD05/hyqYtpPEUqC29gTxZfHk7xeYzRslBwlOt1gdlDAIpS5/qSl
kbemT5/rMI1udgrNwrxM2pDuLco57W7QNIH0W1Iey8kR36NMX9MmX8Dr/vsBFLfe+mAElks1dM+R
QZSBLDxYVDkOpQnHNzVm/VMMtniHH/P8PJq+81trFv25NppoL8GT7lJXEyvRxnXG/98PoYNJbqZY
e1QqrleikHGnBbOvH9w2pNFPTQzFygi93k423SUUhnyVnRcdYI/YK5eGCtX//0bjplBFVOIqasGq
SbHMh2dswEFTxOYx89zocxbO4YeGhGZlP1/fFW+jIB7EQ0x/gCjn7Uv88u7nSTXrnT1bRzefgl3f
V8XZmMx6F6ThWsnn+hb8f0MRtpGf0JW+MRQKgWxVXmxbx8TrzN8SreXtqo3xexiN/mGew7VI8WZq
dAbIucBBwl1G32uRdPpa3wY1tbxj3Tfpy5gm/yKm3D4PlFq2j8/LomvL1NRQ9LGQC+Jmgup6vU0M
p5ko+3bmUaJk+jvvWAoJ3ZtPVmbVFIRBNOt22Z/MvtYQ05i9U166NW1Rrd771gRb3kf29PFvWnRp
334T8ZLyaAB0RPVwkQo6EXEFfozmsXba9nXuunBnaL6/QTPBOOpt+ndWxAIX2q7+GlaGu4mc2H/W
/ST77JbYTDmxGR5qP3UPsoQhi2Wrc55crOBNL01evDYQR6m3f6TYCZ6cGGGrZEDYuoZteewjv4DQ
rKwrEUTYl24nPz6e3M1WQsuVMixQFWIjZSFyvd5h4lul31rmEbaNQTWwAa9nDh/gGeNbwHu/cgtc
JwH/LSVxAqAjcgAFHL8ernLnEXKzZR3nydZJqw3ziSdKbjM4ppc2l1mySQX34+NJLu8eNhWHhKcO
OgD/dSlvlsXwTaCvWEfB+bzEBqiY1IrDjeeJ6XfdSrSnuJnNc6g1a92u5f1PiRGmA3wSLlFFkF8s
r+WENRjYKTrlJEU7sIv9wUqxJ0Rzytm4ov9RVHp5aFxPnrLOWtOEvv24JARvzTb6iWRBi9F74ZQ1
OLbsNAc4QovKq/aVY8XPmU+chiLYWtV7MR6tO+XaoOIXKtJw7hYRRT7aSN1EAi6SJVBBOQyZRmxW
kLr6AXrL44zKKrlDf3r8eW+HpfZHNYgohk0FX+56U9VegqizWxunIrQ0TCZ9fYt3+9+2HMZDMkdr
IK/FN2WWDEdRiKkS2xPVXw8HraKLbBStTzif1bsm8Lp9VvXWN6tM4h+OFrSnbPTdHSutbwq++Pnx
bBeb+W14lOoU/R5+ME2z/+PsPJvjxrI0/Vcm+jt64M3EzEQskJ5MkqIMJX1BUKbgcWEvzK/fB6ze
HSWoYK42OqorVCny5AWuOfec11yGt/Gj6ic0Dg45B/upzxzsxBNl2NdVep8UnbrNk+zLQpfcvR13
tXSXuNQolo2Co2BRcbmMG5Vq4rWRqR3yOkyeXGwvAzMbogcE1/T9bJBg0WYuruSovw0KqQ7AIMRW
UqjLoHqCDp/rFfphbCxjpxS2i7AOx4HZxhD/udBt6k4rrmwXv3nBKLYglculGt7FGkEegS6258LU
DzFgtj22i6Gfalq9N1LkHGyuV4EX9u0hFMLawAXS/3r7Qb+ezrQmNIP7PCw0yD2rMQ/ozerJ7FiH
Jof+lfdWEejOkO7d2Er9WY3/zJ4QZUA4PMxm1DuMpbi61kWZEt3IhjqzD6k7uoEtXPcuBjRS+nON
6GXw54NDCodKBXZHi+rL5QtFxahUZtnbh4w5fMCaubnThwUiOZjDp4KFs3873orj8PfoIBNC56Cx
DUpxNW1rMY8ka4lzmKmS+3VqzLfVMBTvdRE2vt5oxr6J7XKv5yZmciAj9xOHoJ9yd93Loptv01CX
j22Kuzs3IvFgVGXx0DmwUuikxQE31CIJGpXcaAijofiznHJ5NfSQUGHg34BB1lxqCs7SEGFqHxxt
KB6svrACQ0MUuG6Q5Hz7Qb3eVti2acaaKmcW9Dz98sXMMtTK1pFYfQs3PXg6HBwN2MvD0NpAHaD8
BiJP3F1SIxX5duRVdvkySGhzC3gUbDlT4zKy3XJKxq5wDhi3WJ9njy/g10aNZk2paR/ejvWbtWX+
Gmt5Cr8k6ZWMc5zDO+fgRBqu3w60+Mnp7ZMNayFoTOlcOZpWUhpMv4UKv7BQ0PqB+LjW3kzmqrdD
uvwHjqb+UankQ6n12UZv4+7D0Hjxj9pLb/S+so4SwRIf02YaSEvxpMuU+kry9epBgywH8U0Cz2lp
v5L2cyTW1yoU5cPoKHaQNtI6wQw9x15rvH/7Mb+OBMeTjBl9Bfo07C6XjxmoG/xncvfj5CHdoKSz
sh0qRz8mmW5fmbfrN2osWhVAVni4S1NsvaH0bjeLuvS0o27XxU3Zxc+KW/1I8rF41Ap1unI0rAdG
NE7cF94jMmbcvy4H1vdOqJSJYR7tRZmiab301isxiFTmRtu9/QzXRx+hqK3SQ15QZzSgVlNVNlMj
nZGJkajt5FdTZy9zYg6KLtS28WR8awrT+bPbAAcAMamWm0u9nN78ane2ppQ2rtlaxxj9/51Ot3GD
j2kZJHaTbLuZatvbY1yftEs8WmuLgifbM6KFl4+zzbEYKKlNHSO3rTc9wjOBOgJW3Ci9rQaGbSt3
UkESXx0Lb4YTKFmvb3+D30wfwmu0FMmPoViuUmRRVFbvuYN1xMVN2ZWy0bey0/Sj6lV1UEdOfeU8
Wn7fL7WIlyfMcJFVWebrK3UMNSydXo4W8eJ6fFeoLQorYYMV2NvD+s08pdgCIB8UAjDotUaAWVa6
nVHjOYpRfFSbQd4iejf9lInjXiuw/+4J/hpq9QRtNH6rLkvsY2q40U0DDPPRhI4Q0KsPdzHL5dOf
D417BoNjC+MuuVqCVJcg9zUDtJWamlXeieLO4aTaLNyLP9zGlulJER1kGvhIoq3OxFQdytAFOHF0
Q5mlfmhHbhDRM3J8aZfllVT3d6+Mcx6VcapVZEbL578cTUXUmkauxogu4Uaxj3JDOfc6pYIMEOwf
h8L9+sXJmA16ucNchpomo7fSJnaOWlL8yHNjulPTufarsBr/+AnSF1hyCtbWclVaDaqXg9sKp3eO
dBDie1j5BjYpwyJqiGzJ2/Pi9X5JKIpQy4kLHmpdYMx6WGlhZDhHQ+9Pdr64M7tDBxDOBRTnoAJg
xPb88e2Yr9+ZR4sasA3XKY3q6mr/mvrZ1Bt3Do9d1OggQUsUPyszPQISvaa89nLVudw5aGUunXra
mLR11pdrU45oX+WackxtGfktKIEf+C3J26YfPuVovh2V3DZ2EJeNTVHVC2WtqfcWcrObKYz1kxzG
7lCOmXnQ09Y4anP2UI8zmMs6j5C0d42ADmLz2cIeMLDgN+7sHEU5RbGjrW2l9o8sHewzclTZtjLN
4ayYg3Msx2I8yKr1NlaDnfWQOtd87F5vlx40e3pZJIfc79e9rCKU49iSDp1IHOzNVDbRg2NmxpUK
37rqyK5MGBA9i6QPrZd1ldzQotyazDHCltEr9k6et0E75/IxUabJH9JC3lU1jQoHPbPH2kzSgHx8
iIPZ1sHVw3HqaSrr2Nf/8ewCfADKh1LDciAbl8tU2EVLWt4rRzCo4ymPkRac0tKiTtZb/1+h2O0W
lQEa5qt1KrKmNS0xKUeL4/gOgjvS1oCcTpEs/8xvmjqUvcA6wGDSCAB3vq7w5nPXZIisJCdHtnCV
UkU/enGr+k7cKkfDhaJnmshT/eGjJChQelpsVG447Fc7Hpw/Ng5jTE8Im7X7pLfaveEmcl+a6bUT
ft1yeRkgIdBiZsLiTLHaFMJsaIUVltlpMsq523rGHG0NV6QTsrouirNdm454v+tZ4mHF03jPdiuT
jot3MX8HjFP+mcne3w986ctyD6G3CNT5cho5Cvye2A7Tk9IJzHhGezwP+tgFY1uUV8jwr3IBHvOv
oVb5Y59La7JGN0VWze39JtbK7RQb8YYJ8S2K6KO+/VZXQIR/DQ3iB21EOIHs+5dD86aCun2NFKLs
hRWUihCbKIurrT7OE9SBMrodLGA0Vuk4u0kxekgOygxEGsEIPdXKew91oQ9TJCuUb7gXiSqP/jSj
5ok4bNcISTDdofVcfsPQKSstNdCb4QQq7tPeehp1LfqSE3Pnmbm4Jt24/L6LU4J4gDJYwTR3l+Pi
Mh6mOtGAD0CGyYwsd2k5N3dp2aPKUjqKj2JDrfiDHtfBTOJY+qPZpjc2RnhXstxX5+KCwqQ6uST3
i0bN6r0AyIIHVLnZqVeBY84RvEU0AoqdxRr/0yvEEoq6vgZvhBvn2nGm6YRMBdZ/pyrL9buoyB0f
A990G2vOcB7D2g5c/BceYjtWb8IIb7G3p+BvZvzC+OLsWHpDGGxcPu8RGUHRDXV+KjU57txWjU8i
VdttNYnpvUVH80q8FTDuZcrzfoFbOAZQgVeqcOMwh3NVyPwk7dFgVmUDuJW5q/3Bw0mN/4+tYIZj
EAVz3uuBGFHnYSVcs1x8dXPjsYPu4bCkKLzUpi7HHVaNJwEf5ydndMb3I9C2XYRT28nM+098MjwZ
ipcH9tQmgd3hCPSn5xXhF8dHEj5zaSavJlg319EUVnN+Mvs8pFDUunetXSUngBPXzABf5ZUkHqD/
yLhopvC/VahKQs2Xo1eclDpmU4Gp8VEKPCcUF9k/pN8CvU+yazLHr+pGIPLAp9NHBk/DrvEKnKep
AIo1rz2NwnEDNUXOsYXjDjkqFsCpSsRaCviGau/lW2kY/R4ZHPcdFHHryZHm1bbselshC1kcpLjn
4VmjcUO5fN2jpxQlaovjQTHRGPZrQBqHnLZ6wHyr0CGZi7uE53CcKml+odFf7+MuVA5/ttYogi4V
SohjNNTQC1rNObdJLTEIuGm94Y13GrYDvuWI+Abdj/FmdOprhfH1m6eYxG0SCMcC3YKhu0oasFAm
8Sot7eSZpbUxYQ5sDL0hCdNV5aFAxQCV4dLevz3IZTr9soGTMyzqkvBGyMTYw9cSAhb6un0Igfs2
rmqFhN2JH5ROlUjT92YgOmkdRoE5iELqeWVNrYb7EpkbFPW6pS6PJtPqHY8RhaEJYp6WWepJRJ67
x5sQyVIn7z6WVoMIPMfclaCrBJ+gvEjY2ZTuli10XahI0QyJKbgU5xas0CaTWrhLh+YPG5NLFBYU
TVjuoQuzbjVzrNZpO6+cizOqJP0hVjvDj7oxPjetOgeZNivHt1/i6vx7iUeNAnFobtekJat0ugDt
M0TWVJxz10k3Ns/u0Iwd3uOzfq3H+wIMv5wwTFCww7SZORfIMi5fWx+3bYvtbnmG5Y7ocgtE7V3e
5DaWXa0J8zcDx9Wl+R5DPUhiVVsccSBQ32twG8/gYVvwCSaqxgYVnKhy7U+9QN/QgZVubMJi0rZv
P5n1+bU8GnCjOu/Do88POery6wIxnxWY7cWZ/onhBEkDV1drlWSfDd0HbgTGAyOtP1Rm452RPjN8
DKi1K3njb14PyEhODfoyZGfmajcrRZV2aewWZxHR6qMxHjqOXwwoyYbqXF67XC7r5tULWhxZ2M5p
5619/6aO4ToT0axonm4yazpjjOX9VfZKferx/QO0RmZapd5T5zmhGkQWBRLEestNgXTw7u3nv8pX
/n78yx5Oc5EUYi0qmyamqeBHUZzjTEwuEk3KnZk0VBEM86bzhPn0drj1ZeglHiLSYK/ozi8Vz8vX
3Q0a3XJFLc8AokqqE6mGYH5kB05oqreJQrLSgY/7Wrut+bEVqbEVuVE+lSROVybe7wbOwYH1D3jH
RVDj8ovg6ahlejKU59ItP9ttKVC7mu1TooO7Gxz3ygz77TT/Ndxqxxl6nPIsuyjPCY3kXTnq4kta
TfNWsjwDYcY/235S4LUilOKGeYd8V3RNEeD3I6bwtkCWFteLyxGXVgbScJBsDE013RiRF76nPZpt
lapTNnS1veJKbvr6AEEFgPYBYCnQnMzay4BGOyzNJ7c8TznCtIlaJ5txKVpIxK8OqoN4vY082ubt
Gfb6vCQo5RG6MrBEiH4ZtLHTqqcYVp6bpK7umxintTCx+/0wdQ+ooydbE7TLAf/5a+o7vw0MCmNB
dTLidWkqJ0PRAHWV5zTPZ+rQtn5E2U4CxrCrvVXLzA/TTvERMr+GT/jtcwaS7KAKSdtkfbtqsoxG
yBSJc5z08/tUqYrbpotF4DQF7qVm1LxLKvuatvjvgqLkgSIB+cniR3D5nMNRSxFuqctzkXvaDi+V
/ocae7SGhzz5OnpWeIuF8XDlHP3t9sHGyf0KgsriwHQZdYRHiYKrKM/VbI1ZwPk5bds6bR9bzfoL
+1b7zm2Vpxq6/lmbtfmTprXdBqGDa/2UFVGKTJBj69cvskqOgCe42TRR9NcbROpxdlfe172FpEA1
JA+AtrMuiGp1fi7M3NoBQYr3TuJNvBIhjmEoqh1t3/iWF3et5PKb9wJ2GiYG647zdM0wqGxarL1d
xOcCu5fA7t1p41iNsdUao0BxUZt2qMeYVzbTV3OfjGNRzgfIsYh4rVd6qFRRkeFlc25lHGG9BZTc
V3uhdj7ne3GnNNqwk1bk7XLHE49vL/hXAyY2QKClLsptGH2kyylBWhG1XC7jc+I4xXtXFdDDkEk/
5uXwOQGscDdn+ZXdfBVyASXAcacyDCyIbW2NQqrGNjOGvC7vK3y7kn0TQn3LfcC2whIB7UOne1DD
rs93nt5N9ru3x7vaxgm+1H4XgROuoAup93K86RwX1I+c/l7Us7jhcveJlCbd1GOr+UirjFcS8nU4
0qFFeGRBgSzct/W21lfStoRpdY/8s2/6Kf4yWFm3qXEvO4BmNB7eHt0q/weVTXWIvWypEy3E7NW2
0qIQP6ZRZT5WZSU2LQpU76I69T68HeX1oC6irCFOAAegKBmJ+dgac7r15CiPgvb3facCyB+pOV85
lNYT5u9RwVDhorpo2y6j/qWXZ5lNUVh2az7WeZlnvmPJDwq3vt3kOtFB1Ll3Q7J07ZKzymr/fpTI
HVEuAJ33ihszZRZd5240HxNNxeMhgeNvd6CmjTRxroxvnd68xKJ7TS0fEBe0vtUibIRjlp4xmI8q
3nvBqJdpUKSoRtiI6pG2T+M2NW2klno3A5ruDPtMDMr7t1/q+nD4+0vAwl6ab6zQtSknbgRJac82
T1lWfVBqdh3gIYb+vSGmDUrK0c5Om3SXoyXyQSClG+ix2ryr4ZIGb3+T3zz5F0MIdiON0uvaEipr
3cWYILUeYzsqt1ZfJye9hf0+C3FNGOY3M4sGzXLN48pHeXf5/JeZBQK+0mZUXx/7KY2OJS7lf+lF
lG7KAaZ/aE5eYEOT/eM9ASojhf3lDgOUaV0Cs6O8Bog2WI+6NtzF8Ox9w1MApeQyA6XljPU18vXq
fFneLHVFvChhui9E+9WugPebkWZ6bz/iQgeu1Eu7ozf2KG6LzjzPIboRmRDADEbUBd5+lSs1DXcJ
DXx5WT9c1xb7m8sHHA5dg2a6Zj1WE1zf3K5RjjdRcw+RY99NoTpsRBYlW8vB8oiueb8b4kIGDua+
KFQn+VafdR2SETZQdBOQ6Ckr9dBGzTVI++U8YMZz6FOVBBkIq2fR+7r8mlqaxTGnpP2Dkrjq3VAO
zfWbMFGb2tuEhgEMWJZdKj8VvYisP3MNeAlO2IU4TNYN4Ht1JMWDQf0Vi8ofY+Ukuww7iBPPNN5k
4Niv3J6XN/0/l+e/QwFMRdEBp8IFSH85TjOdptw1RvdHl5hekKhA6Qc9nzDCFdpDnyrFgXafVvku
zmR+iqPqH52+1EtfULEQADkJsVZdL20r18aeAnj6U4yGcA+DYVfm98rVQ7Qf6lgbQl9BZWG+NguX
WfbrsNnMyDdZcy9QLMB6l8PWk7qcOrPWf85toUBd82I726KHZddHJ28q2dLjt9T+vQEZ0X0AHKqm
d1NbxK1v6iFAeLQ4wm0XcsE+vr0+Lk9SvhGcPRq3SzXcfnE0uvxizeB4MldS9Wfa0tHxTUA32651
E3NjtUX9WU1I2P9od6XIjQgA1FJuWQsa+5UUgKsgIigdK/4LuiuCaNM4fMTjb/S1ooh/vD269ap6
CbWkCiSWywm6euxx17Pg6in5C6W/xLhNPWbZBvaTm3/Q9NR5wCYSYz/WmmNdeeOvIi9p5UL9BHQH
MmrtZQQis+vDWU8xpMSZJAAU6x6r2rGLQFaQyBoULja23nTqnz5cbs1oBgJ+wFVxIZFfvk8Z4kxV
eDF+qIpDT16JOiuoojyCCiqi/dtP93JX50Wi+bOckFRgaA5yf72MpbCRMcy6ifzUssODKAtAALkY
/KnSkvthdsz7xkyl36IfeCWDvzyhCQ36lpNkmbmLcMi6/9/MkoIYNSos0E13uou8KdwWXGLu9Zpe
4dvDfBVrQe5jGExWsrAd10CuNlF6sCBlyDD7MP0622OoBOWCGinm1muvnM2vo9k0plghC2FYZ31c
PtRMSymtz9kQ08yle+Pbdlb4bZp7nj9wcF2J9uoVchWiNQAUjv0JusCyPfySfqizGc2Rntuxr0am
OhAN5VIf48fQpEGSW9mC84Ww4FmTOBuT6X5++9muj4PlNkTCt/ShFkbtuiWD5HiRG9IIY78TtGHu
HKMwyj3odOnsxOhhMdaIKJ22mtq4P2IXxwFfNmxqV1brehfkwg1RAuAXPUgaQ+vpFOMyNjve4MR+
7xjJvtfz7qYT0Lns2ilxRpqviUq82h6YvmCxWTzsg1TPVycuHidO4xYSBsNopMWXqagesRU2PopS
1YOZgtepbHC2ffthv3rZBAUVS9llKa/R7r182brso5GSFkHLoWsfZRGP28hI+62Z5+GRAnL/LrKN
YWORBx3eDv0ybX85ABe5BOpbSzoNDZRC/WpayzDhDBKGGvsmKX37Xq2Hdtw0YzGVAX82Pxh2PIrD
mI/6F7srkndGoffls51r8rZFFXLwLZFNHy21TDR/dIqpuk3S0vwMUN86a047PjR9DKU8iaxB2bdw
TMev7IPDbadCSA66DkLZg4NURf/3hvvv38f/iH6Kh7/H0P73f/Ln7wIX6ySKu9Uf//u++lm+75qf
P7vzc/Wfy4/+3796+YP/fU6+N6IVf3Xrv3XxQ/z+f8XfPHfPF3/Yll3STe/6n6g8UFPOu5cAfNPl
b/6/fvhvP19+y4ep+vlf//gu+rJbfluUiPIf//ro+OO//sHO9O+//vZ/fXT3XPBT/2v+2Xx7TtLn
9Y/8fG47flb953K1WIyheN+ow5MQDT+XT0zzn3AnKP8xE1DGeSkBloJ6Jh9p/+RqTeuQ/iyiEDBI
/vFvreiXjwz3n7T8QEgsoAzwbK75j//z1S5e0f+8sn8r++JBJGXX8ouZ6P8zGReK9Uv/AlFO6BNQ
slbJ9hxDupr6WN06M5YiSh0uNu7UuX55IP+K+muU1dXjJczSkoGLBWmM/WV1FmM0r2nwvrRtBkr8
ODlmtbXLLvK50Q1Pk2H+GPQBpFKjF9uqLacHm8LJYcy07Nke8+5sz5KLYFcm9kFa2eLm0kmfFva1
lPxyW3j5mtw++R70pznH1234BK2MVs9KfWsZZrvHZats/WL2opu+G39GcR6eE1fKTUf57srps8Jp
/is0CGnKNQshat0cL1NtSCY307cY/eaPQ952Tx11z21i9A0aQg64JtGFz0UYpT6tlQ7pzbh9MvsU
TwW72Wq5nK7skb+ZGiismEw1vtQig3K5R9LlQeKS++J2anRQmaOiZhQ9i+L723Pjd2HYgF8E/UjW
1veButW6wmy7cSviojmmII4CyxquGbT9NgrrhcIfxzzCqJeDEXZV1qZbj9skn70Ao2Nl56rht7eH
cnmUvbxDsC3cWCEmgLddE3bCOhtcL0smeKqIL8LWmtDOK8WjTu0Wgd4QoVSAcdu3g17mDQRlB+GY
XrjfpKCkupcj07GzLTsZ6tshH75WWBU8zK4e+6lXRl91UUIFnzLcEwujCjwprE9vR3/1XJfo5AqA
xRfI67rfPM9KPCIyq29tuHsWRrMPdij7x7eDsB2utynuRkuay5m95GhrCfCo0gZWY5tua6FMG1yW
hnNqR4AxZyOf/SmK0i+hN2VbUy+bczMY0X7WC5M9Zs43ed/+9ECFfq3UKcuCWo3wF1qKPl+jXrMO
eWgNN3E25KfeTVKu/JlEYYUROeE81n7mTqhraVQF/HDu7S9hLQfUozO1xZa1tThmU5lspWVTSMET
XNq+RJvqY99MybZBfeCmbaz83WjUQ5DGjf0Fl/F5n6aeQ0krT/9yalP5APhn2sl+kJuJ1zwFGZvy
Nq1tCebMKc95k9qBAbVhZyGa5ht1/nOK2uonTIczSpThqU8RiNgOaii2XAXCu2IUbeaDCXZu1CH3
TkZN8uB30ph/zKDYThAyqlMcDunHlvVf+4iyTS13Izvx8SwZCx9DMu1Lb6cDx2z5JB0KjAJ6JH+H
TPw2LZDwj+2uJ0WM5A4jsxYfXqzpd1HbVht3Lrudl0/yCeLgBAy68DbKnJt3KlSoZpO3cn6OtEnx
0U1vF6oz5JCgMpMZZEAvHoH0ys+tkVOhqpMKjw/IapvEHg+u3Ud+ISg651NVH/U2NQ5YWKdHx1Sy
fSMsQAcgn9PATsbPsWjk1jYaE33sMTpUbOI+p7R2bBQBnye1oX8Nrjz2Zl9RwcU6BIsCDxtsD1tK
WxW+1obNntseoiOGtxG20j0gcoYJIZqq204V8iDMTN3ow+CHMnw/9cpj1HfTsVbVXQYowq+xCJ6T
trztkZ8zZRoHoVqovh1W5qFRpB6EZGC3FLWTIKanus1y69BNGS2fVAm3Si3ar07fHQwb3z3QL1ss
Y/2i7G9jrktBPyRPOOhs2ky96RP9W19onR+Z1kOStY+pnc7bGbuzI9Zk3oNNen0UiqkfS5HfxCK7
08rU2nIHkAdQHV/hxIpUfO+M/LZV+k9l1DXUAbpTqJafLdpCRzfi4eU2mgpaYcmNHnmDP8QoYFrk
84mfQdv1o8bqt0mzwADGdtxqQLisufJFN6a+MPX3gvLAQaHGe/B6Dw97k/KijetcOHWYKFuhb0LO
Q2TUuFfd9C6ZB32DlUCxpV6a4hC0+D3qTdremaGm+63mHSnMGJu+1OfHVhn1Y1zL8CFssm/oE4CC
n3p51uNYbsssGpFL7xUfJah8I0tnmxTFdEZYNPfTCH6jVbXygFPozVQPh9ocv7SqKhBAKD/Dfox8
MVr36Vy+U2APfPSEkA860olfZF/Px1TN7+uy8x7KwprQNqlL1FMa1E8a+cMCjjzhxe3rVvVgR+O+
zJIfYT+HPpqHzSbGbmkjFasJujn6KHTzVlhjfhNmPDRP+yqTStJfn57zDO8KpXS/zW510FpNSp/E
xXN9PdG79904qD4SvM1WIqi5UUyz+A44a58bzk1UV2qAhyQK83P1pCTjD4Rdoq0Y4nkDCO8Ay2W+
a0flOz5IYZCXHhBbIzWm+4n8z6+GyQiYVak/qUytDsjjbrTbb5gWsgjteA868itOZfdCNE9uEtdn
GywdMgYta3XZDyfrqFsQbjyaYBDP0SKs8dHMtBBQkq1szXF6p9Ha1OrZ2glFzwOJ+gTLKX8YVeEG
empYbA1V4MYee3nr7NumOw11+i1Np1Pv9MbJiuAo+cX0LGsFRr+JhEDFK8bI66mJ0dfP2ulL7zl3
fV+U23rwko3aWOHWNErzmw09ke8BtzZR449lm34GHXjtZgsi7tWxtYjZkvkunGFcRVdpbw4LNKsT
p9p6ijJPtGtwgNzpVrIsCiv00Owzxhwhw9hq6ruoz0L7gKad3WOCJ6GlVllRzxsp9DrcjV0XP7pl
Uprsm/Y8BXkhxLeh7b3nELEg/FNatdwOshs+9CBJ/4pM9KcDTVEUivQ5Vq1BDS7n65R48TcMA9Qo
aFFDJ9cqcZXbRb21qDh2xTPAe6XfjqVtfS8RiX1IEHaO/KFQNMwBHLf4y8mV7Lk3K5uCk3A7Aqdz
VW9UNRVoxUcO/CqZjMU3pp9+3ylq84DbAaZ7Ov10a4cARfIgRC9g+9IN9WWo4rutFWjfnZJWDhZA
iLhqfdeFwwFXNszuInN0H9Wqm9GJaHVZHUdKpM8xUva+AcF9fh76fIw4i6xkfher2OBs1bqpkAGn
OetuPHOoHajwQ7PgGGCw+JBDIE1AnhPfw8KpYStIRVc2Q4MZuG+GXXHvmincilwU1kdqv3njIxyO
zbYZGhw0lmx5mAqKEn6U696tksUtxSl9HBsfAhmi9G2oovtQd4OLsrCnykfDFg7e0nljAmbXHWTJ
uY5hYFiocVhsAL0U50RPkTRW7Ab3vw4+T3fCng/728YY7DEo1CRNd1VVAv8YyjR7oqqqQzHqpZdt
IL8s0AidfrofRoWe7mjzYKnpOWC7dyg7hQfUwSwtyHKto7WFdRhaI2Y4Vcew1/LPdm2nP9Ro0j26
7hFblu2E0Q/LKWWMZ1JUW8EgJwETTrGSn5TC2O5B6ZcbvRpz2hN5XpI3xFC29zomMeO2UYeq4ESX
5uR3aVRgfACk+Gs/wXS7SQo4C9te5+i4s2elyG7BdLjh6Bdm2Wqn3JVlmQSlOjYhEPBUZBvZjhPC
15GeHFOpy/mT50pUqT0uq09KKxIjCGMqo1t6puYptWuz2Yy5ZoxBn4L3Dmjzmsa2K8b+Y1OqbNHC
Ccf3g0S+cxNzOlR+bQ3owjvMhXc1fdQcok1UgM7M4q4LKivLjGCeWm1bNbMeBboaqWNAWb9hg6c5
pflT4UYVMyxr3tsi6T6jyaS8s7V5/MyvjPoA6ezsOxJIzXM95eOzPtXWA9O+qQOpJFZ/mHRnFBs1
SuX9ZNSl7vdzMRSB1mP8yCZlOl+iGqSxj9Bok/lycCBJspEmapDie5PyMuzuJumHkdeVtcP3NrHY
7JSw7zgqjXjAitLSGuy9FWk9JpHT2H6uCHKrRFK33rGlO/bGqqL0SVFcOAfY04O2ncUssYsa0mel
lW24GYFlk7NpYzKxjlrlEzg7HgQF7lFuc62Wri+KuNN8JRKQJTSry+4dDZ7GGCk62mZk3bdl5lQG
59sQiqAeunj2C9drO0y/ovDceOpk7aqhMxcv+9b9OhglUi2sl7b2O7yA70WUDY0P+iiz9m1XeFlg
hn2SA3c0vM+z6uB6oNngkE9p3OPg2M92jA8K/DTdz3p1PJKouM+W2Ywf4UnpGKVoqLdzbiPAuGOr
sD4VU6rKnYQ6n+0ntB3YxPqu8PWOXrxftpPzI0dzajsqDSK4CFkrd8Okhk+zl+v2CV16uqcaL2zg
0Ffh7Yxm6s3+PEY994gEicbNxDwcDqXWeOjrzM3QbUEVTffjoLctnidZ+K52OnTSgMWDXJYla8Yv
pTMXwdTkjbpTkEmY6RUn6ECMwC99nIPNfNNpter6rZeY7w18r+Lt5BjtAx0+072TRqn2+4y2xJ20
RtMNgNwkqg+RSFV9tSQf9Y0sKSG/UvT44FmJ+SHHWyMJpKhdjHrdMasgI9TDvUfO9A3TowoVSztu
fqi4abzTCpliddN38klIy7g3zZCmDoi16Ju0pHmcLMF09XBbSDceyF/OiFRZqDMNVz76IVYY4rLq
iU+OcJyItbiIMozcwpqbWh3U1FfzePgWi0op/LhRTGvjVHq78ewyQrFIGb3HUsyGETR9r0SLy0dR
+a2t1Xd9vYgH2laLE1tc6+bRGTNvPGSAVTBOLS3ZBU09NV/w0Zr1wOnSGgORNq8+TnrSxVup5XlC
dZjwUD/oDZIc9Za1B4UXftfr0fyJuyYNHsNQ5EPnCuUnNrZ9zh2QVt8G4M+wd0XEoVlWhvVVLSLR
bWuMU58KNv3Mj9Vaim3TLFqkXWnYpGJD0X+r4yGRO3tya9O3MT+DgOJ48+A3epJ9lGXFf54Hjawx
n0L2rMGARruH3Zt9zLkwDBuXFRYfXauS907oJo9ZFxpaoFvCbgLsddssqLJeg9ir9SQSEanLfMxM
mT8bUTvuokFNmO2Ry0GElMbgF04Sf+wgTpNW/W/2zmNJcqNdz7eiOHsw4M0Wpnx73xtEz7AHCY+E
B65eD5o80sxIh3/8WikUWjCC5Ex3VaGAzC9fa+dFH7Fe1AXPg6GVRwxvox3mSFAaQu7cvgjWBhTJ
B2BZI7mI6VFPlcTxsbXU9xM3ATfRdo6BpHzU42m67+3BoNHILcvbqfcm5gs2UiLYYdI6f7I5MoUp
hX/fxEjGW1BDBA9h27Xdc97Z7o2RZSZfu0NVuO9WYkz91Js2bxhBOHd6mzudn89zb/qeVcMBFhTR
sGzOYvnWjMR/8NnW/KUfe84xs9OzgyvKaMIVjmMh9yQ3S/Fol4XJpJ+JN6XUbPqQMmU8l85QWOdJ
deV1DmZx384VPJuux9hC0XAMIigGs4h39HVZTdDPRS0DBMruA1uD2Qa5i8YvUMi69napPfUzrztQ
ZUwvVkzFb5N9zPPUFdQEFZ37wqEo7cLYndf1qYsNvTpaaZecnEmL3wh/pn6M1LlkDigBjZcI0LJ/
aDKLwLJhyHr7xXUHkzb1fK1I3XWzcfFJ0J5AIuBcuh1hIPGr1dP5dkaHN93hvc7dyGFgGPy47Ps6
1GU/ch8ztO2N0ZNKlFKU/GY4Y+rtFvQL3lUzdatCfhSaHr9UcIxwwHX0qw4BqRUmq5hTlvhOLXYG
/2NP9JhpENU6y4c2S2LOBOkkPgm5Y9ObyGr3/FqIlfhA5rchiJV2SCKvM4tPkcts9fVcJrZPgFN2
EknZNzcmZcCDn1fINMJ/hpx+854Aq23KOcekoIp0Nlip3xhdSMIZjiTpI9zj1aNuYizwUwoyFt9B
/bKrpak9NlapXWhyagKt6dtoKJtBBno18rgUXuceJXK8I8nKpCJaepVP/Gg5GVGeKsafWerOf73n
v/mPX8D9/0Gq/M6//Jesyi9MzD+yNP8X8i846n/6+jZ+5xcG5gEu6uNnvubr7/9Fv5j6H3yNwMqb
i2iTeIH5/0W/GNYfHMzQ+EHGIQD7Arj/pl8M54+t6hZPFfM67ORmbPlP+oXfhzaN8EnSpWmVA6/+
N+gX9DS/Eq6w6AQIO1+Ck02LS6TIr/gtTwpVir1CGZuhlAmCQ6Yd8CBbRnUjCm9HW91M4IfRelmg
Shb8oMhMS3kr7A5Arp1QB4Vqbiadb9BvNPu90XTF1nSOXXgdh36NzFaf2kAIo2mCNuG4f1YMHTFE
IbcBM8W2s4abX+UFpV1LM9pga0poaLmanBavYItGkaOkNDhMInvJ21ixQzmJYuLxVZvCaP1CGglI
yaDacxl6vdRkGi1aL6vv2ETQHvmu7K1ce9Y10cuV055jDg8pRiwzY5ZZHD2KE69iLKVc0Up/rHTf
MnN70ssjORg0ZmF9Hrp7LM/EK5eZsIxQtu0GVHp9Pls/DG0YXSbzfpjzq8GbW5XYDy3+luEr07ia
C4lFsz/MVdY/y6IcqqNdzVLf00e2pr6WgSmBzI+tKwNlIPPEZSlbsvckmZfHIrO7Gzlw6h4A4vQJ
MNGpNPG9U+znOjau+2QE8Z2tC0T5fmGkymbjc0gFYszJwbNWFQlruax9EmFVf+mxprhZfaXo5fTE
ftdiOO3ayxZ1Glk1g0HpKRf2uwvKoZKmwHE5W0vzjb75i1sY+3ytfbk6z6KmDbVazKBtTeWiNy1r
rZc+2D3vg/w8RuadMi6JTz2SUm8rJJm35gCUW7pvnCjjgFHOnC7uXHYRT06wSHYjEBB46Np5nGsC
fQ01v2lm2k098Ig+9fads3Ac4XYNAElFoFGqNmnTN+D6Kkrnbflj8B27ic7e4ahX5snlF/Z+nvX1
ESLe92pX31te/yLLvIwDgzr32B/rVMdYIphxhDdrXTAZ8tzZWWQpyxM1mFUwciOfvDgm9UXg/q3b
/CYvbO2urZbOOiTjpO+AoVVfJmvlizg/9INdbSdWPaQ9rhRBJyuxG/L+Fc9c4Crx+k7koUskrnno
pokdFGjzqJqxF9Wr7u1Bkz4yOfIIKe4thvdwleqjFc939OCJzHcZO6EfzjALpa/17YMp35O2P6zs
37u1SDl1smFzWadm9dGi069SAw89gsQqSdSoSc50PI2Z73EX+W7ZHFKrvU9NAmQdJ652Yztfp07O
Nset42drzQCvNgE3TigylJetqA+WvdzTh3FwGgofprWv9khanrRi2qmcCv3cWvMro48tHknjrCbz
HDRK/8jxJdlJOWaBt6yAZaN2sFTIVMu+mwuv/Vi9zL6fV8MSOx11iUIhkHchg+A8ptgpFWPKSFUX
1felpFNwqLIqKIxEmUEiYx4+zI475lj7xZqS8S7bgDzHAL/GU/3ojaO0/MWLt+XMrOlyclvTC7Ws
MV/wutfpzlOEwHozLUEzxkTu0HRqjwQrfKZ5xLkzA48f6tI4ZJPdf+YLiWd+PXJzZItxdBb12iCw
GpeooHFdZ8Nd9o1zzlNOYJSTmBxSR8Fj58IfaSlpaFEFjNxEjdHsFKdWmiN4KN1ek5ZNl05H2O3b
GSKn0J2Txa8yqtvMiczINI3ba8ut7AOgn90FiIqt5G6pubTz6IZCzI+cbxkGhhUioX9SZV0ErpY0
F045p6Q1XxenKpRvpQHM4Nuu37r1MdPQGqXuRg1ocWV877y+9knncq85ZXpXEH7XKX1+nB+9As67
Vm4pMDq1aXOdVp15Trg0Q1OYN8WY8ZdcZWC54wKrVGT5iprNQWIPWdAY2o8qA8OxCz6dMcrPdirj
HwRlvZMbEjHcjb5nIK9a1QYt8By/0OVyxRagHOe+XJ8Y0HIq1j0JBGNc1yhL84A1qDaCrinzj5os
tJukwqCmWWUatmZ1oNH0lqPR9ZJv+VF17va70VG0nTJofagPQLx93rp+k1oJGNmG3Vpt2OTTGTgR
xzQBTTwv/JE9qy+alCTyelTd32nAUWeseIUf84NDk9UPHJjhnFT+ozvklgXkrAzh4JKiO3Xq3jAb
6xoMuj82MQ492xbudKAysvXtSfkxW4AwlMqFa8duktRdGaSL8xAb4s2Kp1fHqp3L4j33lTzUrtzN
mxuIbfeysh4t2XocWBxfy4zyEccbjlV7sdbj7NU+Z4ibXC59AN4oA8NqwErlc9KqlLXERNFqDASR
0Jsz/huAqvT7vCQDfe+JdTWDV90bs5n8aYyfRVNEMMBcQaXr8tuUh3/JizuvRwSkzfs+Bj5zAALV
Rt6kq9n5RWmr71Yn7xevulDHeW+7H01vjZcEY83ctYd2jW8k5clqTc4v+TnU9OHa2JmaqL95yXCD
xu00Ce2q7LXTkhV3OYGByrybOQzL+KQlhOsY1W5uaxpUpyslHS5AYJtFQXlaFuvabpQb2fO0JVV7
xJb9iX2M/nUnZk3WLXGTpmaxY5S5uMqPRrsbOE06XbFjcngZPU4ScFfgEazFXpOTGZrme1JoizQk
xfd7wzpYN4+68c2dWL6E6bfZn0NTY1eqwYbKnTpPgdpexUCCswnPUCWPqSl4zDTfQ2KfKYDenRYo
Ij3Y/XWrPCBAfpHDEez1MLCPe8Bcyfrp2krQNkR8OEo4zHJXZBOy4wG48tp031fAC2pdA4cFarTp
rCVUyjGveGRvGUKB5Vs/bd2DJHVuGiaWeajANAvzrtkn6Xjq9PkAXLO3ne8FDV+wWLeirKNc0t+h
cw70GoaPN0u5lIa5BuA6GvPCEK6jd1USduMxgRVOaJcaR4yIoLRWZf+EhrsdRsH1SkjVaDKSpO2o
pb/PomnUVeTFK5oZbHiCPqrxQt+tXR2Ywjzh6d4JneFk9m4aN4YTKA+DfSs7kVk8DhpARaZfVTX6
DxgU7hVVb+4yL2dQYbB2g8lqp8DO3DZEd2Ec1Lg8UhNBu5w/j8ZeFF2owXhQvPu9qZPxBFKfh8Cv
e2JJbsAre056tP7xZTf1yU7W7m6VhGZZ5lSdatDmQ7KUc+TiRJBdd1VnPc9+1b92i2kcM0LfU6Dq
lZoUm6q3O31K78v2xhFZfRhLjdBNud7obnfW2vGs9yDpoOS6U6ujn5cOS2Sd31tG2TzPhjceKI53
g9wZGy/IZBnW5g90E7eeNx8TfsSf2K+msnwAMqHcwwK1HasF5nbRdiVQFdil7U/NcnFV8SAJOwwt
yqJ4/tha9nWfGVtaXxPxT2Dl1atZTeI0TR13t0lyj9/aaA4ydaaDVxcfQrePjpO9YOFndpyMh3gR
kWACM2QKzNwdTat41Hnlqk2hJmx1n+nus4lrw1t64a/6tdmDZG93vFGEzWDs0soJBomyHlhvqpeL
lgK1+gkXxs/r7CgcBZxtDMrGPaQc8Xcr594xk9y8ZuCRDgejfihsNRQFPsh5GKKprKAwy12jqK/E
K4T5rIXwCQ/0gV5n8zIhuTaeOrV92X7Kbotndc4fCER796z8yhn7ewCDH70yPk0eJFBbDeC08Rj0
Mjf9nknpZp2qh2aJd7LIdjAGV2qhnRSjPDmpFiwCXhZ31oNmdk+zWoVG/Q3gbp84JpcjK89qgU6s
tN+1bn7zhunNbSktHrBwrZXhpzNDCHkRVdo8zXV8TU/kASeJvYPdh/dsKytKetV4mhxrDYhpjSPU
Xgs/ixXIUoFrRjUNLERaRz01I0esgaoMAhEFftWwxJHC0OZCfic7TgxpIOd5D9TwTod8exYgH4fW
SS9yQiSEQmToZQTxfpfEJ5pP3uBBzjn3ST8nURkLmj4x0Vcp6hrC1HZZ7Z6SqqRguUGNApZpAact
oFOray++xTx8wJLzgdAwnOHla7EwwdQ3WUzESmyHovshevNEVUKoSO8Dou7Rix06M8e9XVMZVBYw
rvb8zcrPsQIXZDat8DmyhZXwbuxsnMPSK3HgrOfMU/1ktayTMuWEbM2g9KbVHNAosQIZQbIeRJ+j
ADCsVyDcPbgx+Fi5cxBQn0Q97RyH3i4nPWqdeb2K6hK3FQhyFrDCRLKr34vcjhp2deDfiKNM6Ixk
PlrFpYmtk1hvarXxHfSuphoZ/Y+kVqIBgj5dxiBtwODq9uQkfThzjczqRi0HZBNgWRyl/HhiokrU
u1W3D5aF/IGdLU9c5Dx9qJbZe120V4qtPHf9jVPND9ISV10ifC35mJxED+fF2yW2fZWLMUSo9kw1
gqSqhZ1jzZX8sVlc9obZTTgnNjcEfsDvpsoP25gjKuGAr3Dwxl2ynG1ttoCIxLKo/rjI4nueeOZw
odmMEU/NaxHv47ZbiN003OyFICyHRdCczSYY1jr+XogUrjpxh3m9V+ZRhaTSEjveW0aX65w9tOlH
ZrHh+rCj2SklFpvBUUvtD9G05bundvQTGUVf/hAN9i/yUeL0UpaGtzyY2D8MqJplkVdUKGZHo0cH
DPe2EN03epbsWPaVDMCvzLUbznkJHJildURuo7WpA0as9gOmJ2PEE5xXycJIIGLyOO4Uv0ai6Pka
Yi34Eb0U74XLSL/rzFY9GdYy2oE6AD34kClYf92sU9SglANpzRwknEit43nn2K1aBblF20ykC+3a
tuf6xVgXg0BZob4bWyUUsgWVA0mhr1qBanFZ2kjOVSRaJuTQEGaf8vZBxP10KOqcv6HMld+UbRxV
il0154qry2g1ggyGCvF3T0m30kjPmp9cW+lIeflgaMx/k7W0r2Y52E1QtkUsQt0YOnuXj3R2ri6Z
pGEsacHhjU2PiTI0l0lXDJxcnN8fSriOEf6tyh+zuckfc3z+T6sXTz8US5uacFVbMsY0gWgkIEGL
Lqmi244V06yyt1qFlVU7aRZMb3ptroztZhKvoZSOFEEyWuUQ4qViGjGJRaZFrG/t+7horEc3Q0kb
lcuYFb7WWCQiZZ1XwjfNjmUTw1VNLU/dWuaRsVazG1p2agFbYseD2EEJEMbD4Ny4sphHH1fzcGas
dJHpa85QB/nMThlgQqHgrE8mtHFJqmUPWm95JvMAIVuM+zX8VeeOyUeal3CIbbEk+8KBkXqYJivd
lj1TfZvmVbMCKKoWsZ+yfq/Rj3AD5mVqwUCqlRIs06K1/wf69f838VPA63/Qr7flZ/Urfsrf/xs9
tf/gu4UR46puftUtpeJv8brxB0HLRFPyBHBY4Y/+47/9T/H65hlG543PlARyB/D2P9FT9w9EF9i4
sT0A9RNO+++gp2CuvwpsVDSv4LNbNooLJIvE/lfwtLW7fsHdlUVuW6XIDxsRosQZo2YV3Py0NwaW
NNCZAzY+GVPp7nXGAuT4YZbmV4Iybbif53LNjsnSvBiLfWLRPjt4rHM6d/rWIDdTHqYpNdFyzeZu
NmO/ZQt+zpVOnPOsOeYdgcUlk7HRtnaoeWnxbpRej9ax2znFehfbTRzqlYEXP9eu1Dn5wE6NvryF
YsN/6QsLfRs5g9+SuG58E+48UKQOkSnKB+mOhzTjoLgO3TNdeklgNtN0lFam34pW47C3rvd9b+0T
1PFXqVm593ZWDndTtm5QcV9E89hp9MtIGHY04l2s1DdD/dDFBKfjnzJMRb3T8wTzscygfAYe6jlG
A9Ol5bHPs3qXxehNAGY9ZrnmhipMa+eV+TUjZX9YxqTZrbNRfOtGqu9sLTuOoF2+KIcu0Ko4D5g2
j1O2vEmU9oFmgFav5XwZGSn8Qet2mZaTopFO/X524wy2PhnOLYe+JnafOiIEJqcEPeyyJ6zQ7aE0
Ru1O7wY78sj78UeJBmNR7rv4reYA77czzOWYcSAgtjZUEWL2q/PSKN2nsQGileLpOLcoBpRNFU7O
5JPosbcm47UqYSY1sb7HTpMEZUEE4Nw0rV9Zw4OeVix+VZfU/ly3T6DJrL1K4fmu06uvim30yETV
J89FtCiul34M7bx7rRpIQRs9gBZPh9ZOLnbfNYHJPucnkJB+RqJAv6gtJ4JU+is6pmd0Cd51h4CL
RJPmvdT66ZtZ64xzSvE0ts690nvMmVa23pYZAQQ1rrhNhMdkMmcoZxT9oiOSCfHscR0dy+/X2Llg
HWt9Kl7qKKmUWy3OPiuv2OcLYTNNaZ+MGgGSi4LEl21+HasF4HYFHZsP3zL1uW6z59bdCu+zYfwm
cEn5cZoz/LeT7Ztyim90+Dt0SaWyI4ypOzizGJ9HRMonfKBLJLkld8T53DeTqwTSJYnbqEoRZrCi
gVRzKxjsKf5MC+4YypOfMCgbUZq1xrWBpJnDtYfhoYBpcKtVPyRTK6IGxdI9tSSM2moJWY00UgsI
rjd9HdXv2ZOz/A4jm19hiIzMNTX8AaxzjI/YXr2rorNTHtLiacX6xp6qBUVv7gWT4t06D80ru90c
FKZaPDljLnxRa9ycWpYFmLS5UTD+VUZSooEa7jeigMSzpCJ8XZZ3lr588+iLunLNujwhf61CVctS
Zr5eMjYUPbpIFHuF7S/DVIRq5cir1JKLX8Z69zSAUAR0XokTXsjqhaQL77b4Yu0royWmRMHklSbI
hmqnUg9FY2R1QFpkcTXX43qnqnoWplqfDgFUfvakKbF2k1fSGcPySyFQroM+R7G15PdjN+ZPOVf9
ADNR3Ttf8gLS29AU5J5k1k8niq8QzTrSVxv6/8ZVt6BfGRxNoW8ij07Jr6SZOWHrrXI3NLC0fo6k
lqZL6IeQSrZS5/FsjY80cZOX1oEd2mmLWUcdXSaRtmToWLD3H3Ql59Y3oR+OnT2DPVa16kXa3Alc
/Xyi1XU0f1RV5ULj5GIDCHH90yy1rjJXTrczKrDvneHMNKLNw3G10v5bJmukyFUfT7tlqLyjVvMk
D4rMv5mDowW9067X2sxJzbcTbP1+s9pIjoxS7FZr8BYUfvb4TNBGcumslsuZrDFQhbk6vlGu5k5r
ao23Oa1raBitdm4H5Ikjn/eoSjHfGesMdi7V9hxPmvZJFDeyzlUgZxwsMR8cIzE/Cj1GhPKlR7F5
TmAP7NFlSfe+G0Ze7NtNtNLW07BPYw+FFoXKu8oqvKNlITlql6a40i3FfU1iUURK1U/kU1UgpNgY
oSQ49taBzkD4gXmSkwNhTeM7aLl7o+tJf5C51t2hVpx2whqLfcw6R+cInaxejuCJBOHiSeW3c5CC
u7EtMtnXJo93OZsrgscvSc6iIbFYyt76BOMdLlUTAzTGHp9TCidGo+Csjwq6iQD/BPJkNJDB3LTA
Y1BvYzwalx5J5xVq56Hx2dTR8kNcoA8qCVPxkDDjDh+6vSX6dQ8AwjTppRYwXgowjpJVhMh79Kiu
1+5S5wjHFBNUjGpX7ktXIPzMnQzMDPzBzybuulJM0tcKF9nLTDrfPGRm2DWKFk25pr1aQpTfFiXN
HjlhLSdj0PUzCA6/H7Fo7uPDb3aDbTVHwRGHJYAU3INUrWbXNU1xqySDu0MdN11bcnpiRO4PJIFi
LnegXBbbLO8YjJywz6ZpPztmH9Yli17RjAQrDMjO41xzQoEp/ICdFklL6SoHV2wxw3ltvC9rzd2X
8IApRu/uDCV+kW6y/MAsWl60eLUPylyOTxa4j9913W42pkir+7dYYeduFk+EZbGLx2o+DhO53476
yFIW5WbTRIZq1aEzib3hsc/ixhdBz/dn9nQKw4iETePUgVdCYJnESful1AtfaQkHQT26F6P9mozG
7Nf2GF/xVjmSD0BxdRibM9DTsFk0Gr34HLs1v6d5PHvu5wV2AgXLawxQ2jiQBOViK3uiEo0rWtJU
/GRm+uJyNrhfAPd8rLNWVNuTF5ipAG6BfjsxONybSP1yWEsjtSih5TCnOcqIyMq5KU2xK1s3wKqj
hvmUQjUIe1fYyr3Nic6fpXkvFPNtUZX+lRKuN+qStYuFs+SAk+/QDAcj1kPX6nZmnwzHgkKNhqD+
oFqmYteXi++iRj6OMvmhAAoKxCmBrDhRkfxo+JWI+7DsqsA2s4PZj7isbPT4tSllYEsrjdxSPuIW
aw6O4jA55HGU4/GdgNl8uchPl+e0n+T9XD4MznRAJ/DmpRxUDeNaHTHszBRUOMjGS2ntB+/PuV7u
25bIPZBY6EFW+nBUOdy1BNe4zfXApDWkbokPaLzt2D7zbCx2CYI7NtR9L+3INUAi7EF3whRtw5nm
s12uLgPPqveErBDUwll+UNsD9mcXkPujOYeUpWGWUrIUQNN5I61+7452VDE6nxAahrSs/JAgIyC2
D4QWo1ty9EZeE8ewa6z5x2wvT4NqrSH275WBCK1tkuzREXcXm3b4MB2hy6qxG0gxtGFkJPyrlUKO
ddagvKoU2u/NBIfN0GHoIo+4XmBqPIhnM8nXg6Ku1r2bOuemG6agM+O7WgdTQAGhqvue47k/mOMd
duv6JoG2O7H0oqbkCOqni3mWLereUrCA8xgozhRSIK3VkSaLx1WpEWHHxJwvOkbTemPQepFcCgd+
Glno3lPTH/2co3DSR/uIBwkYpIDScqYK3mGG3/WJb3pJPKgeVEbDVYN2jQ2Bw4dhu2dPydxD7yXO
2RrLqtpou/plahUOzHM5HdFDY0Yzx/Uw4XM41i2lOW3LoZd7N35SY60OxsJzbgYhetrM8/rU6osI
cW4BzKSj4jeSslCrqU26dmATZS1uHLVWDzaV3beap4xXBlknn0gm5X0MlPJqsp3t9F5dz4j9V5xS
tlteamUj7Ss0ELFbSJoHxgRVN6qMwMnbNWhsZ4QLik2m5zm9NqfRPXVLbgZmywTaaQtGLdvJxk+4
zGGfDZjuYrnewovg80DJpl3XXo/crGmyE1p87QwOhS5BEiLaT6r+MuhrjqjCzm4rBqsQ3L+/bhoL
cJSMFthCbHlOnTm+bhTKK0uA+z7kuXWeF8Z4D4HJ2e25PBOgTLAs+QdOizywS6U6mA7p04mcct/q
/yyTCmNZPARDoz27TbXPRBo5SEPW9KUme8Bdf8Q4UrcqTF1NJ79vpOYPehM5wxZNGVM5k1zFOktv
DvmU1fHeJSEhV9xHCug/GbEJmdaEBl45vSG5T3dt1t+I/HbR1oNmMz+N9bIv5WY0NhYksm2cjXtE
PVUQuysiBQ/zQdfiOxsnBNA2egZfWxF49JIpceyNKPHWIrLbZDpsRrdXmgyxyZT0ctAdgIVutm7b
NIUZMlGuqapgAhe18jjGRYbO37WTP9U0b6Kh61cyjsaaqE07bzi2lE5kqZ17ywZWosQd+lAgpAoJ
kdpaWQEMDlW7kCAzzzBILImfVMWwF7dwKeHaqsgJjDnhU5j69JKNdvxBD3oCymzU5mm1atfmVEKq
/TQ3iI9skVwbVgkFP1W8T62FxV2TWtylo+dF1SrMIsj7Nb1GdaH7hAoah6LQhyMRw/at26v2SiCJ
gBA2QbPAmpbmGe45+0BvW61cYiU5ZLNAtsTxOEotJ5esMIYLP9IKw5eaUSLoc6sD0iZGh2YcjymZ
iJc2S9OD2cQ0m0CT9J/VBEiZlTI7ACg6cBNet2tKsuEbV+s/ydpOzjgf4lsDUsJf3GG4wAOL9gQg
V+ztzaqobabFfLMvysl+NUZ976rpjHLL6JzQmrBT4A5zI5oTp9extms0svW6KWuwSBpfdslJw8uW
bx7K9ctOidDVuBabx9IycFtaZj6+dCwMO6XFi0lOVryLvwyalGaMKE7Rdio9s2LRpO6lZrziVD5t
c5ooXgbbG7cHUntT3E1dBSuC1TXezKHtX0bRzTNasqOdls1HSs60+qcTYxPz1X7wTvrmOC1XC/Mp
YlsK7jZHKjZ9c4mwsManci6u7MVpPnUsrNALdL62dN/m/CGANE7XdPO8kr6URfOXEXalFy9MN3ds
pbfQFZtjNt28s6qTrHsazKw3TDqs/Upf3FWUQpx1tYNV2Ry42ZcZd/gy5orNo+t82XXjzbnrfZl4
vc3PW2qbtdfFVHNHcTmGXw/rL+gQhFw5uWBKmzM43zzC5OxZBxJacFl/WYjrLzsxF6p/h8n/pDtZ
v5Wb9ZjEYnnlbXbkeTMmZ18e5QqHKzcCxmXCzxaYuuVDT9a30Ypvk3RmbVTqcw9fupTD32VL/18X
+h9bQup/DWz6H1VSfPz52YlftKH8zF/gpqf/QYSGDWe9Vaerxmbf+wvcdN0/1C27kxoSdHa6veXD
/A1u6iCiOsmQnqVRYaDbmzD4b3BTV/8gywPHn2uBi5Lo8e9gm7/JQtGVQpjzypQXA2va23v7OY6o
TPQFf6yXHtZs0/rNS7ZPBKnycJjFPjFyc/fTpfnfRHRseuafgkBMUu8Y/02aeB1yYF3vt9er0Ht2
WK+Sw4LaPDCxPz+aqKaOyzpmV4srVPbiIvb/+UW31IXfXxRgGaUtrd+E7vHV/Pwh9c6dhrE2k0Mv
UTx0RS7Y520DsUuR/4vP91tMwvb5AIq3UF3y8fnSt+iPn+KdqL9c1sbW08MylDSbrqaCgAVeIlbz
fNdSve6nvdPtv/5NuOr09M+f9LeXJ0xbczlB4zCnt/J/BaotDM9TYbntIe8ZBKcC4quvV+VWx0WB
QKRuV595xbxGFi6/YTXu9v/8+l9pgj9dat4ACb+WZm795ljGvhIWfvr8+cRKA7smD/Gwfcn5rD8N
dBO8Q1dxsFlwXLNmC/Pc6DIkFHPYy7KycEzOOrjZ2Hfag2MP897Vhul1Wowi+Uu8/kt20M8RMb/d
71/vTyeMZos8N/AJ/BZEk9YWaT+FKg/SFfi/ymoMO2u2D24xzlG/IZj/4oJsuVK/XRDXIvWQukEX
NuL3Vmil7V0GqE0EtfKy0EqDrvl8MtuN2LY4NtYyu8/aPCSNgUQ1V+9jXGTOcpnrPO//RYjHV1f3
z++GFh6VYFwWHLLVNMrqfr09WfTrdnO7HvCmmPBkbbKpyBy9O0ldc5gQWpFdEKfUr+nQ/GkT9rPv
JnuNumJBHDjErrgnYER9BzZuU6If2gTkg1jg56QfmmO7CHyOCfYcRvZe44w0uTxwNevLpazkf6fs
zHbrRrYt+0UE2Devm7tv1Eu29EJYlsVgH2QE26+vsfMChWuVYaNeEucgkd5mF7FirTnHNA4Vqjga
wHSIaB00ySUgYPjt7zf8vzC2r5eIds3iKV+/w69foNTaAlKUVRSqY2itlrpVzlprOT2XnV/ETSCn
lwY5CCrp3opuzFIWlFhVSgwkMB62YH1oqkS9D5Zn3C0Yax5LrzcBtM8+w4i8fMwLS74Crqbjq/r8
w7FKHZNiZP/oFwOCwUTPzIxbe3BeXHrt1NX1oi5jNQwbYiPKx79f7pfJVHh9oCinmXv45GdCUvv9
gRrDmHCsE+V+ubrUfdIwYjV7/4oI+/rV8CsW819oYohNry6H338lBIbUT7z2e45k6XeDvthV5XgY
usX7FRaoVf5+UV/W6+tFYeQhT5CFjDa5/YXVFoB6EUvHzzlVk15gzSAgw2gbOdPwj+Xgy3b0P7/E
xuew1/JVXA0Y/3u5ruAup45S5R7jWHopOYY+575ZPi5Gq469k5WPlSWyh79f3tdF+np5V24PbGsS
Dkz7y92EXxWZpa6rvaYb9E7/LuR8ymienqLXWA45jr7zMkeTfC30tdHQeca/Huif7jAjU+oSDEhX
Mujv122M1yOzeT2BNagPMw+RWqz6Gs+tTcPkH2G5f3h7eJJQnBidAo34SpkenByZMvrcvTSC8tHN
RlbabAx2DdXGSpRa//z7/f1qqro+VYcyC/4SU2Bu8JePogGnl7VR1ezNtl0W1AmBpzciaPD7uSjN
q3gxiuXOChitCCNHgZ00YXZm/EeTZBBZmB8a5iOXOsnUe+93/Xtly8FdiTFxtmPmG+fE1fL173/p
Pz4R0thg1vLyc7D9/YkwMC58xCxyzwDW42RPZZIEZX2KICw8/f2n/vTSc+a+lo4W1/HVClSHWata
LolyqEsulq2sS6+m8WjYbXh0naI+CWfw93//0T9cn8PjsAkQpcWNS+r361tGty3smr4Iul4XqU2d
XOZR+fvaS4x/ZGj+4fuCeXgN1wuQDQTu18cv0Dots2z2iR5Fva38PEfmuoSbwW3Vfa+t+WA7WjO0
J/PyPIZV+o8X/k/Xyq/DH45QKITRl3qTyMZgNGAG7SsXuTVx8ySCzTK67bMm+gfy7notX3Y7yL4Q
/yLO3ddd/ffbSoHuXxfLau+yZx2n2lFH5S/szaG5OC8pRJN8HTLNOBrtPx/pH+4zogsI3wE/zpv7
5ZVtw6JcvNHHWtKaAwr4JHsQLWgBxA4g7PJlZu3KRnsqV3MH4hFvLNXW39+qP73KQES9ACKuhx7/
y6NeFLniAz7kvStM+A+0dw+jTsxNk6n7KjUsb1Xa5b9quj88XlZMz6bCuMbaXXUn/3vTCOEOmq1i
8UxzN7pJgCzReINJgY+YkNjt36/wehO/PGCYdXZgUj76Aae0339MckIK4b0xGKJWu8mq7nlQ/6xS
//Aj8EJ5VwMkMzaMyN9/pGKY6i2VYEVIJzQSljSiHMACDZa/X8wf7pyNF46lGcMjeStf7lyJjRyX
KgjGyW/dlyJjsARaALzDUDi1/Me78YdPw2Yv5UwVRByjvx5FmHEWA87sbu9zxbtKRJm9jkwq2oW2
80kYrXGX9M2AVNnwsX3+3wbA3f88nv99yvjT/QTuG5Gwgi6JFeD3+2nk7FB6qrs9ElNj3Q3uu5Gz
6/39R/7w7oOVjXj5LVzy/88eHhlmG0xmUO1bw+M1XCgalnRSx1SP2VYVLfy4LEr/Vbz8YTPnWweg
yJWxVX09QC2uwNteJtXeYKz6QhvVuAvpZz2FTpPvc7/61xf+XxrNlw8AXDH0XJfdgxSFLx9A6vlW
VS5+s88dB8YLkJakXeUYST/5GIJnFoYIBkcU4XPEWnAX1SOEaJE1eBBSL28/pWuVj2NucwrAyxfs
0Es4EDJG8e65GbV/4enRiSkLmMWEbeRsHCBfRIzY6onCRX77+0P7wxcA3RPIx3XvJYrzy4Ll+KbS
bg35y5aAAFaSxPk1gZXGN4aVwz+ijP/wW9eFkY3B5llx9vz9LQzsUDL7KyhufSMF3jEu26UzaEte
exH/35flQYtlfWLkTOX+ZRuakYHVsz2X+/86HspEM2EmobF2E5Hv//5T/1nif38hXI52tBlY8UlP
Mb/cwipLjdGcEj6uKeVErQEo0y8gMgyVp/lWaxskgNt5zXKry5nNp59Dn6StonxUBn3/uOQ9u5vD
YTnrQFbP7jKh5OORIEppjOb9739b+7qkffnbsgZRaZs2WkTL//IQWhf76CxoiFTIKE5ydOSPErbV
WaqJrIExy9L33hTdk/balOmOBem86ezlPg1ECxHOTWNhmfq+w6scVwFnkabshzVYRHX0UQnfj2E9
7RgZMeBP/Oo0+ln/j0X7S1RNQDnNAZMdnoKGw+b/U85YcjEoWJlbIIqCitg3kYxzVyUIhE0O9iw/
N0Yt6GBozHBmar3PJZ61v99HSJ+/d1JoWlDPQR/1PCjtHo/+y6IaYuGWWWrhR9VMLuO8a1NxyyS0
s1AqSVRdRo8rZ8KZgmY+yAvGg0hssMhMIvu0i+YFN1mOkN6M9GM/GRkfAwJyFAYICuaOjHNT+CdX
l7dDjRZ9AVyk0CMYo/c+imyViOFE82bdqeGhFemPehbPfnB9vRy8O1W0y6K8XrVGAaMrqevYKU5m
DauEfBcz6tdZBHe4FRtX1LfS6s6pn++UnJ/NiXyC6M2ezLVRosQr8vt5HE4jOJZDA1UUcc9rB/cM
19rtTBODLNTaP4Q5ABMmAbRS5sPStS+hIVHo+LH0QqylGSSQDjO1GTu5vdG63eZpeRhU9atPjI1Z
dTtSyw9XcbsXDK+OVnGI6tOjeSFKbG6yiHVubAxmRquyMPbLCIXIq/bmqNKNi9xBRQPis1xjy3S9
tx7yHzqn6Mk1k3VR3+HWRa4FQaacCmQS6ibTVrqvF+M8e+LB7SJ4N2X9WqMNRy/D+pu8O0F7P2Mz
p9/9nZbGWtrmNvDOYGU+ssrgJqZP7TwchGvfyGDZWu1tmtqnIexeJ6J6lA8iNCnB14zFzsijzVxl
IOlC7P4JUqP51BlTgbUNp5z2jsRk7bL2YZQnZXrfB//DXVysbQEmObS93fzhNgaKRVrTsS/toy/N
X2H/udjOsSewhwV1zYx+h6lutYTeIQBx6dfqlEWw4WYnfJEWoJiIFu8ydhe7bAIOl8XRaq2HEpty
UGbtZmjSJ7v1t7zFMPlcxnJAXc02qVcmedBpMXBf5+G27PEE8DqXQf7cdxDVK7n2k+JQLdcka+sn
uJytZ+AItqbkJsDbsij/WRbqwxbdtMpBOZdG6u4CT6wcnO548F8N08bQM5mrbkZVVTU3DvLadZIY
O1feqO40Ij1kGhBH8ir1Mg60fWLheOdFOQgj2GZr/5Rq/+JMEVq6cYqR4x7bjmGpQ+E7RM8IVuMk
dx/DyfBWRllfItjskOcmNBBOjm0n26Bre3WL5iezCPCY4lRDqNRlhGDOrk7YdS5eA78mrcbNZJGM
wDL5nC/tozlW96R5/1wwNeIDQGqX/GIoGcvO2liab/tnZhUn1yvWcshfcvN7fRXz8Jlk+QQYcnjB
6L43IvWOTAWhttti+hCfKlSHBFeSYzQfYvDPdtKtq46bMIFxHLoNmB4XjHN46meQqP2wxwBzaIqu
i5kddCfYQdvS0TCY7eeoDtZT4z2V3uCshtrjYllBopY/w96RcMlvDA81u+KqQpSm5XhocH7YY7Wq
3fBg0pM1e/GwcANlW5zIq1sBCkYDnLfjehgG+erMQle7shHEEqqJtiNVMySYbZfISym8V7v2V0GZ
4zqfVnMtMftjDcZiHq7hwa2q1NkoX+LoVZhhE7w6kjkFY8hiVWjffyyDrIrbubmpOvk+wPN9CVW7
4US/bU1cXPVwRr3xgG0KUycQTphX1eCO+1ynkr9esKuRbKGLPNczFLFUswQZfXoLjQYWYeF+AHZ8
YhB64wn+wjLdL7jhgATwRhUNrmiU6HpaZVLcm8WH1eRxKKHzRsZe9RARtGb+HXzPWVaTyAPm2vxs
FgqABvXk2goWcskc4X3zlsA6zLabSJhYJ9l15S3ChHobtTqIi0phK3Iq0JxmqdRTOnSYWDwvtW/z
lAN0PKugXXC0XiWP7aibd0+UubFuEj9ba6Iq+PThNvVLHhyTqAieLaRYWJ+4vAXWwMZop31iW2oz
Xa2mQIWa8jErU+MjlIlDlZKXw69ALQ9LUX+aVmOv4SQsGzEhu52LqEfnkoJZg9z6AyahcfCAAax0
0QQ3pW3AdpgH+QTJ7QMrXXZxZARtU+GwIqzIcZ/5RJH9OqXwD3akhksbGku/K62rsoNl9jYVbYkY
Fm0nVMfEeGqbOfs+29D+0KcDuxfeZHx6tpIbUulZDE3g4vrsZWX0lLVOclujuKJ0cWvAz2EHh0tq
JPpaKm/ZGAuSx7yX6OITHJcX9LAs8H6fDD+i1inM7cA0Gonm+KZg3L7PCz++0l41v3aoLg8qb+GA
0pAqdj12+Cuywfc29ajyBxooJQ6HcniljK5+WpOeDsx3HBTnpXyJ0oEcea+H2l9HJMUUdiF5RqMg
QDR5VAEffFViaCItO3K3thvixMrxQtyqsQqgp4CiWC3z0mNajBQotTIrm60wAfVN6DDX9mLjkm3M
5s5oa3XOOMx9y0gCB+6aZMcQ1dbBcGpzW1dueJmjCswZ0Wrhq+8a3WFR17XH8NlPx+F7IH0kSpUh
jsBmP/JuIGJWT86+8h16M1746E7Nj0Dral9zKHjUQ9E9eXng7NVCP7K3yc1aNV013FS96Rao0h2x
UYh621XX2u90r9S9cJCazINbHJnq2IcU0iYabcvYLDQ1z2YiNn6VPxH7lq97nBBHRndQLXwDnXid
2wtCWcBdDbkKm0wli4ibYgJmmvtRJrYdir9tYrU++rE8TEFwMtkk/H3An6vNSSJlCEqaaeFsaugp
EVQgzjM7Sxvh+9RmBV0vF2lnjaaxmBLkq7WANL2EAEmXMj33cE/WQSCGC+QgnA5LVg7r9IrMRSo4
Q1QFOXhyXJsAoAxiozV44dsw5tTt6L2g3vXYQHjHrUNFEQgAa3CMF0hiKICT5VuHRGc3TZn1K0P7
9JmkXvpsmH7zvrT3CXA0jnwU0Tsr6tMtwOz8dloSeQ7qTMA0rnQWxDS/mtjzW/5/MKJORFW5C7NR
3hAQbr7LDsdyLWA/j9TIDyDEUsohw94M5VjD85uWo4t5fxV1HieiUVrUjjj+fiGwgqrJIG6tzElv
vdr+pkyHgalRt8ylu0kvSLGESdg5ii4B71ZyuxqYw9QkbfCcjEb/zS3o+KUQdIcNGOQal7Q0h/2k
7flnGEw1gpuJg20xmm2J2gatJUwjdh50287tDC4K7E/lTvd1Ei3fgHuDaSFkez0F/SDvMgdPyKpv
J+PdyudsV5q2QK4yVC9SsBtOZlHHbce7tkY/CHzQgYkdg3xzVIzZUO9EneWbhCJ773KuPXpRop4M
D/4w5EWSBniJbXnn1Y7AYicweGKVT9xtauqC3RwfJDLWsR2yLUfj6DxhCN6aPRrmLJXOkycjSiWe
c3Hg4dnttunlsEuLqvrw6Vs9DkwH3lX9OY0F02ZI9L8YUzmbAAVnQToNC+Q6Am11rxwW3ylIglig
xIzL0gweW6uKTlr34SpIfRz/3jiwmAunTX74g4putczr49gM7VFL1yD0wDP77/5YTRer0n7sDeLk
dWm5r6bcBFbhFFunY6Oeo2AEstBhcR/afgtUt98si8u1enYPRnYwtlbluwdQHtcdhOPk24ighBQB
JjWPGfTl4juZcRTLga33ljuSX9L3slq1ev7lGbK/GFOJyB1i/avHqWTHcDu/t2Gd7FQYyMfS9sZN
FRjiY3br5UWOeblp23qnbbu87wP3RXWC6tMYR3D11/pQ2JBCcKckVMF9ASmeiiEZXt3SdS996KXH
yul9tHPFKFcTqtCDNzsAZiTjvDw2FkefpNtlT3VVw3boMHScr9XCbTv7XXPstefZG/4DD8j7NPAQ
MDffL25+dc7gvKoMACkrYpOhBUBneLLHwNwmqTM9dY0R7hIRDpvQQ0+ACPiG8EB4fpiqGHrWmQ4f
l6DBIc98KzFWpU9wqQim6p5QE9nG0gbKsRu1RaNCBc4v0kzxz5eOMtc13CVouh5w20q01kpeE92S
OZIYIyhRuPvl2TWN/czk+Z1Q8eiAPD6nqe16GNtxfANbH7ryPMyL+hBJKwScSi8Fgu62knH4SKdu
nQaY8ibqIKjUZf1ZQqm5kb7wnoeoxtGvrSFFy5c5JaUQrHIomEO/xowm/U1T+/09Xjh7D7esORBZ
uuAWy+zTTHoyIH1f3MjZub7a/XLqKi4TaDGdsknidea4gEfLdX4oWkJxSGEez4YCjBiC31qPPvAw
aMHVg0khu3E9IZHmyHY5sWD9Eg7grYVq5aTqFD5NPtQ/hinlhQ/StWyM4aB1hI0/bKG/UHNy5nTg
1esg3TASnGPYABCdXOc9H8buG2x0ziZLb5E0jR9BJ8GLRR5rHBatvWKgAPhBmIFzAJ9AFdtUBTzR
KN/7SyM26TBidq49Y5+NM1wnq3bOCSWCPY4Nrjy6iBSe9rxCBwkZgiE+jopWPKKoqHZ52onLovMi
5V8PuJqDwbktCAJ4cIpxuTHIKmX9ijQzoStsUybqsUOaAVnHxq4IFBQ1jTmHME/T5ptwOmOtxy55
mfJW3Rtjk3dxBvFgW11vkQqKmV4JxpEg87t90I3pxim+s/uxitd2aj25VrHQAZo5uDILpIlgpXV2
SZWPcrNOj6ZafoTC7laOwpphk76wt+pmiJEI4zYykL0+UOB8+kbVvA1LzTlEdN/6ZOpegy56p60w
xJB535XF+jsWXsaRxnoDFt7cOawLmzqtloeg0C/GCEwst43sXvQwxVYyT+dd2lZ4/ewaKkzvj+se
9TFFCD3WLtLVxfRVtHF9eBJJW3WnMAK2LhqAW2kyxpXKu4PLIe9CPwqycQDNKXGu7JJ2Sb8BoU3x
4dACcKqnchacG5SWR86VoFHdpD5HDhAFvgGyshP3vccHSG034cS0+QfF5qauZPZKYrF/5ITrrq2O
DMQ8XJp1u4hwY2Dl32IcpK3gVxGLwaQ2dlVfC83uMuc9ZstOv8BJ56DieP2R/DSJWBm+dGxZWV5g
lMoi+g4JhgHX8J/zuQL1Jo02R9dsSfS+OFxiBURhU/eGf8lLDZ5uaYbdUBnGDicgNryhCjCPTdXt
lHvyp6xxE1wRD32T/EewN7eiz6pvPfCy3Ti508Zuxqc2mmzm/dJ7KTP8wh3kgo0qxuKSGlG0NvGQ
uPV8LE1pHuxyNG+6Xg87Ad1+b7VQJXQFP7k1pDouHPJ+jhkx2drPFfhsLHZRH07P7jXWmPsv40C6
WAAxuGKucN4yDqtrvLXLptQjb7hFGElEc7ojijrOPfJXSqukBaGNrL6JRi03RUcAhz227m3YOMHB
EuVPS2X6RSetu2dFH45Jp5kg4brdgDxJ38cZ6JYPGw9JjFO80Kvpf3SG39xHmZ99tweCJVqv3vVV
6Jz0mKg1osEOsHU0HI3BqqN9VtNWbtxJbmbpKJ5deXWliqH+xK6drZ0ZjD9eCdEzcczMvWl34iby
RRu7KZuuadDxMkTfHruZalpgEdsGVmOueWRlLKQBUsiDJh6N4c7hntIiskLUerh1W6VjA2zlxoPi
lRehTfGJ+9WYy25bQSSJHRXJh6kg6lNmrIUjhJ6NRCiFL+DKu+IMs86JT7j4AII3hRlyZo6yot5a
usV1hdYM8XTqkElCYZ+txrwYLjOWoTuQT/6Jdn23nX1n4T31jx0GShCJztjcWpln3dZUgHuDqu4Q
Fj3OA+0kW4Xp5YG0dNzCmp6BDkOsLlmN45IMgX1pQAibTEmvQ7XmKkyWc9lk7+Zs+jfXcOp77Ok3
Q02BPxjLh9vqPA6q4kJASbSyR9v+bMQgoPvU8/0CQGRr0y2FyTMbpxK3nI2Zrfeylen3z8lg12fM
IPNaePWNHoY3xsOYzpX5rS5wFxjQuNa9sI2VLX0dKxNTQWnh6XFJP7iXyOgZ2gZAwzWBNjhR6esl
bn+0BjvjYN4mO9POBF/7VGwEOMWX0QKMXObZz8Ibl3OrGF3FTb6AzMqYg7uDnnfeIqqPgdpqqxG4
HSz4x3dj3kAetllzA5NiZUW7AKdOW7XumzsUoJiq0tiA7KyeDaWSU6j8cEtyBlT62cKbrBMcTYD7
blEPvgPmn9f9kmE5h3X3XrQS92yfW/sIluRTj7Ic7o0v19AFI9otVQ4fyC8Dto98IX6HpwXZdyFZ
JyOkJYrOVtHTlA7GZjeqSd+UZB09Q5ep2VCaZD1IpziOyKJo6Mx4jaDCP2GW283NqA6RKzAwQRn9
oXvwSiacx6bExW7UvNxYUOW9n1beT7NsX2z4V2d8tTLOZljOSzhlx6hKQBQF2AQKP8PHOfmqP3dJ
ox5nCGtxjw0B4F050bqUU1acnGQusBGKz8Vk2N5XwCctYEzxMg/V0UwYsdELk9NWO8Le4qde1nlF
EJBVA08IGWnAKiHsqFd02fK+2Nueu3xOVKRnIwlwUS4J7DdHPzp+QadtoXlTOaG5VlbQfDgJFAOn
NRTVAV9eJEKvWgXMyu9ylGKIO1kdvwXZNO6AZB37QrRQVEfaxuX0FhXdL5HlwTboGCiAF5uxxEcw
hMaxOk5YItxVKf3hF4MPq47BJQzPeTSLb2WYd2TufOZdwFnTw+xkJ0wLaL1VcWAv1WvatBmEFr8/
dsPoHot2Gu4WG3rSaiSJcGMnkdonuRXS7tSpvzMry42n61leirShlecnD+nI4pWkS7nP8HI8srvC
IJB1ss4JjIgTWUwNiSRusy0bzZdUEPmCU7BVFIxNId+SapzoremETlQhNhpILLfVwn4aRO8dDrlj
BwBpV5QtYwNEn7czVDag97l59pwoPY9NSbaVazbRtsswUXFC7wSGXk4YFlQ3aNmrGtMXdr25K4aN
3zboLTx3xjtjQR4kdMlo5bhW9ky/rUSNodbNuKw6jiBPtIzrbcPQ8hAUxZ3wAmfTpJTgYmGg44Ic
jPMCR6rZLMUB+SiU7zaUL0vVzPhBk3ZKYw54MHuxC85bX3cAfDyrt7BVEyO46bPsgZ4Vw2HMPVrO
lINBUJDtE03+Gva9FaeMZLb8zHiThCrZYZ/vb6akNGNbLO6mrILYQpSLqxJ6WJ/9GPDNrlwX4y2z
p2yLpW3TLj6G34SEr6WN+tPoRFefu3vXjU1HlwaHHGcn+WwOLtETwMNWS9JnxqYZk+kbc/IsrjxO
0o3pt58jmocfWA3z+xyILj33PCX+TIod7nBAQwwyv9d+ULAsUGk7q4rElV8yTa1dkLhvoOywYEbX
FA88BAfLBBQG9/KUNvCVVVgfsKHIddb2z41FX7x0SeGKsImtvdZdNlUU6tfB7/1wN2O1gnlA3gpC
VdfbjbiLH2mbFuvS6dudI8v+MqFPPkoMOkD8XPFGrz8tVrAS6CyrQTLlSNQmwMH/aYdZdmMMbbjj
pAWmgorv2POWnqgMGiAnQbRXbgr2UPvusaoWkxpWO8+0FGgxh4196oSvLt4wBSDxUmb3Y8RbCBJT
xz0t7a2v+GQ5TuFhxrh+f43tvZtmaEeLoKNDunt/rcW8E6BUgIxB4fQ/AAcAQQEl7IariXv4aGon
M1bmnPofGQIfwMwq6+6AxbNhdAyZNHXDMelTdWGzZngXJsGp1b5kamUZwb63i+pw5XwAIWvp77Se
Sr4vgQCxGgzm4RrG8GLRY9oWSzFEVBKiZ2kdFo7IiB7fugSxeZ5JvbVMMuAAxlQgWtTorpo6yL8R
mtw9Wp17jWnqqLlhQi7AulnJmhXcStjVkKeYlaQ5qJ20mfmzgfpV6XoGz3/BixwQAFlOP7XAK+q3
4griuA6kkmYZbxfD6O6bpLBPZVLLp9xKC6qJeuYsyCRh0wp/OAFuIMgizXUPlmCJmJ8sONk/xqzs
zoRNVO9m5TcRsXxTfjfMgo48KJHMP1cagAYA7iY/A2FA+FW0sFHXwZTZ39xsaD9VX5CMhLu/PtmA
HLMVJq7QWBk4uO/qMevZejlxn01StNpLF9SQyq3R8/dtawYfc4aZYmFd/EznJg1P1GH+3nJc9tXJ
sEQS95F1zVgruvokfZgq60wZ7ZORCvclKiv906ylpFtIqinxMYCibkaWqrdembgIq4G/bp8b2Tnt
kf4W5Gy9lFHRfoIWMt94yAEpJlnUbQBruate5FKS9hSmeG79q69dOQaKUHTm4VZxpKN/X9j7RDj2
oyw7dQNGEAhDX2UQtVK7cS9CVcgWRlMr6iU8XA4o9KtDJEqn53oJ0c63TYVlw/3v7+UkA4gqmZv5
lgKzfVXz5EXQ1Af+KTUrHjQVrsQKolsHpeHF6yGQ0ccXyX6egum5SQiS243VHB3zblla8HB90V7S
OsB2i+wzU485k+N9mph4poMKxUw2DEI9DrksYCVXubutcub7BIQ55SOzyrQ4YGAHTaoZwDpA4buO
GJ8K5uGcRC6dDZuvHs6eQ26gYtrKhgAzjdxpC58vxOdTQPDEYwsTZif7avI2Oui5IWpW3FIL5Sk4
Xk9a7pa3NLe2aCeoLCqFiqdgdNWvCJ3nx5NgKR9paaTfacNzgo4M6W57azTfGhWoI/3zHIhQfkVC
5kNBOgd8ZuKI9C6pZ/1Tjb2+seZpPvpe3menCOXPDQ1Z/nhQS1ior+KVUEe8p5zoEygovJgxVi00
2VEvX0n8TAgyw5QbYNPYktaZ78PER9FTB3P6bhlpfsY6rNRqsEMatJ1P44lkTg5I5DIM9hBLZAik
MZF49RhUzPXjjKC0ag1ihbcxTTwkKyrkf3ZXbF5Pa/yFjgD5JCCZOxaLUoFqgZT3lI+1/on90g5o
0TnGD8NGoU/ud/tEV9PgcDc3/joLCyeATziMz53pAKONaFgUVh2+cGbwyYBPp4VRf3RpOp/6gAhO
n00eTt0qUKxXKGioxxOyANcQXtN+m4sc4bDy7NicDOpKzUJ6w3egq3iiOVvEeV8iZ3eg8Km1LROG
B70T4lkEQGB+lyQDhXBxEIPTweLNApnnvoR06OEztg4Pos2BuPmdWfIwwV+dhgynhkNqQPKA2I59
l2ZwdZthdFi3QyguURmVd5Guk3ILusIlHGriowfs09AArUAZIWabxRGtsPfitBUvAaPQ19LW/ofv
iPwsiBWlDTmPLA+mRgCvDTeoCByIYPYtc5bPzBhMPp6yuUoWc0nU4xo8XvQkwD6gy4l4Aw3Z8hDq
nskRtMEe4e2Qew4xShDMXtIhsqo9Parx2QAjtDfRut06DAwe0wwdRzny4rItJBcR+OXj7AXtUxGF
Qh0zTwUfHHZGYLGD5tvING4UCoLFwK9ggLkU4EztHXU0KKSGWCRSHOgjfi9nuDoHUkRsdbADRzyw
FbWAjroiyQ/+3Of7LgxSlCh8H1U8MuJ4EyWvdsH06gYdCjEDBMBvSSFh1S3m9DvTKW5nYNlzfTuq
cKboEOmyMZkY5dv/NEw9WuRPXKsNhJNkYLn3oVwABsiv37eWHHRuwqvjB4Rosb3qGsH9qpocbKsY
We/5Ef7QaB6/ldi7cUlFdveonXlkFJXkeptfV+aaDWAbLdN0pZ1jwa8b+UBc4cTkyCLdmaKeHajw
+dd0nM2dndfzxTfDjnuABeROBUnjvRVlV0JOygWO7om++rVDxUOaKsIVmlpwGOqqyg/j2c798lbo
adi1um0OpiEb0k4N86gXwbNgk5N+zAOmyR10iuTciX+uxVKwtpNylNyWns8ameFSp4+QNCwiZms4
LxwpzV2ZI+zxUkM8dLzft+1UJJcRp+JGC2/YGylsQjlRU8dVs3CTCIyq9CkYGkUKX13Taa2NMDGO
c2WWMzxSXjibaCwX0jjmfttm5rqui5Zi26RLuhOMa1Dg9FBjc5K4CL8LQlS+GLJwuui+fZqkxbd4
xbDdDnjT4bHy6SctkQ6FU3XteuwIRVh5yjs2zBOY2IcoTG1Lek8ub/euUOSKUJc13o+SDYUqGcvz
XqbjJa8QTZ0ZhbJlaR+/Se0iBKd4yPfRhFG9zycPhZLHqzIwoY1lyOQDYRf7hSnm8dk1tU/d2LFJ
eaGD1N2Zy0cKLWjClD28vDqPmFEKCdU4HoOSDZPq0D5xjO9v53YgwEoKRBFCKRxd+WSR4Kpve4tg
sLA2rZWPYiIGz4kbRk7Gse9HdaQ1wdV4ZJYqUitoOU+wKQgZCgbW+IHl/77ncDTQov4/tJ1Zk9w2
l6b/S9+zgyTALWJ6LjKzillSSda++IYhyRL3feevn4fqr8dVcGXlfIiYCN9YtpAkiHMAnPMuS2+i
VMu3e72hfroejZka282yYAHwCuQB2vxG0NBpR5DT+W/w//8HxnX4s379rfzZ/69Hrju/HWV+1Gir
pnEy/O8Pdck/6v/y6G/gA/Svp9vdcR79Cx7N6bC+HX9267uf/VgM/+NXs/+f/6//8V9+Ox/W5ud/
/cePmkvOPlqc1tUjbjVQ6P8Lx/6HTc+r9VtVfuvUv/DfZGxobP9peZBUAxMuG3BV0KPzz374r/+A
pg2iFIceGEooO0BS+ZuM7f+nQ9Uo8JFshGphS0CefT0OCX/rP104tyiumybcJsfx3X+Hjf0YN24A
i4c3y0AKtHFDBLUT5BIEMYr6PuLgcS8BI19Dcu7I2L+xqH8PryBmq6yJucjnCAThSHYXZcv9KmR+
XucZjReOS4hYLj4t40NbVVe4OI9B6n//5P7nD3jAiL17U9N7zY4ZxZO84FLwZUlyDgKFW7fEfItR
15sB57b8+OBjX8Xe//2LCk4cUQjEdtutPgNgiySKLFbzkg2t2q7QCqzHONS/f0BF8g4ZxOVirc+y
H6fxzm7o5IRzhwJdEdvu/JJjsPzu1PYfWJe293g8+m8aYzK4iyExfIX28xja/fcz7AvowbQahTRY
oWN7dtFp7o6zKWPzBiWy8SOsquLfAnX//SMKmDuZBodaqFefRSym99XsW7+yovXl0Y0N6j56n4uQ
evgmC410F0G45tymFaz4WYw1J57VbTWXg8Ih3Xv4i0MHj+JgRQl0cee3Drvoy+ef/tJ3UAgzlGmG
acDj/cxNVn7k4L7RYqx8DwFXb7Ps8PlfuZAWLCUtmHGARB3+wWf8uOsbwxrqW5fq6pW1dGl0JSvg
/15ZqZc1Zy4LtJanjvNCiQhYd/P801sXJuk3kP/BYrWo+8rVqJszuKll/iNOndW8ywYX3I7jguM5
ts2IeXhs1tM7dNzz9M6iFd288BAybe+dspfpzRwNFNbwhXINnHLdBV889Dita494IaZVcsma1nMN
o6E5R5tvUGSqzT5BxC6WJViwLDO/pkO+/bSaCVwKO3/yAn2PoD5RM+cSgeOTN2l+jH0OH8yVIzke
+fnePDZm4FXACpFjrcbg+/Pf4tK3VvLGWKCzmM1Ze47ruHpH05++4dqBW9SLNpX/EacNZSJ4AefC
wUsGGfiq/OjB9v+k9/hKshhmNCEg40CiMIvso5F02Y95bcsr+e7S5CipYuSIDfYnb4EHr70ExNJz
dcnQodIMYyVZFFvnBdVO7fXNwYwOAeZCn21gd8OVyb8QZ6aSJthgtyiJ2BTWbqDPi+zwJinLzX6P
qlJs/Hr+G7isxCcOESrtxkb4BNl+qJbx3C6v6Vj2P0GhWf7LnqVbvF56bCiu7A0XDg+mcnhAJ3Xw
osHcNdRAIx3h9uXDe89aFo+abDRYp5H3xYZ3sDGyvZIKLiyC/fT3MAAB27WWaCLsJdCCC269YWnx
KQ9ivNj05k+JcNEtM6jPuT7HOY5BgFtsgaUEPGFg/WXBzYEbkzusV+QwLr2OEvATvX47Wtr2PPaN
X91EDbqFN9uYVB+ff5tL4ytnhKWhfIgICCfW3PYBADd9/ZcsTNKK3vhKxFPwaMBCpnCLA0r0IFO5
f6IWeeVjW3voPbWYlZDn0maXnYmDTwCfJBTz4Bc/kthKlxvTyBP7Kw7lKIYlXoIMNXrSefWqwKhr
RfNwML0rKX//8E89g5IWAAJN0rL4REYzBXi4C/svPBHocZWDb7zVmUYnUFKDaxie2yLqe0YJHm+5
bKMnOUeedyUn7MP88xW4ID0OmqqgUe6Jsj37gNj7o6SPG9zEQA0iXJ1SsEqiT7EyiyLs6Q5jvuZf
cegSP55/t6cTkhMoWQKKRr62kuMFUpV2CcQMThXw/2Qw/sCMZDbee8lQ1++e/7Gn1ztCFo/ftMHK
J8JVjytUD+snzV1rONBb36IrOfzS+Ep2QJLUSNtlaM9wFnFFLRP66wM81Oef/umEig/G46cvgyYZ
1317TlxZAV0Lxgl6STxVL8a2cecjLTHv17Q4WaH5Okp6WJ2yBWI+Eb4I5aEV337sRqu8MvilD6/k
BlFEWd+2+7lynurxNoni5T0FwzIJN2NbXhrIdZ6en7dL61tJEzYlmzoFXgxCAKmojxAqzPe2UybI
ClRm+gVkg/9xMMrIuwWkE+H9aFJov/KWl1aEkh4Addk1aNrmDL1BgnQefdwWJoGQ4vPv9nT6cVSO
etAMwDxMrjDNGlPX44TrYd4N845uar9I583zP3PhNVSBorgQDQBMq0HSEOXaAO+XI33l5spLXBpd
yQE1XK0m2MMShdjoPeB9670Bo+BO79mVoI/cIQW2xR21ibv5BTzx9wZYt1u9wZWITyC1tIY9MPgu
g9MhpXYLo9XSHH2fsAf3CWxbbRwnOqa9F+KlR3vrKGqUmPWeXTwePUEpJigN1mYKquYb/CnknSfL
7TXnXQlwush9AXyzOWfliuUiHr1IldpXT2KXFo0S1e5mWA1YHZ5+nX8J5Lzg6nTZjd7UKGGLgxWa
yXXFTagra0r8eMNs0BpCrdG9PVE9+KwZvHfqJkF9XrL0RTWhoWw17ke9sZXNfJD9EC20zM4JssYI
/tbbcXCh/eqNrkQqpi8F9LixRlbeiYGDgbubmq74rje6EqkDMPQiNZmXythZ9WhTHNK6bE96oyuh
ioh12omGozvsO/EWpNvLmFPVFdGgC6vRUyK1cuMJOAPTHsONw0Z67CiJVpY5XhNfufQDSrAak4Op
F728s+V3QHdHiF8c3/USsKro0orG95LernExat/IrrlBaENz1pUwTSqoiIGLWEzgbhOg7oHVfw+M
sps1l6QSqr7TgnxouxqxTHC2pyYyAIE7YCI+ay0bVbDAWVbH6oBdnoG5ryTiun83rmZypcJ+4bOq
OoeoNaJpWrAoQRz2xavZhUF1cnuruXZAuPQDSsSuoFI2kexSJbnVrlg4tOt8kKPluHqp0lWC1ulQ
V7b2lFCKSpxrZALuncyf9VKlKryB1HmaFBH9AOG7Eo2VGrP3KG41n32ftAeJeHAa5KQdShQszgwc
inNv4aJyRcDl0swrEds0i2fO0HfONu3PcMuG4gdEJuyCnl+Xe0J/4tbmKttrLc0kKOaFmbEjm8Dt
ugO3gy8VzABnCPDGXYdz3g7OlTDYs+RTP6fEcdlPAth9w76SNpl3XBcYhTgB+yAhQKleU6C9NGdK
MG9A2KYsZs4WAzcEs4klXB3p6aUK/OQef+4efbEyZzER0B5Ey3q8C3DF1jtOOfuHerCYoBQDDKlI
oo3vduEy7taicEg0R1fi2DZqBydJEsUqU+veRfbgDd7gc31lNV2Y+F3D+uHD2x7KRQIveAjpSADE
lrndLF7VX3v4S8Mrey89fbcXOdoN1jqX/ol/bb8YEJDGm6lF3hHm3zKNuFFHHpbAZdy9raz+neFk
O2AVenFlxQl0AJlu+Qk7Z9s9bDuZ5djX9V7N6YPsZ75NydvBxhLhFVVyCk2jX0Ww96rchzAy5tDX
exgIKTQGTHjOdB+W/COkseIjLPIWjmYv/Obky40uhuMGZ0SjHOMWnEZqYoAB4DFcYgTmQ3cZVthb
mcydHzDWhbjrvcH9NTVL779dthVCn3Q7eMJrio5Iktj5aF75Rr/lvJ+IQamsX7QwjG3uzeKMPl8N
6EOAMroFD1GjYrJ5RRvGlVydown4tbm3R0RewsxHXP+EeDRwcnv+bctE/7r6lxvmRUHm/ZefeCJn
/94P1jzyRyK3y7LibrUNH4bKTl9TqPoWzUhUV5uYskPW53gnwENE3KxroC8/n/0uLSglua5rgjpw
GtdnNyvNEInIGxvSzJVNZ1/0T72Vklqdap6LOU/r89YPLYDi2F5PHNhLXLvr4m7stvmD3lsoSbXv
TEw1kOo8Fz4MFctCSGULQJZpTpKSTZceGMQmGyRqIWScjMqTJ7MIxJ3Ww6siaIWVO4iiyOKcyGlB
3mfoaUR5o39NU/XCJ5ZKxkPxPJ1kDG1MUo8J8Qkd8NXBslzv6ZWEt0bTPHvoqp0zBKW/RrEJdMvq
vBd6oyv5LpJGOuDYXpwh88e32bR2oVMF7rV0+vT6VCU7R2QK3NZCjTyPvQqKZt/af03JKowr41/Y
66USXAYcjULYW3+WSw6OvGiAZx5kmvsBvdWy+KQ3R0qUWU465xJlqXNel85LiJHre79Ityujuxfm
SAmtpJAL1bJkOEPfRoxhsrotAhwrcGcZM6861k3WjXrXJ1WjskJ3bRyzwghNf8wxSTb+SgP8iLSm
SShJH4+9rE/qJQphUC4huJsOxe5kuhIGFz61UA4tudPTi8Mv5QyBGbp+UPqxcwO8e4eAlxEsmudf
4gLsxhFqMOMWVwSAns89BJTpLo/H1Q5NzLu/QqBJmpcOKuvw1qYGnafCDvLqJEU6Oi8Wx7Gq1yNg
zu3Ko1xIK7+VKh9uWW5VjvRm6jOKcu1y8mDKfmYHN+SVzePS+MqyhivnYSuLRLK/FJ+niffBo+4a
IOvC4GJf7Q8e3uCUhtRPn2BJ1coPVlvDTQ00A1KoSatOBTeVlsErfzmvvkhvLHtY9eZd7K/04NGd
ns/pdSI+5xvBeRTk8q8FwNZSb96FeDy+P4yOzQ03CP3ONIHnmy3UV7zAnl/AlyZe+aoW1IuyHWQQ
QlaSX+bFCjAiNrbPz49+IVkJJVktmLt60sg5rtXokscLhMNDnUGkPc113U63Ai3fa8K6l95EORQE
uCbhNWD6YVul7mmB/nOOAzHdPv8mezw/cXRSMZCYYxUWqmjxeYE2mv7EHrdtXlh1U82hAX1nuKG+
N1cvPNOwPj3/ixfmTpWJ78s4z9oA4mxqtNax6h3pHESTthJEnQWkG0EJXOyf/60Lc/fbmOPBGp4W
P0GjLTPCOcpAYCfB3GFrLMzeupKOL/3A/pIPfgBBhAjiEToEXQWJ7CC9Ic9P5dKWm+YPKDEOXsXu
GpRgQlzW0i8zwgpvzQ47Xb352V/rweO3jl1ny1oagKpqbmcTnm+Zb1/r91+aHCVKtmlJZ1uuCABi
RPmHs87BLW7q/zLAuniVuTS6Ehd52eYuWkzoo1qYgnScxV9hQnINo3ZhdBUEGMRF6ZhRaYdQ9ZyF
CwuU/hspWqkFZXR+myk8mHnRAoYmbZfneZsR18Nddv7OiWerjwswLs3coWIB/QKx/2BXRorWLD17
KCPDSkgjzXdQFn+FUAZaJl6O4D5UZmR6hnuEMuwP+Nv2v7QW6G+Q44NpaqB4iomkdJZz2rwYPBdj
gW6Iv+mNriz/yJ53XXY3O8Pmm8bbqliQ5+KIjiag3g8oe1zZjU7bLPyA2XvjJ2RR6nfTZmE0rze8
/Th8sxSOe2lES1jByXyNeBTaKxWYun9PDf9/IMnO78Phg9mv7Wgd3aTPsCnD4AqtuWp7Cd0fxcvn
n39PYk9sPr9xQg/Gn5atcd0iSvflWUFmkmZxMpAuWY917V5Th7/wIypOz+tiD6mViG9g1Qm9cDki
E2IXWPgeRUxJ5vT8u1xIGCpQD+Rob9qwHs9ihIhSz619tHtLswOpYvNyF427eumyc+WvEHCcqERe
LGvdL3oPr0SyPcGkmSuGXzr7W5tQ0IhbqddpM5UdrIjnAYlp5CfmPmne4GOVnRH9uhZhl76uEsLz
ssmt7ygQorbpIZ5UreNyrGCLfggy3H6vLNRLH1eJ4yyWW9s06Dq5ZjLgAOv7cQwPDCc3zdWjRLKx
zF6SOX6CsuvY37QjKM9psfVO8qayDzde4qPN6CZnK16HEFW9DgG+VbPQrVoTNPk0AwIS6XmcXEDI
+AE6L6sko0isszaReHuc5DzTsYsOFUPIF8aHtQxwden8a0LnT39YqULpFgDBizXH6dmuLQO5L647
tA/Fh+cf/QLgEWWkx88eG54VI/OWnL2tDYqbuPETPHhzbrBT2wT+MU1G+R1tqzL9ACHS+LaWltnu
/Dpq1Fo9FGynHj/CkGP8Mbkc8Ld8bL8585C/ruLM+/j8G16aPyW4LYGuak73f1fjsHFma3GXX6E0
6Y2+/+qD/cGF8IcCuh+fuywOXorZcUKMV68Cni89vBLVdWEI0yv45IbMgpcO5N7TMEW1VjvxH6Z/
S9Q6MYpE8dkKol8O0uIHaibJjd7MqCFNV0MOCVf/dqSUbkZc/ReEGq7M+9NJVQbK0boc1yH1TTOC
tb/rF7nIE71OWkNCMajHXlz5lQvTr0LhOiltsCg9KxNlozjMdqEUBEeKXut0J1UMHKxDNxPxZoQe
KpW0l6yj7ObspPUBfCWyIctQN0KQLtySHqJdKVEdWyO9qILd+GjdtxOpNPMZHOIgPP26yV/Wq3T0
1o6/f/UHUdXBE56szAjCJG3Te7Fs5l1rIFyrNzFKzJZ03ba68YNwHEoXO4HVRXcZbXe90ZWQTUvX
QfkdyV4x1L/8uqiPPirKmo9uP54YO5ugohg9014FyT3W02jX1FUaPv/oF4Lqt9HGg2kXbWdVY7RR
72o8CFUSxYgBcQE44g3S6rPmBCmhS5Ntm6EecKN3hX2eJkQwa2Q3tM5yODw9nqExg0QaZHUQelmG
0vAQxGic2NWVJsyFGfKU2rblI8A8RFEUBunuZYowCUozgChx604qa9ar/uOY+/gl4s22pwRKEKrA
lQdnPQmRW9NMap4Suhh2sp236b5l5WhbDjMq0BEyW8+voT2I/nlhwiDm8aOnVTYhOUlvAcGQ+UuH
zNZ5S8TwRm90JXS9DT5GmokonFGdP8Ak/tyvg6X56Erk1o2DmPvG4IuR2IgvRp9kZnzXe3AlcHc/
MQ4IuyLkhlOHEHFyb9QgJPQ2Kk/ZbIO1HtDGtqNQmtUPc23vioZuvt6jK/E6IAziijQN0MDL8vu+
w6vxYKYW2GSt8VU0XCti5JLb1QjbfHE+RakMvhV5fu0Cf2E9qmi4Sso5WBI3CDfg+vcFlbJzMtqa
e6yrBGrpr/O6LGyDCJ92d2UuDfQuMU1+fmb2iHwillQcnF0hxGih/RKKpRSnFWQISRl1ndsmL+dT
keSuVt9dqpA4O08qIBfdvq1Ato3Qmp23NL19/i0ufQElZtOF6UYM0QiLxl7CIffelePVW+mlKVJi
1m78zMgAbrN4zOGrP6zIy9rTKgZ0quFo3DvtggqY3osoMZwhOTrNYxqFRWvFR4xGp5MH/kXzGygh
7AbTKiFB8CZeZy8HThDVj9byI72zvqtEMYr+drB6wHeqTJh3iFulPyhKxHpXOBUGt1bkN4k+Uigd
F9Nysz5G06JXIpYqCs7DsDYPSlpZqAi2N+lopSect1e95an6zwpko4tMJkaIHqw4ZX2AUl4xCK1W
O2//eDtE3rEVE8gy6p+i/SNCjfXQ1XWsVd6WjrLZljjcNH5L82iz4mhCsqcqUE7arArmFv4Fmd7S
VCFZMYT7xItYO9ZkR0eRxPPdgpXvlZW558onspyjhDDKvXWwQdsN0yHdSi6JpT28HJA07ZGETZBr
rPrCwDShzPPsyrxdSEmOEslDYDhDlc5GmNjTgKLkNJ/Bes3vns8Tl15IiWQxpGKTULtDA8foX/W2
Oh+a3rXemhzmzONkYVJjFsVypTD6W5LgqflTIrv1IxLsxt5fm62LmlcikAIGJFRFbxqzLd9Ybkkx
qgt6x7pP0K1GtXve7OAWne7tc4GHBpZM5VbgjpZX5vQuxpZlOBVugkMeOAp31tvmVaRh16+U+GJp
hOUQyz+7IQchaXpD/en5Sb/wSVXoWGChr2nVC6cUE03UFeOwM04senRZqQLHZFNwIJdITJfD9CuQ
2c+5zRvNiVFShPCRWUM1gssunn9nc+7iOxsTCM3RlRTRlqbfx8BwQxzL/nAL422UVno1Z/RlHie3
Ht2jefWQ+Cpm60dcuB+dqP2l9zmVpDBj2FEKP+dEEo1gJKdivVvaRq/pThXn8YNDD00XjF256Fr9
j9TOPmRud+XMdmkdKsG/5h29QCj26MLV6Qt8rmZEoIWpd7tVYWH15PluZFbss2ktPwvPCN5QgHFD
rUlXcWHRsA5z7TlBWMVDdyitpTsk3abHa5QqLmxZh86hGx6Ejdv9xCPsTywG9aZFhYKR8Iq+agCg
WFyyPldW5Z7teNTc/lSElJ/g2gKDabeu8tOPaRL1n9s08vROCCpEKot6mlk2wtuF7w6vqNfV+FAX
4kbvkyohGnhxBfQ48kOzq5z329DVfyAA0mguGCVKbUjjM4K8XPaHekzQs0uKV0NjVnptIVD4j+O0
xA4pLyeyQOy6a9gtzfLaLWR9ZW5+u5g/sXOqGKl0oiM6xwW4q2Uof3hgEYpX21iLPxNj7RusYdY3
ttncgIMov0VTMN26xZZWN3YSrQZ6pkgKhLB8fqToAnU3rkSmHjV6/GPB6VflEd+mcThtW+d8wM/c
l1ee+kKCEcp2nyHBPTZLiUC3cKjr1kaAw6fbL5XeUV6FWy2LMZZ56rHVYat2Sy/awRgSzxGt9ahC
qwrRxihXT34Y43CMG238OhoTzdqTiqXKUeHdnNWKQm93NKwbIE6lszW3eo+u7NP5ZCH+i/VdOKz4
zcVWhGFk6ujJkklb2aenwcvQ43Ywa1iW5rXbJP77RGzrO71nV9NAZlVe1Iw8u7XahzTGeg7NSz0Q
hlTxr54fi7RcSL+7Dfg3M42HW7tJovd6z64kgVHWs+Fi5h6iTfUpslus24a1OOkNrmzXDdaIWC1w
EshME9e00X0/R1IPGSd/550H9fTeNbAlWznZGdACbj0Ud14t2+h81Hp0Ff8lpsS2zYyTXYBmY1jC
Ljo0TXQNd7evuydyo4r+WrbJwB1jBAMZTcNngabdN3sbjZdtZ7R6hAmpYr+MtN7cfg78cEF2965x
8NOsHUdPAgKH9cebB8aBa1VXjh+mo/untIqvXqlH8pQq5mvmTxpMjzj4bq73Mi6G4g77DVPvum0p
wepDLGjdnENeU87G7bbY8W4AbQo9Dg9quY8nZkZ8evAMnMkrGG8nnEzuoUtcg5teAhT8Zpo9WPQj
jpAIo+acrc2uuME+aSFgnQVnxsra3DkshCHHY2ck+YgIdVFUN47teDMSozhQHfRCQ4lqJFe4E3c4
N81GYN7QtKkwtk41GygqJswY3c6KjM0Pqb503+Zh3c7mNq16FwgVDFYu1pJ6PstWGsWdGzTi1OIY
ddSaGBUCtk6GXcqcWj5m0T3EdvsDyvaZ5uB7PeTBlzewiUCYm/qoLIP2ZvQgEi9uE11Rxbpw7lF1
2Lba3awu6jnjt/FCc7W0bxI3/aQ3L8ruC/8Bmrw9eOE0l31+xCe+yEASlH2ntyJNJabjeVqRHR/9
ENMTNGj7pHyXlPnwQe/xlYhuDGikm427iuN3yRmISxKOq+j0biimsgFTiVviHE3wcE7q9Baz1+IG
96lrok2XvqsSq9h142Lq8l2drstDt28g8UCHvFJcvDS6clruK7R/UeJl3j3/zRLgxFe5pp6ki1Bx
XyVgGXxSWy9soz77DLxbvJ3HptE6iAsV+NUJpAmazHXBd2/pW1xwoq+BwKdCZ8kIFfdlm6M5N2bC
7ogzc42IxjJ9dcuUc7Pe+Mrua/aCy5UUbujPyxjfpNxB4yPCovE7vfGViBVRYnkSB44Qt2fnayGt
7gOuyvFbvdGVcB3ioZWDnXJNYVd6b3uF/yaZmk0rXEWghGvtySDFYBXHWrtuD9nc94d4wvlH79mV
cHXxuXCsJfHCGh3qm6Bcjfuyibo3eqMr4YrtssizRHrhjqg/tbEhTpuRW5prXgnXqSL99vv+1Dji
VLooO9mOueotSRXNhTvAUmT4OgMIwQIP21I7wRy8x1ZQa2pUNNcUj/lmNvvmmjWf1qb9GpTi+/ND
P30aFyqWK492B4p8i8KhS+vPqAxvWRjkZmGFQZfonWpRP3m8f+MqX8xGRq1oxtIcW44yPsgMncvn
X+HpTCxUTBeVuQ6gpOuFsSlyrlpBZfbYbmbRpHX8EL4Ss54R4QaFV33YYot1mJIy7APNqxyWNI/n
Ri6imsfV88NB+ll+QnvbFchU+5ht6E2P/fgHMMHyi6HzOfZ5E3r7jYn7eDCWmpOvRG0ugIf4MRmn
QcX0OPr5F3s2rsnCX/qyStD2YsSvZOG0vc4WdioNiD0kVLUKRlgRPp6XNh9QBcBQKhw2o8SpyHBP
8dZdJRH7DPPPa65QAV1It7pFiUl3mOKeFp97fFmHF73tLn8YfpNHL3wL3wXU/dtP8Tphz52tfYYZ
kVGaX4KGbpM1imH4iCKn9SWeUS0/R9Jv7jLwcz+WCB8mAO24rj2/RC4kARWlUc6ZsWG3xrYxF9NH
B0sULD7TFldca1uML8//yIWPqULP2nIUU7ktfljVUARPtDLW5Bh3UST0FroKP8PAixvtzFl1qab+
o7061Tc5THpob6HCz3yMWso4tgmjNnndOksPg2b7pjc1SoLp19Vwm77yQ3t0tlvHS73PPQI9Wvc+
4SkZxrfYrU2wLGEChQ9RxmrNPewJG1Ameo+vZBiqIHbRIJoSbuhgfHVAAX3xKzF91BtdyTBFhrg4
WnJc+5ct/T5lZX7XR74eQEl4SoqJ0EsBAJ9Q64ryeMDlEEjwAWMAx9dLkCoIbbW9bglqdiejhLaf
is5G3hmba63JUUFocesFeTSC56xzjOPpTzcoYegNrVy6AwQPRs+snDBqmxLX2vYF3g2u3pJRAWgi
qZZ4igwnhKI803Cw2g+9s7VXlsyewp/Iva4ST0W/4T6WzF6Iia1zN2M989Meut48Cqe+reBp4E35
PhmtCI2cUq9WLVwlzODFo+m9tU7oG/OGq7H0l8O8zLNeywrToMf71ZpLd+tE5lALzzl9+ObqfB0L
qzRv9L63Emcot4PM8Jk0k/rKUQgcUIXR6HWvhYoSa2UrF3uHWgmzdg/JXP/orOWa2NT+XZ/43ipI
rMA0be1rBpcSFffDMuaLPJStJ7WKOELFiW1jh1HGAmsg8/zmDwQDt4PT2POfWhOv4sR82qhy8n03
7GtMeBPsg6ykT/TubCpMrNy4Dc6Zh0H3uloh+opFOKAtpjn6fqB4UJhz17RoOl+6IVrYDWbi4q8o
D67pdV36qkoUp4NoazFYMhzLor0pixism5j0bpsqNqxZarkOiOGEzjq+joTZHPomuYZI+t1neGpB
KrFatZy4E6y1w6mRRX2m6Tm8GFwMOQ721rTv0HMahoOTyKY5pHZuRAffTbvxtHdAsAGvmrw94Dpd
NwfPW7ZXGDVUxmFrjOiPEvu4+ZBPfpZo1bGEo4R9QcWgNNqNAqULbC3LEITlPqhHkBSOsr064P/B
fuEP387dLdvep1z2eg+uwr7gpQbT5lBZxbLdDoOkHcOycq6VVX+3GJ/4hCrsyzWrdpUbZ7JJYB90
4695GX9FxK2Pjz7Coe0Bk23rTWrmbQyj2omTF1Nacbvtd7Oxw+DEo3njWiM+4AZ46uU0ee383rYH
c7jJ59aZMQKMl/mm29blu8m9/GTYOEuPHPsOVmWU37yqNDstVKJQ29eYSFOexwUunIMEp/fSQqzw
UIlO/nw+g+33+Cfmyt7//EEawH67SjBgdMMN8UQDO/LE945y24K/XK+WH1Z6Gp+e/6ULOUFtZssx
Q5Mx6Zxwyqvs1sXp+s9gsPDM1RteSTmIKXqcdmxqi4Y73jnI7FOn0ySyC7WbXflNj3OmzQ4+s1CP
+WDVr/3R5Pap9fQqlrDDrDMAGcqhqvZwbV2W5FDbjmbdVSofOa1ZQEGGX3vdjT8sgvpASUqPlySk
spHke0033lwndOMoPpRb/D6w/B9606J81MIbhBl0VFgm3+lfVgjrE5Kmr3cCV/XnqBXbltd1Lnpq
yfCHPRjOrwUXma96z65sJE6K/fzmeHzSSdrf55znPsUAxa5RZC6mOSX9Q0MdS+oPLg1nr7gX+Tx9
zQu7y2+qJEqCgwWc9gMQcP91uRSrfEkRoxo+l06F8OoC9/19sdnV68z1m+5E7WJ+U3ZxYp62Ncfe
OYlX3zjSc+xp1Jrj/BrLSWc7TtFUZycaB3V1Gjpkg64s/99t0qfSkDJZoItTF9crhzSXeYCR3Xj7
ldS2lAewOqt3F29xgd0xYmGf6Axt98BganhqqVXqYWKFiqKE3RWnMoKqbZsGDuIs44FcqLfSVBDl
EkcbIDHbC3PRGdvBKsrROlpJqun/IVQcZS2mAEQvnZV+kDLExn2+yfzOu9VayiqUMsinGI8P0wk3
Hwm/EvnhF5hYZnqdeZ7y8R60IgPIoWuvcphZ/GNuOkqc9D9MPZUKoaIpvXjshmleHI5I0juwg1Ot
KZNWc3KUHNWALU9Xd3DDKOHQizdlXH1NmijXanELVW9u9Uaaz/3A3JdxeycSZzh67lDpHS9UMGWD
7Y65DD3Ju1hpKtIye1G3muRJoWIpcSgrOAr5kpvjALwDPdEDDi/x6flVuW8wT+QMFfTo9/iWDBXL
RvZmJ49LUqGYbMN8jl/kzuj+ev5X9s/4xK/8A/q4Dlvbz/RzR7ud3i9TkggUoq3kWr/4QsFDBT+i
EulsRc420XXet65eCpRDzdpcjxvMweMaJc5Pz6zr77lDBRPaOMczvRdTto/CzwRnydUJm6z/nkXB
t67UFGEUKshtNKzC95vZCUHBRn8g2lyFtPRNvYhTQW6BlCVnVo4z22gl976MrfOYOPmN1ryoILek
L5epqiwR+mMwvZ6TrHsf+FH26fnRLyxaFd4mpJutVZwKQCVNsR6TJK2XE7yR4WuLkPeiVwBUYW6I
UY1JUMe8AwfLQ9Sm7+XWOHoLRwW6FTJ2tiyeRBhldXQTZ+l6thqpudeoQLeoiBZrtCoZRm5m3ZaT
WUOoNDWTtQpza1Coro2ikOEw9WV7WDajO09WrttOVoFuLtXiwYgZvwmM7tXqmKDBcZq7cky6kItU
YTPUhHoriTMZGt3kAkiSP/vdg/T5lXlpcOW+z5OjLNOx0czplr208jQ9iK52r7Ts9tLzE2lURbBN
NR731URJ2uzrcjt2dd67R3SMVrTBbL+Rt709dl+SyR6+P/86lwo5KqwtinBB2yxfANm3qAKka+/0
hxUGyK+9NPVqrP0y3+8rQzHeWkvkNhk6mBQITyIyRX/YqDFZN71T2dNhq+q8fjf6bfkyjzKzOHBa
9OYXsOlohz//uBfygqqUlmTJtrsdinCurGE5uMBuPppAEr43baynFi5UtFxfeFtQmjNZAXfyU2v1
8mhU1XJlO76wflTBNDuTRr05mwi32Z7OnRjLtw70TL2cr2Llitn3UA4y7RCtk/aEzvzwomq7VO8Y
ZIrHJ9C5EXHX1pLRp2I7iMJOXwlDE2gvVKycGEEOuV4lQrRUxJ3IA/utvwXX+DbuhchS9vEpo1/S
oa0dVk1QUrup8uZztXVFfoAaM9Ynabq9nreVUEXTepRT+rEUVthuNUsfK/Dyuz+JVWsJ2Sp2zo2H
KFsizw79BF2xG5k4ONE1Q9FfkyF/eo3aKnwuL2vy/r6K/g9nX7Zbt64t+0UEREpU86pmdu4dx479
IiRxlkRSpCSqoaivPzXv07m+e98F5CVAAsSeUyJHU6NGlcsyeYKpQF22oFb85cf/MnbTSzAmzRQG
mBemadFGcVLiZfwdk5Z9VUQjwhrgmbCLd20yV74OeNnp8e8m8Cy7xqX/hQN209ZMMYbwR470XmAE
BklOHf3VGJt9dRTtSJdMOyxrj2GvzLuEXV+e1GH//f8fOv/bS/1yeX3aqkj3AT3GVq7fgdrLO7Xp
f3OG+s/1OcvY//1gVpMCD+knemyGEXz1bZzM96SJ6g+oY4wknydSLzmZmuAlaMd1PTZQNv0rji3L
vtxsETLu5eoo6JIO0w4ogBYYGs/nv3tsX/K945GOnJzpMZp7eRw7fsDa29/VWewrrc7PTZp220CP
yi7uJRKSH1bG5+qvPvpXUp3tE5YlGh+9axLxGfTUa2x3Q6Th7378l3u888hscABBNgDk/zrLacF6
KmM//+6nX+P4/7pp7ZKuAyqQ4Ag35O6ggRlgaKj+TkCefWXUhUjvNInT4DgJkDFz2PhO8JXc+V9G
0K+Eus6nULSiS3B0Ha3LZGsdVFayv6N0sK+MuoTbZgJ7iR5BAxC/hjbmmNv8LdDE0i93GTZWvF/7
mkJabxsvDp5Jx4nK4K+QGvZVKS3hEl2ocXixZEi+Wxt2v3cl1vZfTuV/zvMs/XJfE9I1g9AIc0JD
tDIPSNZt+UrAbMqtnOQ7ENp4+7sL9pVg10YTaaAYhUzmQ3+GHoa/b8b13zhT/5lfx77y63YhKfyj
SHBEfb6525DJ5CHeIw9Z/ZCvTVEviRmrAEsorBz/T636VzfvK41NrVqtgzHBUcAq7z4I9+Z2Xlr7
VxUq+8ph25NkTYMG0uvQUmse+gnOA5337u8O11cO2yJ0A7UwAWH3ZLHVyNtfMN7b/+Vo/ZcM+tVV
lI8jNJ933Is6Wtffk9/1C5+7f/Nq+G8//Ut+Hk0aTkw37Gh1FOQwDOyLLDb/RqOCfdj1Bvy/vSX7
aitKMFjXUG9lxxZ+nBZsgLX3PIfuk+yWHCwrN1ZbAz+Wc+AhpVvwTa3blWNCutLvLN6/LdBjBrUW
gmOfabeHcy4iD/CBuyRjhbdGr1U9mrjO4UQrwPLjeyxu96xfRA5OfcLLbB7roJgSbDoVQOuWrIjH
NFlgHDcKWaSzYr5oNhm44yRlPxeyn3p/5OEaLqesQTVWLY4vac5hkLdAhngx/cGHGmQV7/fAXrCS
utob203DUiiJac6jbWDEfeICiEDVLju8zxSLeZwLIhm7WfYWarZts+4tJpajWh4FjEXeAlR588ew
wJgaP5ivbcEWR7ZCyz1Qv8M12rdi0qtYcw19QfGciSkQeeBpHB0V2l+XO5Bd3sFmhY5TPI9dmNeB
mv0l8TsOKOzqsJ7yrTYUSmRq3sV44gkJ6ptwIDsrNIY4+x2Hn5osfbD7+qcxw5U1gRC/sXxTWZrB
NUlZ9ROa8OoPXlxaV1nILP1FWT3X92HaxchpXG4qH8lMaK6DIEJ/Xk9jd1lmIIHFBiHn4AT5/XA8
U0iG9viIgU0LmszaoMyJ6U+YMUa+IHA5TArZEPrMOImyRw3rqTMMIS0/eYiiN7APDLf6dWdRsN5Z
xiSGskADBb+EZFrqQvRNEJWwGzKfYnDSVA0ZZAaNMUHn+0mB/lsEPltVNaOWeGicgvcXnffQn/Z9
T9dcubqeK6iV2f0wNyP7QVUbj5fGRZBaY9Oo77ehbl/xCQX4XFCV7N6HaPOvop1/chSlPxWB/lE5
Dh43avDMvph+8c967qJX56dZVsxHIKssodR9PnSSQMqZQiUu73TMyiWJyVMGudlTN6ObAMiRjbYY
Z+afGbgk7FSLGYjJxGPHT11rDCup5UCFoEgmply0XmCO7Pt4OMXUtncwg+7MSwS55qzKxnZ+A1dS
i9L7WM4/ZDjU4hC6xPjDmNKUPctar+ywDbKWB4U5Jg7tFDjznLKG03MIZ6sN7omdncotTQPw6jnZ
RBlhd5rketomWWVpaP2pt/PWncOY40ji7DYCOtQzrbMiRXzHKJ0oP+RdmwClHOUEp6ltzuRYiGig
EYggnWMlQed/3+7LlD47M8rLmKaZ+vR2ZcmhT3Qgb6IWhiMoB9sJgy8b/yMBJP5iY8wf6BDqrUp2
vN1Tuujlrol8jPe5b3KsrI+G9WndI7a8c45HUygLCm/OqF38rfGMvC+J2iEIAWX5+AGOzkLnPSSt
+ly7oQ/w6aFscd/OcMwsucM9P2TpYtxdZ+csKPEy67SiU5t81r3plnePjrcuwXRLkwPN7HCbZAuw
SDAjyE8sQNC4aJutA6olxJCVbKCZqgLSrrdwe8Lol2jo/9/o3qrs4ernq21uh/BqntmM2J7wkZ2+
cTzCtozSoCNQOgXL9MYvu++KNd42yExREv5aLK44dnTGazTpadxWVzXH8eBaPPmnehcuOoWwxJ1u
4mh4bRWptFj9z6AZ8V4MhEFdmTZwDpB5zPur6mbvEpZW0UIi2C+aLdYXCDA3Cq8sxUbQAnmN7TZd
KMX0p2brfjfCD/tXuqXLfCNAK1/f5MLMcie1kNu5I5S76ZodEkHzqDcWMHDaglAa7HWniy2ZV13E
cx2/pRygZUUCbT+DWrlyIUA+8P6v1Ji5Ml2dlZuY52PCBvi2z9Cnj/f+40ohyOUSjkVr1T9tAIZg
DpsFsP5T/qOGxt4h3LDzabCPVYp1RQuZDlkR6EUUXq02RzfGnwBTkNI40Jq3LF5++Zkb6J24Nwv7
MpYnuMz3jqZjAQUqUzaYyhZd61AOpoRXODJtg0cRtWizddLcyJasrlhsTB7gUgp69JTueKyux9Z3
PgVRC+UgUAhyUNiXk6WuaGCIixRgmyqxS1jCt+07Mlh72WzPigCqik3eNNndvpm5yWF5QUuOae0K
lTnyzS3tTxbR+ifchNhT3MVwWF/JkPcB0k3rGCJ60Ioi0pN/Hqd5eodp03IzSBb86IZ2eg+ToS6s
EHsRREn/bK3GF+xIdgrp9sNsyfMC19FcJ1YXUdzGJZRgWI5DyS4duFGg4W8JRISl/A7xhuSBrv0H
0QKQrddwcJDOPW8aCwBxRqayraHFMg41hlNzdlIroFDegXIQhvVTL7unsFNbkTbRfCT9/DqK/YPb
gFUbtgCPBvqSOVHzdIklwQkftPhD5prnyjRPMo5+2jl+gBHVTZbF88Fu5mHft2zO9zUQvyGGw/aK
Lyr7LrOoAUoEHZl9XSuux/TUTTBalgPmNeE4dsXudv0HNzumxa7s777foZEWpPqC4sRWXWtvA58i
WcGm4j2CYexHvQznkG0PnbZbQbsguo9ddxyj/Ulhw+CMRBHcJnG7H1bObB4sqXteNr++W6V8Lsmc
Frhjy10d4jm1qD5yI1R96GN0MkG7JAWKjfat1t4/G4y5LwnB8RXQiC7Huu/yoIHi97paf5wH9rE3
MR6aa3OedVPeh/rgeygBhRBXPIZD6O8pyUKsNtVTk4OONxcNo+wDkkrLr3YJf0EzKyxAVpmOwZC8
gesoTxMlEFqBMf2phXtqHibRfor9MKg8iaAajYuGxzOz91ZkMByB5QIO3SQeklr6JE+ztHlXDRLa
HE9z3g7GZhXOSJU2vS1b3bL7OWjlz2icxrs9JqxcdXCIkma8jxiKyXnuLhyFWkFjNVRBLAPYcmmU
SGyN3iYMuU/WtFvejfqMzpjf1s7di5a8qJZFJ1yeijY8qbybRa5ruucbD1ihxvZi5/qlbtRahLBp
LxTdpryDRyGmFFJcXBAgci/hj8gsP0NI2BQDaIdd7ug2VpgZzD+xy6nLPiWiyRcnplOiEGmJT4N7
iI0lDyFtIySK3b3tYLqXa9tP8MYJs3wWjR2K3S9OFp6x6Y8A70KUwTL1onBd0pYwmjD5DClAxBbD
P5poS5vjholZB2ZOE0ZHvpB5LCwl3YnZdC18W295SDnPN5QFBdvXD/SScwSOEU3jvMcyegfqC0st
XFu2Gy6nyJRaLWYvsjWRBbMIiXSjzWWBH9N2j3VhkYOUGJcBTELL5crfhCQZw7JgeBE1bY+ur23R
GvEBzSWVQ/OkgYxhQsstWcKXEdplhfCwGMIvYcl+GsKaLZDVj6JDZtV4w/Vyv/rsu9i7+1HrywK3
o1OciVm+Ytc0u0U9GPVPBvoYSHKpm3/Agtn5IthCveC2DCCGru5paJSXJa1HJAceDhkkeVNJKw1I
Tdyu+5QdzGzpXScNb3N4E8VpEbot6vOImAydRhaivtCINbmYIXNs8Shuazhq/WjsRosRlf8zz1KZ
hy4gt2ZPq1YkNyiAxjsS6qnNo3VyVRukP5ZmuvTdDFOLDkWaQu33AM35qBqJPw6T1g+QenifQ/CW
s0Fn+bTuyZhj7TMt1kCheTEiKhKeTDgafEKVFASXrElGetojTZJ83IL+gu6EaVBpuf9HQGzmuNXa
jKWyvqlgkzPmhBkfHlYVChSv2Oks0rRRBxFFQ7Go6H7ECC0nTdvlCRvVwSZj8sowFISdFTxHR4hq
5V0d4X+h0807b/Ds9DAH51aIqayRQZci4Go/WYZzClHKkGMDT5s/XSgsKwRt+ud6l0BIOHqwfFgz
nZX1BiGBs+WJetzVtlTZstVlZ6BjN3rRv/eRXm4Hly4wi1IN3Bz2oTR0nQ62kyiCsEVwoADtvhs2
TCdEDVNl02AqhXxdkXYTz4pm9ImipkCp6IkpSJJkZ7H1+ju8xkFUg3cuXE+7QZyXaLaP6NHWu4hS
5MV0T80ME1QTFpFa8YhXkUbfVjuPf9wMzdZR9ezEVNgFeW2G5CxQiN9CQDYsxDYGz5N26hgqigWZ
BQefgosJmfJhHPNp4zSn0GK0uTBD/xlQtLTZvr7wLeOltHIApmO6C7ibElurpnntakh7Yruvb4Nq
SSiJ81gq+XtqXP8NY0h9a92K6jiZpgtLTI8j1rRznqWUnLM9bEsnN3IJ61meDe2TCghtqh6tGxdZ
KZPECSJ2soEHBPm02kdNW0Kbtn51XPZpjms5v2e+hSFslNL+DtQU8d3Vc/CDhw2eXWs78xqGE0Uj
TSxB8R9TTElZ9xYbY8s1u1bXk+7iPU/MHJ+DZopvxrUZPniDQT/6HNRN6CrTqs6gzzVpaNATqOvd
Dt7w+VRPi8mZkXq+20IopOaQlyLFnM6rKtqZ7MhOUtfod2KaYAZQo38Ktwz9i5vWy+ZNeg80gP68
WuLkML4ccZgb5WArZJvLutGe59bE9hVJJx2KOJ5AsYROZpPkJsNeonZzf9ywGXpGiEu/yTZRb7Rj
DmYO5K6eQMLPbbTDjX6jiID14JJSTRkiZjRu5oBU7IZCiuWegDdZogjP/mDrduwrnMpJ3isbYm/q
us9UuBGAAUjqCVIuy+5xTn5hpdPBSj57HPyCc+vlVvF4yfpc+gERrk12+QIzwZtdw8Czmfu3JQSI
kG9rEBjohckhrGik2BNNwmF9XztutgP8jyOssykKe6B+L5wTwePWaUTimI1iKZULOPaU3Mw+hsz6
H440q8p932cEga2G16ITDTqTmjQvLRceMEhIwMNfh4Yc0jDO9nza+XTfsqldSpdG6AaBh/AgTxoI
E+crAKBD5Al84UFBG17rcZ/KRNYwheGgHNx41qGMYSH/7FGIFENXm6pFZLlXK1N4P1MIl7WaNskp
jWp/qbFg+LpiulS1YbTecNu+goGU3gwtACOFmJBjfUztEJcDkAOtm7HsIdR9jhKn8IgEa066V80R
eUTerbuey5h5U05REx1koGPsagVRk9eOLNWsrbkfMWQqUCSrVxuz4WDx9wLwiywd7HivydACZQiY
/gBMun6AcGiP8aibMpycrjwCZhEOc3MGxob2zgNHBfQCQvDgrxpy3D5JKEGUSRurb6IeRpWDOt8O
RRsMryucFPJwXfc+h3RrfIBN334YFSLySqehXGgcVhpaved1WVg+I6I88HRpczCHccKnzskcaoih
KimCbDmxmp7ryPJ/wB3lJxRK2VkNaBzxA58ihY8EHXtbogLkFV3EK/pWdrBqSZ7iJH1IzNC8kd38
WCKJ+UunSq7jCeJRXf0CtzF5hk5UN+fdBpPUXEK+GGVfJAqsYaDZiQKa3rRzKAuZwPmsZw5R0EG7
FMiduYP6i85ZItdiXkB23JTw2CJf1K+V076Y4A1wQ9jMDopE9SGW2PgY53p4byaJgnqDe4sgDS93
2i4VxB2nJ6Mn/jggB3+HzSBkv8bQnUYGoGJ39SmxrbiXttXYUYdw09atL3tEgzwC0wwxPOouAsb2
b8MoKoPi81qNqXwXU1xRg459xiwB0V+VaJs4mi3x1A2JLWCd3FZbSz/juImPs8EREWw8yY1lOQtR
gtG9WyvIq/6zQ3z2Z4qm4hJHcE+LlOrygQemwjTBPlCbHKXiW2ET/e5Hsl651+OBUxYWXc9FThbv
qk6Ga1nP+FqBDP0RyDw9q8w/epRcRzu1CLphf5NE0W+v3XLsRfoQJA7foBkeF8HvkwiNouMrYKOY
vDcZD45RJoGqQiLwfh1jDWAEEHeubHOsCcMSTrpgHwc7rC/OhPc0vBZQXNIC6s26AkvpR0wESspU
fYRrOhd0Tn4J2a8lg5n4fRQoh1syTbmc9uVHBymxKvHYwBKKFc73vHDYQDp6Y1TR9FC1bbcUSqLh
3t2hPsE7RXKAEf0e6AowAKqunqOXgCQgXs5MIPAfNIfab2mhLfbOBqhWX3FRmvfasjdJgvESuFSU
8A80OeoHD86KfLdjA6RpU7yaTPQwrAplqTQvdBvesj7pUTGMslgb1oET2JjDajtbGVV/dIECqTiO
qhVKk/cNg1UjWemThe3MUx3FS9WuKyq4VsncdLBpC216IM2WlTCkT09i7GjeUvku64EfkthtYcGz
mrzFeAmAqtf2BeLB5wWvO88IKMA48vGBRjXiwdDrYmJiPECd/DnF2HuSjc73dvUGObxLLws80x6D
TGVFZwKEJL5iA2pr+/E8wT/+ZsxGXrW8QXvUWwituQljw5qyqeBqXG4lUcuQx1D/+YFq5wM1q7pM
ofT3Q7iQIibe32DbqX2k4zgh/807vhyQ4t7mxPHwHiCrulua8M26tHuYwybZrlix2X6M4AMUjpka
H1yF99B8c/kKJkwOpsf6sUmB/ZdEjnhUM1Z5nANYPWnpwouuM+TlFWRlAsirTR55A4+B4wa9CWxR
z4uUQMHr9Sls96k/bFJN7LMRuy1In4bsYrhbWCFrYHt5zVDr5LGgWX+vnXDtbUQmlqP70yXerMUV
RM5VH1cXkvY8hwlMhiFUbui3NcjkL1+bNXmLsmt5kbuOp/e9of7sZdKsKFOQAD9m3a3sAhx9TQqs
JF0vMEifBwI31R3Ly0sSoZbtg6GM6Ip29ArHvcb9ktgS+SsCA48TftvSwMpvdZJ05jmEUOR22Jpm
qB9hITwcFyLRI4eTQqu56HUM78TO7aVOQbrGReCPQbAES55hVNQ+bVhFNEDqnL4bo8guR8/obMtp
tH1zCcQ+D99MsCDPdsov9jhhAUPmamNb/T7VEbUVIFDMV7p5/A6iC0NHc62y8k1SOK2NqAT6p2Bi
HBuO2Mt7gMgTJDpzzHTcIUkAtn5OM3zfbzZBpr1sPHyP85bsy/oPVTuSMO5I7A6pEPb7lGXNaam7
/lmF/d7fpMkkHxpkJVyMmLfjeSZWvCx9g+Y/ynz0kmodf7PM9fuxWa/VRSMSSPviNgITHePRwRcX
0vIROrotix51PNMHeZWeP9i47gG/z1vvodcHnv05aSOp7pC7R3ViA1SMz5oJesL5QvYyK5hIUuj1
oQNe8Luns7zFWuKAiVZHsbgAh/Y0hUWrVzA+QL/U5ktsmITDQydlqXtem1OIaAGQFFzxE34t/+bQ
yYTnBbqu4ZHEcf/I+AQpmX6pPRbdr8rFiFD1+Akl2PlFYj3s2W6abWUz4A1hxm/t58yXgJRouxl5
hO16ctKKJsCI+oh/s1Fj5D/O9NA/QekIH50aimhTXuPRd0WduBDGtRtmEKPUjUOlNtQ/xNKb9k7B
AzgqMytGXJOWWHNjiJKXbBzVbQcdyKCCi8qw5HABq+PHJJ7WogvmIbwfSGTn0rcmG4qBtJ8hhh6q
CGkthwqu7O1zxuMQ29Kj8ic0sozmC2cAfBabQUO/Q3LLMatR/zSUYSrSZoMrgWvvrqyd2v5ZvE2+
YQmS+YPEMO7CaduRfzQFfly12WSxJC2kOCZYxL4odLnjlciUvgYGs8ZbL2bviiHc6Py79yJmTZ5K
6ew9WfaenOM9DsInxXfeVs5ALe+g9cAuiNXJehkaaNDlGXXWFB5albzY4jB5xMvgCrOWYEQh0qXY
xIWIRmpLLfkzfGesQqBrKRAGukeA19jcn5Z4XE2hUIuBmDS6WsibOarj4DMAphwfer806VV3EyKr
vzmGHuoGw5MxfCIECFDZzqzrHk23Y0S4IfccYxPP/vo92gPfTQKZvyhA7JRWhaaI4Wb+Ckqpf4NO
vL5LV5ceFr2v30FIAIA9IXnf+IRPfYE1PuFyYmoDq59oZb8MSsbnAbOyl2FddHbuxLCivadBEjxb
bqc74vmgS9zZ9g/ewf7DyZQnJx4TAqVHs5mCERU9LJv0T92GOXur0V3mREu0EkyHoTgTVQNrArbf
alSoAGxKTWXymtFpeUDxHz5iLFSrvBVykdACXbPxLRw2kRY2201dxIBwr8VGs05/KN1WcgipgM1p
NrPsqZXLfkzQGcB4u8W+ku6cuo8zjgEC3cdD4LgPETW3FNB+S+lQBJJ35DzThAqMbceJKUAsgyJv
Jl4Z3l0POVR48y5pfYtpsl4evaUJUPt9iYPfgvfiIwPgezvXa0KKDOIX0c1g2AZ2P3BrWWyAkDBS
lCl7RR832cp3kr/MJJ7OHh2wPyaxzF7D3qGthXbScPbNrvUfCVlOyD4bex32YipwCrZgR4/ld4VC
OOXNixhDm9eUBG21x1cZ5GHFZD5fXT19g7zW/jPDn3W+N3wJ8xB73Z9etYE5zjNObbWiTH0egEKg
V1PC5p4o7Hl7vo300iCGIQT4FJDYgDgtK0hdd0HRSY81bJAGe3EyK/ffnGuyX1oqlO+Gufkb6tD2
G607PIh62QwWEjGI/a3BGhG5QjqYMI8P0qyCCiC6Ox5h5NI1dX+uHXb686jz/SM6+v3G8j25cV0I
rTrYnyjOym4M673oh47+wS4Ubw7MDa2CY4PvTMFBJP9stZl/s35g43W8bpbzDjT1z2hqWVdUA5I+
TBQdLJBmjdzbTypAqo02+tyZEcA1TQY7lJin96owWYxwoUOC1LRjYl8DqRbZmjekzt4AzDXNTaMQ
PwBH9aQ5gU83gvcpHEVjPzbdP0ssx1+q35ECMA3cPtcRI8uCB4N7YsK79BbJE9MMOmtMA0NBQ9Sx
szsTovmddX27XKylMipaomGxM80esyMqY/l9wISO4USD+XiExCfdqz7opk8O5PM30UmobzLoP9el
n1rgxkQYxHAArE17DEIIExdZh6F2gTtLo7IxGIehjNzFd91F+uds1iG47LpW6aHu0v4Tk/o1yfcl
64pQpezz2n5kBSj4ei2GvnYPwTzXqpg4NkMLDNIR64N6fo01+BeHsUsXfawXgrQc8XqAJvIeAwQm
GHaj2kqwS1o2gdOqshCCC6vNAACrUJ3r9w1j5hzRJcJUe9LDIeXKIdLKzdwjCJObwBFMdNN1+wXc
OOsLGi07gMmgHr7BdhQnZpwCgkfq1jg4Wjphn9pxkjQA47opfRGQHuBnBNmQ5zQmM9jYVMjviVuC
V0vI0v1ORjA5sJCw7xNgC1Wbct8mLH8vekjv9qlZXUnHer7nbbb+2oEd7IUXxtNDbx06RLN1MwbE
jkP/fIeZT4EdMkputyXY0P4CRzrMZvE3zuK/PgC7AmyPtTWZnozsenOr8PE9oqLEjZjkdZ0tJbVA
QWNwMtCXbxssJxyBe+WKOtOgz4ZM0R+ZEjRh4xRtOidbRvnBpJn5XGoOOCCAxk1URrteXzA8duEh
aNW6Hq7aOk1J9mQBQyY0wyukjJv9WGNl9XezBmbJVZxZVq0zircCQpWme+qomDCXUALIH5EAJXCs
lQEm040g9+JV3E2Kitsh0qC5ByqufT5RrJmdp32YZoxHRtTt++rCsUpb073ifgTBy5p61uM5pTYt
N7TfrOCM9SCUoM14S81Os9PsAohIiRQVTV5jLc8+b36PZlSjyg3/0EH77IBfYX8guMEZu5UdZlaj
HiPQMpLGJRVU6XudQyVAJGDwcBkdKCbQSwH8ov89hY5t1YSTsObAcuGOEThMsqqomeO+bEmMxzon
e4eiPdn974Y2Ib/rRjRtaD+Heb9CU/G23CeA3W8ygylYsYVMzVXXYOBxDHw9PDjsZn9P6/aqBTLP
0btCezodJrBC1nLsBt6XC7qQ4A1KdfP0RHvvkpt2dBHWkgHSRvxA5saj9zZjpL9jPG7wL0Oc6k+S
tH1wjylA6g6eYA+1R0WK/akcuAASE1SVTPomFMoIME4gjHrpPLJLCZO2CI1+Cr5HETdINPcag3CC
eYggc8FBA2zuvCQInGFHxm9RZ6L3nm3LB4ig7pSpvk3w9fYeXALG9Hp2VEdd4b1OroM5n7LfrdRr
iAw/o6LbUe3hCR1Doajd8znYU12ZXbG0RJ68ziO68RG+mOOLMC1G3iRk470lAh867kXbAhNel9eR
NNArHDf76mMWihJ2JnY/p40efmxNEvVFE2ztXuCFI5TCiD3+H/LObDdudMvSr1LIe2bx58xG5QE6
ZoVCtiVblu0bQrYlzvPMp++PyuxyBM0jtl2Xjcw8OIas2PHPe1hr7Q4XPVbaNVImgMrkpnZx91qa
I92awpSzt76eWM2h5wa3t1Llp2LNC5DdWElgWSsDaud3cjGtszZxyUkABEVejr2CtHKj1F1Wneok
8N8Gg6lLq7ZQCH5brtsNV1QyXPPus591gsVqFRgkjIHz2Xct6PRwXWem7K/9CKbDKu0G0lepiq96
tJNAJjHdN3F+VMqacJDQk2vXGrIuWpFDQq4wzdjasZA0+IlRGd1oTR/1exe91ORTFVDLu6J6yKNi
gkfqV2RiRbK1LKeRx04bTbQZtEiINw1zgTy3owT2SrbyqrmvazQHkpVvo1XFsxEY3jtaibhg8dyq
+oDSlLjNLDV8F1pe+8hU4Rbr0AbqK6vuvRBPITMeARGqwBQMverhRZeZsaUWatNGrFedp6gwennd
dp6nr0kamF+E7faUR8Ok49iF0nAqtSY/9XpA+cSoG3+bKqHypVCi/r1sxkHyURSU7Q6l7fCR5BjN
4tDKtBB/tuoggmjssGzbUq4T49qVE9G9tXy5eK71ov9mhWnjgHAa43SJu8Dd1amidMDt5DDaVKaq
bBw5dpOthNjMsyU06t5GqWXSiodW/gx0cOA7xoFB+/Laqd01TRS1Qx849OcyzHBvqfpz0rV0kmkM
Sc5oxyzx6KkleiQrFZkHdROC9cjeOVVpBTcKx9vYRrbiPtCTJs0/WLVDBj2hKaO+CWVNvcYDy+U7
oDJ4uSun173n1snSN64JiWMzFC7vXDJED3Kjqena67tY2iaF1783wQ40DMIlOnHdNIi3Gq0w3Y2i
Drq5zgx/4EbIVS+lXZ+eFKs2MUh5Ct4pbyWoj+qkpI3UuaoqKfwsU7TsVnWZh4L0VVsjEVMFebct
PJmiTstpvPZl2e62QWWpN4aXRw9FpuDUyyVlekU2nQHAX09VqB3gIq91Qpb3TlD26lUglZ5DdSd3
nANAlwGvzRQKZWiXmuQ3+BUpeWSb7bzWikFXj2E6joIwP7qLO8m4ze2QnKOusj6yE2zSQPGpsJeN
dZUFgMZQfapypoHs6paG6mXLG66aBVmuTg0PoVSHN7hcVbtrUOq2+JK2+KY6uv8hK1KH/EUnFST2
5FLa8e74yS6ytQjAQgaBaEud2nrwGregTG+aOa4YOp85BVE9+iJlcv0xysaUErDvODkk3pB4NEPJ
SE0GpeUXO1s0RbHzasn0Nyq1BBfcihrx8FVG8QH+AdhSLyiLcd4J8z9Elpe/72ua2d86usqxtgya
Z60CDdbdygNOkmwMO/ef8Nsqeq+pOdNf6R7uumV4hNpkDJV+yx1BVt+zwoCMcClpX/BcNcpYjq8j
e2dF4qOD2+WTPhSVSoY1U6LdUJndm4SG68G6bJTysQUP+eDUqojJb6jVRqPRpLbOm5wOEanihNUm
9BN8lL5La4pfhJDcRK1Q702pImnshll9M7bIDvbESm5Ju2/qzTsqc0N69JKi7jbUeDSKj1GmyQeB
7xhs9F4aVeCHKH/2as+8awyCUaAIFirocTLwsZJaMPmDEnn2WncC7UqiO0B+bYe9sbZdOFPbKk/J
wrUQruNNabnKkxRG3fuh9ErwTIVIh00N+vQp0po4XeeGTtdDVfdIoNVD59Cg1pbqEhDsUJJKEZH/
1gNIPE69EX0LpbD84mQmB0ludMBXSKJcA3JLom1pGd2zXxZlg+eVIchS9k56EzqRqqylOpfExqaZ
UrNTFTPNt24jpThqOC3GjgRXV+78xo4SgvzBzPat3OUd5VW1sKHrp4n5xrFKxz95fsWtpCSx3lE2
1DKXGnUYhzQtbYe7FBkk/01tJZlCIUlTup0cBnbFCz262rFeu9q6QuAj/RiDHu0W6LL/DlM+oUY5
tS4YkT2SIbIODxvM+lfNSsqn32MKTLgWvTR0XSdTpajEEI9yTM0p7lJ1gXn1wjafAaxPhUVhzNNQ
s/flveHgsF5JLqd0X9lAAVa0NvPyTaxq+KWEwP1Xgunsm8gjrdj4MU1Jdx4hVrzlfU/Mq06XjN8j
m03lSKki+qkJ6pZLBFi070X9RgRLfTr+DXfFmDCqcP6V0NLJmOSJFn8K4jb/2pEyH1ZalWfo4Yic
dNNvLd1UntT1cjNMbHXYi7Zzr3sp4txphfL+9z5dvyRvCVltkfgrhr3SQ8LU1Ua+kuXU/z0exlT8
1E582VXoXL3vg0zeypVIdjQAE79H6pmqnEaFncpWxHdPhR0j+WhopkIXnsBboPj/mzM5VTmVxhaL
hdn2ewr2X+WoWdV5cvt70z457sQZako/1GHPUfwc2PaWTtLpb26YyVnP8roGGjsWAEMjoi+nIrYM
I/0tJQ5lqm/agarQMzkY9nT/C65TNy92+aD9XosaZapuGg5Z5ONg9Pu8LPzvRlZEbws19f5pjvCf
37r/5T6l7/6+ksp//Rd//pZmfeGD25n88V8f0ph//2v8nf/+O5e/8a/9U/rmMX4qp3/p4nf43H/s
bh6rx4s/UN8mQ35bPxX93VNZR9XL5/MNx7/5//rD/3h6+ZQPffb01x/fcAGq8dO4vJI//vnR1fe/
/lDZtP95/vH//Gz8/n/9sfLq6vGnv//0WFZ//WErfwpFMzRb1ui4JPRxm7dP408s609Tt2TFoFgq
awjxcDkk0A+8v/5QrD9VBTojba5kYeM/8UtlWr/8yPjTgNjCP4ZF3k/m8/7v97pYmB8L9R9JHb9L
/aQqGcd8x2e6u01opa6TOFRadGXMkLfHVCcV46s2BW9fyuMD7USLo5LL5ncAqiTnAM5bISkzWmiu
fDUW1b1Puu+jJOsPnkaik/Asq3iBqq4MdybdSAFS6KZ3W8GFiqCHm80IbpLErUXOLtt4cmR/7mh2
86WFHnFnSTaXy0rThC2vhUpzdoD2mfV+aEnjARshTXaKi0A/lk3n3rmZKTKcEmgbKxLgBgwnubJW
LlBEcwNKPjvqjeJ+zC3F6cn8g07CMfQcDWwqp0loWX9nFHrvvwN36OP1qHlEjbgw7WyLhkOQrEsD
/PymjsqwANFoJR9C6gC3MBCGd1qStkcVbDKFq6gAcp5HK3UwkhsPnMeXxnD7o65p9klpFf9AYqFd
R1krgTYtaTcgfCP96tRlsqOxR7PO6VC0D4WX3tDJqbsmhvC25CSQgiEP4Jq6d5ObMcl0UcGGA2Q+
1Hs975QD8KhVjVDAhg7kHwvNcFe5RS0gBI946HUdbnNk+MbnyJfSQ+i62qkzO2gaOa56Zerv87yl
w4Dj1mutlgeaj/bFurBsQNKafpMYavfNGQsMkdL3b7QQuJoZVT1lWEn7kFkmuHQ9JxYAsNDsVUOy
N7HV5A9VJOvHHPAC2MW2Mq/GDHSxynBBr8jndNwUjXiLDKpyL1OV2ZlDTRkvDYfbQbUJCQ1yoFtN
wt+D6RWUdxmePhCiBu3SvLTTEiCEx5UohTQZguLC/pHz6zyoDrHkumuJThfEV1a1SZtQu/bI7j+Y
5Jc2jSY/ACZurnsRajctbJ8Hp6mTjTygiY+0LmoIRZaDEAQ0s2482l5pTABOtYccQ2w8BKlvrOzW
0w6mQRqCTWmbGphWs/FWhM0t+ShArqSPddwhZJMspwXKxWDw0VPte+UlhH+t2+OytalPLt4ae61o
BDsZ2JobIObStQqEJCKfXRfAb/siLjd+3srKgZYPIKndgMoONRjnjlp6ku0GXTh8X4cCL7mKXH1b
9x3FZcCx1CuqSDHhBOoBKSjEolqIgbG4cRHV/0gmyAQUEMVNdqhdV5yiQpc/+LYh8UYmVrs1KqpD
KxJ9mrgrQDyazQoOgVLtpDwQ1Voi1JL4zdw9GmFoAJv29PTYkvbdJa41YsmEJt0qLnABRUG3UFZf
jl2byzeUCaoH1w6yG18pLYlBpnW+1gW9Pky6Fe9VpHTiA+i/ZCtaLbiR6tYDadIm11Eja/YmpdxA
FYYlQkeXjgw7tBYtEgS9V1GE8KR7WajJDWm4ogJXJ99peqpwKeV05/ESjVBMTez2ytAb/Up1MvFs
9rZzS+fVuNj0WaV8gKNZQVQETyI2nugtc+tAHSPV5DjFW7T/BJQVsH06ZedMCWnDWXff8L/pq2eR
slqVlRS98wJIjTW8+WYV+C10l64szRpglZ6+HRQ6yKcG3DCybyN6znOhJ7R1epUZsaGv6qBFFjYL
IlOmChR0LfewK75U1kj8zO02OcIKHo6yaoECqfyOkxoAYXzH5upPSm7mwCDSIQs2oUF6YQVAw97k
vC5U6iGTH8rG965VSr3vKgplN46RAxmKklQVK6dulFPfhLIAuRoG2ySzrHZvl7F55Ui0MF2VqJC+
0R1hnmSKRfE6ioVxVQJy2MSunm7BvRFcKoi63BI4U7W3QcJcCakhBREkln9tIWp6ii2peMhpDdZz
HoEsrHynv0tL5Z7eF/57w467z5ll5OjCtC7kS11SDo3TtX9HZv8fuySjT/DvXZL/XZdV8Rj5iEz8
7eCMXsz4K397JUK3/xSyLQyhmlSZXxyMv70SIZQ/bUWYtoXIr0wHD4RN/vFKJH4HiVvd1gwBAFq2
R0b8P26JpKl/mhrnEZfGJsZQESb8Bb/kkuqPadk0NAsHSFM1i05JY8xwJnrhxqlZ2V6rnMy3CeAD
KkykSj6loOyXZPsudVp+tjSJ0AbX0aiEcRBCEHm+vHX9o8F9vE7FmyK/ljR9dbYM/3hg5x7XZUj7
s72J30W135UjFXuV+ZaH+4rMt9MtCb7NGdG1MaNho2yi29MYheYIupT34iRTUg2iL0pMD4Zg76E3
+vpoxtn5kZH4ezQQSRRd11l0COOX6wStzocK5iqnpLSuxsqtZXl4Igvx7YwV3mtNMwH9G6Y5FTvj
HeAijVPt5HZN+wH2cQa4xwfUHpXqL8VdLwPCFJkgQCwyW3mSeTC7IkjcqNBOeYt8JkC3YSz9OQsh
78z6mJog/hKqwPWfBu5NqmTQzlXtlICw36iN/qF2WwATmZXd9M2iRN+LVvpkmUwdmWUiDU3RtKkq
fGO5Eu6wpZ0IKMAcUpSHaNKmIlh1fuf6zObID/P1ovGBhzXyMQzd4rEu4i7clKld6ls4cA5ZTQ2h
sHVjZuYjz1YGf0SvJA+MZxB8SLtqWPuqHDx7edH6G/SLm89g35T6XdO3NgzFEDBr2PHDhU34omM4
HZ4hwxHj0hIat9rlLiQjDSB+qLWTClYTHxr2Xei7FEgtja66JhUYCR5T/SVzquEYlVK5ygtLXUiE
iUs5iZetYxsW9ykxGxzWqWA9XWpzgyZj2klRSaMqtDzR7OomsHqfJGuwA+e71bMKBgfUpGJYOvJz
kwB1hiOCDhrqQlMxNA3Rdiqrg37SYOTA/8/620Tckekdtho8xJMfaBvZkvONbQRXoVSob3WzMxYU
u2a+hQWZ1FZ4CRSiyqn8bWUpcGKAVp4UEeafjDqhjmJanxtc+YOvIDPdAxK7gTBV76mFZFvhgGcs
O6BOr19Ml0klFoM3TbNVU1bZ9Kap8/KdPyCZalM8t1Lp2iDjvu8pHr4f9NZZuJh+XnPM6DJAdVad
wzwVAlQ1UaooUUrXhbuhrHTszOy7TclwpRoydVkPqgfEPrabf+P+Ukrx7xHqQuaR5BqxzZ80wlMR
toU7SNeWOBYCdqex0KTmp0tqHNsPAy/yKWdvcD+4hRwqrXStKLdxf2yKdW1fyfrCVTheqBdnVwc5
RydH3YKZidsxTdVFpqhtQLbXVaOice7r7zWp2MHMCzZB4IQH1yIsfn1vzAzswuRkb5QWJPEyNO1r
822UfxbKvRXel+r960Z+erMm45qo2LQhcK8mNWxKvl/a5BGNijZayG7OjAPnTSFHpAsmz5y88rJq
lETlvneSpAFhEmttKwA83NtG/TUpnpe9dmFpskgt/QqFMnjeiUZau1S39rXfPbw+XzP7YPREDd55
aDtkxS4PbG41ShfngXeiA6K3b4b8ikZMiAq6BhqqWU+OxP+1HlJ/j4rHfkyk0bpBMyejaqK+ppxQ
YRJGVN63nwvDfPf6qGauIfPcxGSrNcju5Aike6eiLzzI54ULl2bJpfzJhdVV0+TrcwfZOv73xAhK
THWRUbU7cVAdtzla0r7nOa/YBol9beXvKYMvXHxzWw80tGZBjDIVa1qRqhH7UiIYpCdXuaEGMe46
qb31QSf8xvz9sDPd4iKjvUODksnJCIu91opm5fXxUlHwp2BjnD/8SlvYKtow056YcuQg0tNgRLw1
km2KzEsfvW0gKlugyfIlveTZ1TqzNtnoSNyag5/23il2Y+Qn4qMo5O8xOfjUVjdOIODFZWukpBYu
vZeXd3LRXoxy4tmK3mgAOGO38O7kvKKxbb1x8yMyxjQg/0R8vwlJcggB8a2GARhee9GT6x1iytG+
9KUtbmL/W9toIHerG1rRIweyDYxwF9sh7AwdOmq1SSx3JaSDW/S/cdOdr9C4gmdPUSWbuRVHsgfn
2tsJfAqmcNMBp9Tjx9c33Nw1dG5pXL0zS61eGbXesxe8+hbi8Zt88L67xQONWBSobeX6dWvKeDR/
WhTTkm3S+bJijQH1ubnGrqXWhAt9aqDODdahTJ/t8osYIB729We4ah9cAtIu/yTB2NCBGN4G4He8
oqevobmpk2PQ3KIQv1ZNGouZO3exBdDMM2aaZ19wMvNOUHuoYdnc/Glk72QczDd1B+tQG/qlZ3nu
rrRkHAGT0IuYcnIwfBkBiGxU6I/SqNjUpCZWtabFC47h3M11bmUy431DKaDSO46B/1jWxU0rfal6
7Rgrv9aa6e/XxSLXaeB8EhBM/fEgKvWQ4Ng7hfIHuHGbhvL167tnbm1+WCBncrl5AHUObdEwFFKQ
K5rxrazi9nf8GJO1UGRVsyEaTZut1GnVD4U/eCdH3Lq9ekjlnJJJthB2zw5FH111gmKcs8lQUj9L
1KxyuILZ+lLzMRu+tNlCbDJrw4BPRHRiKJTVLqdLMVLZ8IEPnoLkxhnUdVjuA31J6frnAIjHxDqz
MtnFlGkYIcJcp05J5FVcacqmNFzvanDcbOsHyo2hZp9AzKOGpX/WyyreumqxpKk+d4udf4nJJu90
V3U0haECEZdWgEHsTd9BqfR7wC+WBFc+bZeSNLM2TZkInMyFLb9MzNnN6fg9Sk81S3iFOtsKAX+k
KhBnUN72d69v+9kTfGZovFPPDOmIDRWNOV5JDUrK6qNOXohHaujb33ByOMf/PaKJCx+MUUuD1tcp
td9XDc1G0fsA82dl2fb1Ec3uTFNT5ZdYldDwckS8bTbiBpJ3SqR7NzDRgbuX/CUHYHbaLEGIJY+5
IDHZE7SjUeEpBP4pUJ4B1MP9eWNb0Qa83sKj9tJyY/qoWRZJYn3MAiDAdDmcrk4ks0Az7tSoxgrZ
0Y0V7/P2JgGbRPojOXSQm1aDvZGTXWnDGF9YtpnZtMiq6ShI4BWTC7k0j4xG4JvQdk+BfV+p9x7x
19JVMhf3X9iYbA0ksaDQo81GQk3a4wWbRxqkbrNd1UeHHjC2FH2XLGVhm8w8kJbQuYsFKRayDpOr
pTZRJfDhR5+oM94Gub4RsrHUU2t28nCDMWNTzp++KY5ZV1KJEuMJyBxUhHtJHbkw+cIWmR3JmZVJ
5FUbUlB1agJU0KFWaqK3Qpbu9TM1Z4IsFHBvg/94uy53AeRXr5PtCt1V66ZOip1LB5TXLcwcKAJV
susGeWLLnuKj7MYDF5mU/qmQP/rKTduld55yo8rRQmJxbkm4GhQVfSYhOMGXI/FVp/SiXGc/G09a
fCe191W01OlxJiih2PLDxuTMwDuzBFh1/wTmuT66NGlcAyTP9qT0j3FmPgR2Gd6Cx79todWtXp/H
pfFNzlI1yDDdGmyX1ju7+Rjonyv7+XUTE+TkizN2Mb7JbhgsX3QdOqQn6boUaOMjAYe03spxkch6
intouejaUysm9DLjpcmd2yjnkztOwNmDVSkqIoet6p/CGgJXghrzA8LcKzv89vooZ+3gPpu2pjLk
qU62ltVWiOgHTtQno3tsm62Wf5Dlu98wQqEHwCweBl1ULgeTdnSk0sZHUTUPWrj318K8Rlj8f2Zk
MmNGIiQ6Npo8iL3dbvXSB7GjwNmCRDxKoCy1WZydOMPmpeftpfY5MUeTdSnO6ed4Mj0K+u6oVXyM
8mTjK0tbYcZJokJgA2pB752k0+Sl7zRwCYXJu1GgPopHrUDXpO/QRoOrGtcL3WnmHuILa5ObQwBh
QEwLa0OxMR9iuFdFdIuMIAUmr7yuA3WVdfdtOspdbV2aG/W9tnBHzt4rVNFkeBR0wZ2mppIuC4EP
cEd2iIJtFYonsFNba1XAENkUAjo0FNphU/RhSxfKrFzYrLNXy5n5ydVi54qAQc0E0AUI8V5z5Uj3
i2nYF39m4u+QBzPGcrWpaMq08zVKV5Yk18V4QVeweN7mDRyqDv3YTz7Pm108mPcivcIr2lBPWwhq
ZnJXFuo/Ksg4jcqPPtm6tWyQFPNq//SxT0uo6ekqQjc1Da/NTt2hjfrrcdqFufEknV1laYCkS4T0
zkmG96Wbt1HxNPxaq7u/7+rzIU0cVVeTOhNCH3TN5pimj3592+sLszZ3DM9NTLIaluR5ed6MJjaa
cpMo21w6WP1TKRa2/6yfqMHRt8nwwGqcoiyRZGxUq2f/Izy2xiWGSAR+Ud4EtfS99rKTnAyw+Jur
Klzq/zlvGq1xdsXoBU1NZxDVRTo+6XHmqohJoDRnt7BZfJGBvBrx1i7yk3vye+KkFmW7N+LYXZjn
2XeXuIZKIBrYoM8mE42EuJ/LqEWfSgUMVJ/ukPveDI36PfaLG5UFoG3W1Zg2RERvG0n7pkWwUF4o
Mc3dAudfYpLTk6uioFdv559ycWMXcGLK28Vi2ew51GjRZJlj5DNNVFt6GTZRleJAFQKqvkOLEx36
6raOBlT6slpDMKK/lvVMW3j0Z7cyEocoulBCgzFzeSJhjcZpg/TBqcoi+SgabQ8FYFhbyERsTFe3
gBN2/UIObX5ZATMThHCryy9pzbNroM76hl4JOde6Lt3U+X3YHBR1m1bVTkgbm3xkDcs81La+iLZk
lbbN59f9g3FQP924UFQtil6499MmqDDEndpoxiglcG5MxGIpTy0c3dlNc2ZismmswDeMAlr2SU4/
Dlm+HuQb1cgX/JzZXfPDyDTtVXierJhI0Z4kqMJ4p0H4vgM3GJf+beN/i6KFvTLn57A5Ld1CVNYS
U+9jcBDX6+2MMcXHoe9XUXQk2+zFC6/u7JYEz07HQPBF1PQut2QjBgstJrYkMmkrYFwIxH5B53Ej
/OVzNzskVHkMg8oXeUPl0pYY9dKiDlsB+mo+cO4qfR6ZhXq7dJXNbgjaG8gKC8aVPjlo6AhmVYba
8SlFmbpzvnv9TqmRgbgeImd9ZaPTSbHNrxLEMdcOHpaRNLu2//76xl/6EuPPzw5eUpk8JoKDFwSP
Hs1DKv84+F9ftzG7KckSjUkAAHhiYiO2Mk8GwuGfbNwz3TogC7L28neutzOznTMsWJsf0Q9rk83i
OiGA8oI4HVWXvECpqBSrzLt9fUiz98XZkKYuRaJFoR+xdpWSrw3nC73ZVq9bWJq08ednC2OqwJvS
kklL6nVl3LkxBF8k06OmW9sfi8FduJ1eFuGnG/BsRJPrCdX6oOichhxb4KwRbw8RFQzKt6l/NZaC
av+YdTS81+W7QI/3ulpvPKTFXHZkuAT5WZjb6aUSGqJFhIyRe9GonnnrIJH0+tzObhGLAj3MCar1
01TOMEg22gs9t6RfP5e1OVwNho62v5ouNEuavUzODE12ft7mehcZTGoXPoo4BCaNSx3HSCaVC0Na
sjTZ9cIpNDByWEoGHenP9EjpBpjDJkkfX5+72dU5G9Jk51tJUtOSo+XCGNwWNc0nVJWW9v7S+kz2
fq/FLUpw2BjM+9hTkVX7StuY7esDWTIy2fBghE0V9jPJTxYldJ5BHCw6cfOrottkj/ErLGuy/nKg
lTEdc3CZRURj3QF1sOde7k6Vv7DR5gfzw9Bk+VU3QbjaZcbM3LiO1SertxAOsxY22ew7bI3cLpRD
dOXFizu7k7IKbZdewflGu8gExaWaK5DfKDULZIcjX1xbrljqNjo/sh82x/14ZjNFfaaBCO1TnHmU
Rb9lx9H8aeH2m71sQTkCcTZwMaYXAqIFHpH9QFSRPoc0lTKag+Y/NfK6MHZdIl/9+s5Du+8F+m7A
vZvsiqRC7s3ubHL9Hr3gchQKNpkT0JoL8YcFUy9FmOm1TgFR0wHAk1yeouFKulnVNEPxgSQNCIqg
OMWjFULb99J9mu3tajcGkW1YbkP4FOZwq5v1+6rWjqVcrUNJRgkYiZPXxz93KiCtQRnB9bEBRV8u
qWI1SGeFfCcfehaunEiek0paoYr/up25q0oH462DWh/xjJND0SIgXnVWFJwi9653nymCvf75c7vm
/PMnV2HgOWSeUG84pQnIHoOmE+EqdB9g3K7pPg2zYPO6vdkIHGw38EwhYHJOwR1eqGs57cIZkN3m
yHKH2m4I4ZcFXWoeXMhEqADZLtoOIWLbbhd/6m0wuq9/ibnzOOLbgIaRdjSmjVVVM6xS3WDQwv2o
uMjcZEfJ+Pi6jbmFQ51M2COThGtm/PnZmQ8RvKgGJUV9NIrvS6J92nzl2W9cZlzJhgrrzJTBFl8a
yf2ctmV9EpxoqKuta9lr1ijXeZsmy77RwY/H2ja637hnKMkaFq6HShpxsiPJCxe9nPbBqZdv3PK+
0Wm1kn6GOkb/hZsezfvX53F8wqaH3xyR2wrRjCZPWRt+ZFOj8OrgZKE6man0V/ocKIcuOfid805k
74g/F3bHrEVENhRNBUJKqHY5qYg7+YhGGMGpKbf4PCkEuxXk13WquaRMzZWbI4+sW7vXxyl+Poma
rMJ8gHFALZOi1qXZEqHOzOtcChXfzJ0WbfL4WkTr+qvzRIaG/iV2d8r7vdauYSI04XEwaCwEvAWx
64UZ/3nn8kWI6WzQ28z3ND3VAiZEvyf3TnZ/quWNSBY20ExqGAPQYwx43oTd2mTX9gixqjAgAAG1
hByVvxkOUuG8M/ocJPV92z31SbZuixxNf+dNXxsL45udaCqTQtiUD9UpJSHPTKNHfNo78dagdIOu
EhX5hjY71RapN+qKC/Z+9jiggOFHcH8L0tH6ZLiRSYMk2OjeKTdpBtN8KbNu3bTfImPnxcHCszRn
S4dyZI7VcFhpk1IKakaxl7rAQNQm2yrx++GDZA5AoVex9sv5Q42yK8hQYGkAoKYQKBuFHxou4wBI
2nMY4ERFR0Hvm9cPxc9HEXY7tyeACYWrZnq/QamX/CEmFVT5lEfi+xyRVvuxNx6l5El5sNuFiHhm
Z2AONYIRaz3WlS+PYIFos16i7HBKIeY7krRRnQeaFyjhlYWSjNF8f310cwfhwp5yaU8CkeIniG6f
hBHtMkesm0y/Qk93b4nmowpu2O2eh+qLhK4v7VS/Llgf993lzTpO7o/RTvZl4Vlda/WkTSRPOphW
t0oHZ+eY2bH0j0Ho3Ng1MvuZdUB7cqfI6SZrEByDU7HwNcYt+dPXGAtEcJVkjVW+nAQIOjRBGjMr
ht1d0TCCthNf+uBjH/l7JMHWqvoZsWUE5Zfezp+dAA6lbYPWJl+KXzmx69AF2rXTiGsO5raFZCwl
HOrcS1t4JikBjB6w40hIIL843cOka329j0C7D/13eU+HyMzr1yGaup4maKi3utevDGQ2D4mETvdC
sXPmOuCaJfluguFmQ48b/swJGS+IvHd9slbmt5d2aMGHoniyg3dB8O3Xl/HC1HiUz0xZZq1ZUoup
vH0M+qdUf+MjDW64d+aw1wwE73dp+rBgczwfk61zbnOaZdEGNC8opnBeQ3qsvvH0g59eB86++1oV
d56urfhXs8mg7RcMz+xZEEe4dmPSkyB7Mq+uUzDd9KgkvXPSmic5fwyfSvqrukjtWdUHDcnCmB4b
r1sdHavpaA2ovywlDEmCgcsZdlJBU4SO+LgrtmNi10EWO6WqoSwJBM2UyMFBnlma+K5WWA6KO+bR
4qFew2KUyocEcVlCLtWGM7tOJcRD5Wsv894hJ7r37Ds6efwywIfvMOKUYKJwTl/iiLP91JW0H0OF
l1yeJIl1IbXZyqGN7MpQg6Wu17NHlJhkJHZzHUK3uZzZHgExRCF6HyptutbU6hBlb+nSgVI6bRhQ
eLE+CtquRaazMbWYnurouEXhyQuGbaE496+v8syTx7h/fJfJ3BtKE6h1Sl0uIWWYJfbKsR+R0F0Z
xijwHK8C+n4uZrfn7sJzo+PPzybbhpY1hvPcwSK8tzNr0ybmzvpHbuBCAOmc5T07NJtSuaYCoyNq
ubSCwqgOicTmuA7iUFh7tbY3VWVsLK1AFBmtU3Ud1PLh9fmc8WYJjSjvwPzC1ZxWfNOkqQ3E48m9
RNAk0C6XUAtX64VXbO5snluZPCYKyi4WCjD+SZGiPQLbhzq/VZHCXsQBzBoSXNwwk6mey+PPz1Yq
7vQGSVOJ7UEibQucL9unuvlMh61uR5cPa8HLm509sg7aGAsgxzHxiKpBt9o81WBR0T+sHG6RKdm8
vj6zAxqZh7jHOoyPydYL6xIkpcQdHiOdi1KzkNOt5B4Xs4sziQco3meGJjNX01Fw6EZDwtNPZuxt
c49GM11zRZVgI8qGtu8Duot28I20w+f/2SAn26NTdbeoxnfYGA4BzcCidxna2ML9R2Ps356w2eUi
riIlRR1Y0yd2rAyuIMqj3gl/ag1ZR42H7esjmXGRYW+M+lwvXr85eebRd6J1GJqlJ0dJ6PV654wS
VuJTVPm7jHKz2S08tXM3E2wRwQbhf8xpMK5G6NmqJsyBANl+dIeGAyrwrw9pycRkY6Ba2gTQOP1T
X90FTbcpXbo490tU9Nl9fjaQydKoeiIrUgoToH1OGYJp3kLnGLLH18cyfsrURzifroljkuHsojjA
WDq6EodRvs2767B709HuMwsWtsLSiCZbIUbt2qTUzM2alTdW0B9T76nLH5SguHt9ULOG0FEhywpm
SH4Jo87uvBo1ZlHJnJ5c7jda/lH06k0pb9B4Wr9uaHYnnBmaPFDAuArafBBuooOPby7GCNDWvzhJ
ri+8SrPrBD8VGJQ9MkXHg3w2pCLOhJ2ErBO6AOseyWSqhB+qgLIafcefXx/V7JE9szWO+syWADiK
ajm4EFMrh7d0C5WR+LbeVqZ4KkrT3ydx/9WQh3Th5M6uGqo3FvcRudZp5lqUSqx5NSAEU67SLVre
tC9PnPcJynir3Au6hVM8e/XZpCNMetVy9U1GWQ5yr+V0eDkhGeWPYuc89lD4Fvb83A4hc20RqyIP
xP+5nMuhQEA4Qy/yBerHGa7U2+VbfMnI5GD5oRXTJJltGIpjRaeX1L4x0iV9kLn5+j+knVlv3Ebz
9T8RAe7LLTmLNBrZUrwk8Q1hJzb3feenf3/U/4090yKGsJ4gdwZUU+zq7uqqU+csgxNU+ijhkBhd
e+KXFdh89ITOjaVVH5S+qlxDiouNB+hK70YH1PvLjLAscdDp7ZSP3LqOUyCbUWlg7dIvaR1nhzR1
YlDFyrQL6rnbQ+Jl7n01kXe9L4W73DRN9PqSDBoyU7tT0CIn+Z2DE9Qxm6MrSx4jnpuXP3MJ5os9
Mgaq+X8gIMSPC3MANdDuxwCiCs1AvvTU+Q/QQHq89trNGtf6agPa0uDCZERM+ELIk6SOE9HRavYM
WtvTIf90e/+vnTVU6n4aEHzTDIhs0I7j+AzVByCG9r7W871l9OjVlOF7fY42dv5qqrXkp1Dvyy+V
3uuvOUy07IKJbNgoS2dfdlKxywa5QLlqSPaJCh8iRHQ58ps86sq2KP+ujWKryrz6WTkJyPj0l1Ph
+jek8WB2oa9yOylfmJ10kKAOk2+3v+zayUq1nvFMQMYQmQp7KA9gAoFMnSagtZPVU6XBycjLP/8C
YiFoNtrjL9XHVzF6YU0MFKcw5Vzj7IlU+WD5njxNZMrTM02gfd+WB6n+kmkTSVm3t9Xm/rarq8eF
AZcL1Vi4DWzBVUeJyjDXOZPy/ljb3viW45u1+vn3Bef8fmJvSPx9dNB3ilog3rqVHC/H5qvvd2FC
2AfSOEuTBeXkWa+GQ6JGB1V5aKbuLpah8v8MLftm8rq68y4sLv9+caq0xhBL2oxTsf5POkq264TJ
DsanXTOF3xESv71EqxF/YU24mzJZUu0BuZ9zDHh5rur3y6XRBfUbCjPc6XDgIcfOq1BcKcXu5fhl
eiH5WsXf4vj0lokQbg1nKUKBgaMhJrYxUifp6okjaw53tOA+5vauaj6OW6wTq1uKlxKA8KUMTOJw
vUAdMIo0lCl0pXH30BYo8mUfZxPALvIMKaymtjZAp4Ceux0hxpnZW8XhtSWjkEf3VuPg12VhyRSz
0qNi4DVvqD9SkE40UTpM346LlVOKv85SkbXQVxP7XRqS0XJeYKTuaalpjVt2R7SIdxQtdkVYwBq6
cVasbDQM8lYDjcINICZJwEYmy1foSgOBQ8o1fq/L3KgqNIKT89kwolMnn1prq227bF9he4N0ZSof
QL0KVZ1wQtWSWVfINsZnNCpRBTGlj02UPLZS5e9y2Up//6nAYQWkHUAovCWGUBgp9GRM0bN6wWWk
tChL5XGwn28v3MrxcWVDvY5OI84ZAvDj+NzSoJx0/5RYEzLLj0P3uY7s3W1jq1Gy9ClgS6MZInYp
/YEcTgv6+Iz22NLHz9AbNfTwoPpyeijk4atUBQXve/P7bbsrWwA87S+7wrK1up3OtlTGZ4Ss9OBR
tr82W4QiayZwC2HQhULp1Uuk4I2FztgQn53Bfgz89oGKeT9uQKGX3ymGH5zmDBzQVGFiTvCjMftO
dgKMWCoone+FtTVBvhbfDBcw8Oos+HHx3B2VxmBA0orPS5YIRUN0MEFg5v4ft9djLeguzQi3JOJy
Pg830A9RCn1NelDte/UuqrOdHv9129JaxF1aEm5Hym6oYk44ZE0H6HGh5pXlv0ajotkHh7m9T7Xf
H2nUYW/79QmXX3RxH+c6XQRZ1uOz5nw1rEcz2vdV6DJo8785tpyPF2Yca2obssX4HCj3+gBzklSc
l2JP8jmpajct643zdjW+f7kltkriXjNaFHSJ75kureU3XrNwPHbZj9t+rV2XfD8aiQwuUY4TgXhz
YjhJLvkgY3IQWmjdq5p6L6PNCyvzP1V/6OXv9XcD/U53LuQtYpfVcAHZAAYVOjRAB9dftfb72m80
CaSaDcivKdFSQiyt9tF/LC2G1WY4nP657fCWSaEeBNGWPw8ZJgdFeZ925CI55IwxTB5Nc6+n5T4M
ijec+Qt+4z8vhWMEvs687NUkOSdIOZWhiQB2piESOCiSW4fpXTb0yYbJ1fAhm1se6nDZiH3FcoYw
tl5AxGq672izx5QnG3OjkbBqhBnsZTiKGV+RG22UmpJBFdowevcVzGbYfdpsW66uFs/OZf4JwiRR
fCctEZLsZV580aB6ycRwmfwNHTbwyqar3qn+Rgawvhsu7AnbPJGKMM8r7JVR/BxUgzuXJ3t+VKID
Clx72Uf9VbtP0r/Lrff16rf8ZVgcq3OkSobIQaNgrdznOjOKpr2n+f90O/jXrQAtXK5M9ptwWNro
2zXRaIK9oR5uFacaQYhOP942snZrQtUoL5NKXJ3i4Dz0fVbUZhiJDeWc1OlDr/tfb5tY82MB1FFs
hfYEBu3rc8NUw4GqCyYSMPJT/lV3PsHK9wYbECgxU8AvftWszo2s6IwoIuNtTxKTftlUuzHV99tW
1jIA8MY/rSjXnthBD1eNGXDO18+5Nu/HFma57GRIxsaF8jIqKCYzl5aEs9YcUx+28ZaLMgzqeyk1
MiQmLHovXYiiYFTWu0BrrWdZglERiVPzKVbT52YY/rYGCxWIYB6PhRJEbqnbSLJOSOLKiDO7Y4iQ
Zlrbf9pmwJh9wWR9owXOfRVHzPdFaXi0xrY7t0D3oe7kIQSD/hbLymo4kN8uMHn6/SJmxC81qGio
P5/nOPZQ8diTuUfW1mX1gh569QWZ8eX9yogz2L/rtUIBm/dYAMzZWMT5GCnUJs/Ws2UOxNxPavxJ
TT+o+oJ6BuVVP4dm/FmJK683n7T8WxeHu3ko7pvhHbzImf0MqP4gq59Qm0OXcd+m7yR4zpBEjg63
I2ytXKstSSwkxbTKySmuf3YWwzAhh2TjZvkQD9lzhFBNMhf3Rhjv5Gk+TwhdtRkY8bxCo7APoVEu
umPVNC66ZzvV0k5TpO79Cu3Q279sddkufpiwixPNjMvGALJtdqM3xqUbnRrdv/vfjCw/4jJxG2NH
SzUw28jmetLnavye2xvVk9UDj8lk0NoLXZE4MFlVyLI7ak1uOP4RI8YtyxvH3eohcWFA8CFsqmaS
IgwM6HAxX44WhfohCT7f/lJrrwT1wsryKy6+VBH3Rd7EPLZH+z7vT8N4gtMhfRe3GwG5dqdf2hHe
CLViOwQTB5FqvLOk3Qj6GkLQGoUds/2XCLzt1VrhGjwwxADAjtgA4up0s43sQUWUkQqhrOcNFvOz
Ywbg6Y+m2cW18sAjv5e2HgzLYfDqsLgwK6xZ4UsoWw4UTOpwb0NjqZPQuuU8ekpouY3meOaouJ1S
bWHrV1fxwq6witEQ2WmyFDE0/70M8gnHFAbiDGdfk1Hf/rartpiwXoZ4FvpH4fJC5t6fJoOV7K1T
2ia+iwL5kYTtDnFMCr5b9L/LJ3v1SS/MCTdYbBlRr9cEqBN8pa8E0cCnItu49VczQAYhoDYE24nW
g3DIO3WGrs7IbILqj6aHctdptj1l/uozcZ3B4hK0xzKTPkOam9fxp7d8z5+2xXsM1ZysHwdsD+mT
PzV3rd54IIHc0v7uRG+pdl04qgqLF/ZSXZQWMx8SryCeJWlx7IDNPufJjAjibcdWV47xg5eJJzqt
whWko/2FJiqFqIfSqDy1hHFYHjd6KavBeGFDuE3mDnbBbFA46JGObVvbm7KvZh3vBmjpaff9bw4t
Dl+clWyHqYBIOz5nVvmnIkVIKVn/yo65u21m/fBi+hlOFVgGZFvYzWZXBW1YM5JWarWLwPH70jce
yuzUF8W9lMzvyvxUOl72bcPssvavdpq9EL4tFKLAGa7dGzs5t7IZs5XfoO1seVn5CY6ttv84lujA
9Whq0wI8ztUW5m71KqVLQIGZdyXjZNeGJRKYeEZlA1WFzPIsVC3vB19ujrf927IiuOcrzDnX6mIF
vlpPsspp5yccX7etrAY9SJCFJhXtArGTCOqzS8eai8eCs7bbOwvZ9LzRi1/W/9VCXdgQ4lCvmG7I
Rh4pWhyqS20eZfdU5pKbQm9kJul/dEkIx5Y6m2k2uKT5J3v4quySZGvkdd0jiLToNFPdFRVxk240
Qm3ChIycifbDgKis/Rjn2RtCYCnEg6ejp23ZQqBNyDBGw8BdkrYzUIX7KdT3v7/8lxaEIFODWEtU
teG1YP1TNCAe/PdVtZndrIUyiFFQVGBk4F4WrispQiZQGrju6+bEJPIY7Ow42dHa3em8xiZvTB+V
7E6Sa+Tr/sjyd7lfb8TE2rnLiBvNIWhIIcpZfuHFUTglM4KCMwumE+Aw2MM/1un7zjR2eWTuZiP5
9IbvemFPDPnUaZ02wx5a8PfMrntaVz5KxbTxblih/tEZ3dN0ppThHKLnde1XFaRRirZ1zIB3uaut
R2eY3LI6UVSDCbCHSDG03Yz3m5Yj2gg9+cduS3tg8UTc3Je/QIjRKJbLPp/4BXb+uauNw5w5nh1v
cfKuRtCFn0KcFkmUjFaLFdM4REgPyhv38pYXwt2vlXMNzGD5jvU7pv+5Iwcp34jBdR/ApEGbYVDk
EGKwV3vJSFqeuLavfQsDE1XLUpl3bwm8X0aEwIthZcj9ZTCXglBUqSfb+Kf1842wW/9av4wIJ2xi
NLk2zEuOGyFeGti7clTuNhHnq1ZeUGLQM8KHsDzRLvYsQqZxYcvkfoVZwfrRQaHX9JBbzpKUHW5/
tdXjgaH6RbgD+LotbKNSQVc5iDEVKube+kuaEncs7owh2Otv+nYArgjmRZ5PpPRNw8KgrDUvPWrZ
y4MvC+y8yTaK3mv304Lq+s+IsCk1vTW4vMj8HDUyXWUeUJsbJuug6VkON5i2hchd/X4GXUigE0Cf
RAawyLJr5MBkQhtVYQqQbewxQRMeJCWpd7mj0zKJhmyjMrM2uKwxKf3TqnCt6GFWzm1N+2lukEdu
Zs9U5OOkQG1V5Pu5d+6tqd+pX/XeOYyR8y/TIe8sIzib8dOcxCdNel7QSgujzO1gWo1bZmDpN4A/
VcT6NVCASp0dm7Sb6ltiHWs98Gw6pv+bFcF5I22ayagcbjSZtx6dUueTOW1VyVfjCJzBizYlY7CC
kSHI5YxMNzkXqr2D/dGXoV5zJm/uNwJ2/Zv9ZwjRsuu97hcMCU2SFL/UypNeP8lW6yIy+JbT8ac/
wFKuzfCIRM+4x5/SGXdq4NyZerJLNymG14pHCzzj/z4bw+bXZvQmlhbgC+wIvnqgIfvE2LwTR17X
Pi4Dg8x8vOH6glYSvgfYChhlFa6vzEd0W0rY76H8bvxDyfDpDeF2aUG4vMphCKtZ5tgKhw/h/H3q
H7toq3a9FgRMjyyCeYzj0O69/mxqUSY2ZNcko3l8Fxb6HXPWsRFuxMDa4oDNZP6YxH0hd7i2IklW
E3RJnJyjZnLhod4nIADoZihSjnb17MbxxuKsHY7GomK5zOJahr64fXGPaUz7arPfJsz/dJGbd5P/
bzBHlmdXve2VDtICqq+85UQG14XiyTKOA1f5tVF/TB0kfLPkrOt/lfmBy/QofTZCL6rL4+2DaPV7
XlgSIsMY8nrMgzo5+/1wWGZQQ/9Q2z30FZx5TjUEd7K2FY3rNnl+MYnGgL5IgtNXg1po85CcuwrM
NI3Z4li2Wno/OwmaVMko73m876MkNjeq6Ku1DmhrfloWTsSp8Mcyh170PNUTI77IUVfd9Nh1CtKC
Huiw0FVRcqrjbyC7N+67te1BcrLUMCGGYnD9eknzlNFYtTASVA6SP8d8mu71Kfkrmsxg4zBedZK5
OweiFSSJwUJeW5qq0C7SiExVG8p94ZNyh16fFAfjW6OZD335ORucXWP/ezuQ1vbJhVWRQkKdfLvP
dFLXQnkM24e8lEAafxiDE0DNjU+5dq9dmhLugWxQIcNcuggZkJEGSFtVPzZRQFPw022fXsROxefR
pSXhKpDwSU4WdFZduHmU7iv03fdj9h2AW+JTobL6QyKnrj7Rh/SHv7rsGI+nYvg6F/27YWurLlvx
1Y8BRwNHF/wqwB6u17WzgswKC0q3Zl3u0Lcas/Jw29+1GEVp5KcF4cNGtMYgk8ECnKO7LrH2fNjN
h8F6fDIHSJuQXPPVEJPsW+SU0UgOHRrHlIn0QmaYiJzT93fD3LuFNqpu23UPUro1sr0apBemhU1o
10pU+DMvhTo9KJzfweg6WQ15fOsN5iY1z7Igrxfsl6PCXWVbmUEqT14dOp/Ar3pmEB3aJkG7UJWP
jX4cRggtHfl9G0sb9/1qqDBsSedUQ731FUDYjy01MBZoV/DV9n8EwcbGWN2BF39fOGLKCFWapAYR
h/5NWdfvrfxohMUedugNR9YNLVKWoD3pvAsXYTwlzphOVNx1tdiP6YxgnXKc84MEHv927K+GBhkY
jFELW5yI9zD0mMxyQd+1mewtjVzUt/dRY+8rzdjVWyMgqzvtwpoQiKHWJDQo+YCS8+jbID/g0je/
3PZItIH6PAFgL1HgOFBSLR5fZC7WqE85KuXcAyn8dpFkPndR3rt29+O2nWWxL8P8xQ6fTEctgzkP
cXpY0YC7IbvHMyPznYd4cmxPY+B8VyWwohTdUB9rB0XzQq12klK3GxEihvr/WTcA4vP6V2AJuPYy
mbLEDyqLBuHZ+aZtDfmKqcry14GH836BGntBwV//dSreic80NDXcdKK72d5HBkdF0x+y8qPaHIu3
rNmlPSHenRE+AEvCnqUFri4lXgESzSz/vL1iYqyLXi3f9CIyirJRcklhV6nQvBWd8zg3znuzbU+9
U97FydNta2srBPGIDXEm7wJDzHxIq5wp5v9zrc+yV2TB6GnjZuns1bXy4hTIURu5Km5IkRGgLABs
AwXm2WYUB12+Y3qMqbzaHo6zme+mNN1REtvxuDvcdk88okS7y79ffMyyDDVJM1kyM3vn9Mc2aw5O
+dSVW7XB1c944Z+wnY00Yb6pwr9hdKcPw91tL9YOC+jnf369ZSNceCE5Q972y9dTm9SNpa9yIO/t
5HebOy/faqH/MwlyRCOE7TSURlyNzIueCbTjoDaumenusDWWuRreF1bETeQYoSXPQXI2lM+mX3ot
7JBDKu8LVCm2UsRVW84CawbfDEJBuAklueGYRdv7TB3BcDWDFp+WRPJOrYP4qGSF4U4l4oi/v1iQ
cC0HLu11htuvFyvISVjgtedNqn8HW+elPSiM38X3Lmul89CSeWvzAhUL3j7uZqWdJ+dRV971hvwu
aI134+T8cduXtQ+I1gPFVETmFpjvtS99lvWTmlTJAudP6q+Wfs6DHWx4u+R35zn+z6FfloRTb+hl
R5fUMiHE3fsQhvR44yRY20M0+2jHwlSzxPe1K8GgjR289gmEA9neHo/yZO2cLRmQtePm0oiwhcwU
eRy5KyiCNXs/2RfBieTrtyt6L9+KKxXGThX+QRFNofW6NicyT3RIo+TqXZzlXrjJcbbmClg2chM6
sa/JcAEI+lR4eBKDX9LHR8f3HP052UIQvUBaxPzk0oywReWp0RlWj9KzXKP3m/bz4NWz8rcyFXLj
zr7p76QsgzjTbML96Hc2hT6rhLZT6ly59U9ZMZVoAk/5MdYHad/WpuMGEV3QXpt7zxh7fT9N2vzx
9rZYi6WLHy3KWNZKWTIkx7cZ+rNSHYHtKubGvbyW21B/X3iISd5kkZOl7REg6mugVcjCd90nZgrf
q03vOr1Fmev7oNX7N7ikcJjo0OcxOylcMZUcFEUHwf05c9p41/MyetDqPEHUKTY2Dsi1uxJo1U9T
wpLXPE3GOOYh2+yt/dZA8OrSMMUCTBcq0leSHHM6dEq9fLdUDtwGDElYzt4mqeTq5riwspybFxdy
rU3BnOpYaWDMsZPyBBug53RfZ7P78IZ1IQzg4+ZS4R67ttTAV1FOEsipNmK86XmGDD59vm1i1Rnw
RTq3FSOlooyoib4NXIakgEb8aWK0yZpz13RQMdp48qw9RZjT+mlHuEx0lBUldSYXyzptb5QR2MTK
q6TJaygzhKCLKfF5Y7jxAVdTT0DhoD/RDeJOFm6WKQrg/xxIniajhO3h/VArx6D0xn64M3MYlfx/
1ICKcdNtheJqnPMugQ2SR96rIYWyUONRG0gEUlDplf/DKbZYaFeD/cLC8u8XYUg9XK/Dhsfd6EOx
e/KV0WWO9HZ0rB5EjC4xfwO4Dm7daxsh6kCDGfOEs/MjSH9fgk587zQHJiLG32W6XS62ZUzqP1vC
UjXMQU2RhK2ktA8zk+6j/t4PjpZeH9RNwffV5XEUilyQ3i7s+oJjJmwEwUQKZQey7MpZ/lQUW4qm
L2hR8XrjT/Pm0cjWDFMwwmhtPbQ1HZHAeHbsxgV9AxPrYbS/Suq+LT7rH2Ldk9M/fegfJ9doNPTB
IGLYlfDMJWp+uL2Wa+kcFVM2gwrkifL+tcud1M7TmNK56OV8n2fPal/sJgem1Ox5GB3vtrG14KRe
CckXfWtyR8H1wqf6HaGUfU7vCzlzK+cxU2L3to21I2XZ2IvAJFIM4ut1UpzSH4uJZkUrneI4c7Us
3Ze17CZwP+NWutOYeQYW8LvUFkukmhAYKwAVX7iMr79kayatUsmUb+Qh/4CiuzeMyf1t31YX68KE
sPGSTjc7yWdoV7Y909I/KMZjrAHjqjpvtLSNxdoyJuy8zLZMRTIosGnpAQbvc41QXR0dAn089/pW
i2DtSLn8eMKxJXXMPcc+xpJyem+kMwgG3U2HbG/575o036fqZpq5Goya4dC3oykMrOF6vTJYkUK1
pLeUNdQ53HxiuMtrJNC7nhyq0p+5CZrbTe0sz125Uxw0hpSm3RVToX7TM4gN3CisgEWThnb/ZLXV
PGVTEsWob02Q5M3p7BV+PXwPgI9HrtX48sdwtCLfNbvEf+pSxUZgqunr6FFK0nEjVVz3DYQwZGqw
dosqZIo9JklXLmdMSn1IcYP2blC2KnmrRhitYriK/xChuf6AfjAHcNNwdEhQmKrzsQABJ+tfb4f8
2pFMGRliQPpjC+ru2kgmpTkvDgZl1cGPHpjgmvbFaJgbp+BavsN5v1DPIePwCjIZ23NX2wqPNAa3
u2HnZ/vZOLXKxvZd9YUpTZgXkGTkArj2JRybvLEsjr8ZOUqv+3j7S60uB0QVC/s0WhdiQy+2nYTy
N3/dcD6hb2+FtduGGzf/qgcXNoQDXNalAnIgXszNkBn3fgGZdRXZze62J6+IiV+OUlbbhuUNijex
NDi3kj8b8/Jmng9T6v5lP07MCHrqfFdHbpr8YdzJ9J/k7mh8um157cxDUA+GIh48jKEJKzROUziZ
qckFFWXTHuRCAx1wPt9L/Vw8SIPMfFLu7G/bXFu3S5vLv19kbArAemjIdGIvHw6zXD5mlK6betz4
qOuu2ZBYURZfrirBTNQ09TBY8Bnr2s63412F3ooq509OJ7tZvQFCfzUzsyyhxbgv1yHBror6L7k8
9HoZ9MS64yr9u1DbVac635vSqTOP7V93zsff/4pUkjVlIf5YeLqu3bMARQSwk6bnqnhKTZWSqLGH
525jrdY+IhxraDsySE++JFgpI40Z4F5irYxpt4hGA+JG+bCXs3NZbCFYlz8mJoqLSAhTUahz0yy5
dqmYI56SswbUI+531BSQtHKhzrv93VY9ujAi5H+SafpUW1TSpWL04h7eiugwa6Pn+/ZO655vG1v3
CHA9klzLxhZicJGwgYmDGOxl6A6H5zGq3U2Gli0ji8cX+ykunGRgVgVqBRTn49k/Rr2xQ5VrYz9t
mRFe4UyQFm0lsW3bjoHnYyI9/i613bKFbOBl/30tIUHps3lqgnopKRlwRPQGyWtzjKwN+MlypL2O
sp9WxMLVFBhjoFV8LmR8vb5r3HreeOSvfikSLIpWdBE4fa4XxBh8o/CtZdPEpms5UIklCE5t5f2r
VhYxG/SRmBMS8ctKXrWORpf7bMg/8voxiDqPB9zG42LLiLAkZZR2vp3a/x/NZjxmU7XdDllLRoBZ
/OeJOGWQlNFQhctJbSun6mvqow+0Dzaid9UG42MadQja2iICNPZ1rm2AjOcs/FPrfuTacUC4Rt9Y
+S0rwgmmTHYUhgN0mkgb5cC0FNLpp77fOFXWrQC8ALZOiU8cOa17XrBqHKfnxgBuHZ6S1jlo6dHZ
kpNcFvfVTqE1/58dIY4DO8qsqkzS81ygJeh4ctnwRJlc24rdSPsGKYm3mXBt+Sbk2EVHp7tNMmrh
X2LnU/fOCtxE35pLfiVQ83LSUFVWKFGT94jR0GY61yXfAkXOp9lGdktTXam5T1tPa3mvyG6jfy/n
j9Vcu5X2u0NRi3GHvhhEchTI6WheHw/6nPNKd0bgCOWRJgwQJiv6fPveWS34UXNb2A5oXVBLurZh
JrLSODFdv1L3Q0+V06MeTe8slL+y9A9tet8ZgZunMQ+yfGOjrTxsYSPjgqWstFABCLfRUMha2gUc
fnPxtwQJH/S76amVPdrbP247uRIqKvPJ1MowZUE8cO3jHCrhNI5Veo4H447Sn95VhzSBi/f4Fjt4
AtATrVBT+JbVDItbpdTp2dalT6PefO0H6z6fglPBc/T3z1t8+mVr8fniLg/kosqSvE3PVnsyoj1e
hf3GGbWSAF2ZEBZIrRJjKizc6SsuwCxqUf3Q4qc6TZ7h/rtzqq1BipULF7gS6GR96TuCVbn2CVWK
qil0YlEO/5ytzrW32por59SVAcGj1IboaWzJG2eJhHFfqdMxyO7tp6AID2bdHPXfBTqygzFIaRma
UPoF4nxmWbeGkqpLohKY3yXVeJI1/eMbgg68B6RP9M+5G68/2ujMljRO+NR2Xv5v2T4wTRCUG3t1
dWXQplBeFGLADwlGGhmJCpkDPh+zu942DpAw3nZjy8Ly7xfxPMsBPBdRyt4JTXRnnlv/d8fqX9bi
wgdhd1Kb17JpxoKpPjNCAA3PvzRT37At6QotDEW0oAjjazeM2FKKIOW+yKyH8lvn3Pv73/9OlwYE
L8yhnPQkxwCcaL6G5utGbXNti9DXgtidDhd0qcIelGu512kT44AMX71uBN48OXeparnWFLn68KxM
8gdDDe9uu7V2RF+aFXbmOLXpkJd5eg79R7n5LunUv2t3DrbaTGv3He/GX/4Jd+pICSo2VfyLUzs6
+7kqeW0LU0xvRE+p8R6E5vspcr7kg27STPezjdf/2qV3aV5IkwOl73QV/vxz7b+f04/9AGma203l
fjIKr/E3rK1/1WWaHp0FGmvCto36JkxLDWt64iL46Kr6TkpPubEl9b1qh8FILABv5UFzHfW8lJVQ
d1g9MBZzdzKKU76MnG2E/hLaQpa5wECZydFeCjXC0kmWHtfBzDWOCX94xpPNVvWWCWF5UB5srGDJ
FHTms124cP6E7uC9nW/dC+sf7KcrIgA+sRwpkG2u1iRfoC/Z4M3VwXnTYQSJDxkPr2XK0dfLIpeA
CKu6h7Pf/mQzHctxNJRbdGJrBzfoKoY8uelYfiG5UiaUS6WWT6ZJUr7LKpohUmxszV2v5SLcbst8
OTuUUt21K1Obq4VSYqVRzB2L78tPlXKqM+YqlY0wW3OI1xI9HKZrQIYLMZBJSH9lrZKenbKod46V
yh7172njnF2LNAC55PfQXXAiCFtTmlWjj/yJcyhilFjz/57VaJc68lbXey3SeL2wLel10CgQ7JR9
axdGqhHR4H2OCUNKmhdZG+/MVWcoDb90I5Y0+3p1UqVA3ElV2ZmkIf1npGns3xVyXG5vBqz+MyFS
Pk5aaoatyqpkyqms4zsG/8zgyJyb5yRbtcy1CIAtkaSKeOPRJ7qjRUk1ow5xbqrgwMNrKTvfvu5W
LVAnZe1hlzTEOe9URS0tCslFNClxpXJy8zeA6xbRwJ8WhAJDVvajob08j5uvTZKd8u6HnH4KrHTj
4l69UC8NCfs/DKxI1XNcAezoB6cp3mnPxifqzFN/0KddvSXbshZrl/aEgI47zRnqJY1bPt2C46if
M2vj5bO2aRAgZN6AUj07VMip7aSbusTkcaX62lGqTTdpQkgMv/jF706FLGGtMzkO2p/9CQHt9c6p
sqK2OoUjWpM/F9WTQ1Uh0uiBZdYbElMdaAWvK/qFVGquDYVO60PbMb68F5tIuycYks1rbS2sL40I
G4dTICnjlkMtMA2qBqdmk8p/bfUXppGlr8qLx1r+/eKZEOud33c9FoascVt6ko3xXTY23iJbRoR7
UwsUyVQzvpUeZTun+7FsUGcYdrfPgC0rQso76H2QwC+bnss8KHZpb0PhY1eNB9/9Frpk+e5i5vQy
c8QALi0TMT9jPCcPO5vzuf/L/JF+yOfEvZNit6n/3Go2rd3TTJtCRgX8iTepsD6p7DuoDMYZDK0z
fDZ5PfzbBKXthqEsPU95/rU3O3UjtFd3KzENZQa4debdr2MCwj70M9Ik4ypFEwZ2zJrZdi3vd+aW
fueaJca1VeJPp1AhPucjdKKrIk+zs2KcF/7tMnx2DMOV6ve/HxpAuyjVM4IOm/6yzy6ifBzqsneC
PDt3MIl63+otqYO10Lv8+8IXK/NesusMP2TroSvOwK6DfgNnsRZylyaEPcScFlThRoaJ8M9xeEi+
FsMDGF2v077TGvA2JyXWjh7DWgCTKHpD/ybcdwotoVyzq4w9O7mzCef8G7B9ZINLqRRkDJmIcCmo
Td0guIdHSeW7XVLtc/Ov6O+6PthW4WWJspEgrl6sAH8WCA5If0686yDIZjLPMiuw5zdPTRY+F7QI
Arl9iGNTcsf0W5D/GKKD4s8bS7cW5ZeGhU9Z9z58cg2Gm7A+SvPkTlF/8LPndHhD2oja8FLc1nmk
ipJKbWQY+eQQ5lJ3hF/b745vaXmCwvllQoj0TIZEtGGe6vzysVAa7E598OP3d+ulDSHUzUqLg1Em
MJTmeYj3afS4qaO0tmEvTQh3hZmGvlPD2Lh8KeYk+FJ6cXqLFws6hkq5xoJch5tmxKHNTGN2VrVg
PvAMQ3Nas34YkxLsb1taOxp4J1Iu4Kag9SlkCXGQl0reY8ke24GZDKXnIYcwMvD5UfYsKWgfO9+s
7uaqVb7MvbrV2F/9mL/si3AgxAvN2LA4Kkz5C+vlJ5/etl62RQ9Rpn/zau+2gZQufUy2kF16duHV
xezpW6MBq/v0woiwTyV74Aq27OwcBcMxCMbd0D9HtvpUDm/Ih8Bm/fRGSPFT35HNKTM4iaDeZgKN
yovVbKTca4mD6TC6AVQFjLGIq08TQ1cqw88gXJfdGhYEu3ZzWXL3G1nXkueKqRB3xNIOhfP+dUks
nx2rkbQXXyTV1Ss3/GB/7MPHzRtpzaNLS8IlbrRmk9u9zg2oBrsw/+RXP/S0Z2zed8t+6xW2rPUr
tww4dwyA55B5Cbt3APGN4DjGkh8F4iOMWjxouye78yZYeL+YW7wnrwTjl3eLdWFPcK7Poj5SYkJC
m7uz1ZujW9WFZ+ema7bhfmJ8AETxeByc70mTHMJBPbWd8Zejjl6VmBsn1+qHpsKx8ITIcIcKvsvw
vXRqHObnTj4NoXboGt+z8ofW+OAP+v3ts2vFFq+PZV6Jktpr0GVkjJPN5Gp0lkrHfF9NsulqAcxd
6OrkQFkhitLnIt04MF+R0vO1EXFkvow0AMy/IWxAI7PaSAtq9C6k3vM/F8YBRY/RcSv1/VRWe0eL
npT4MZV6V06/jAMVZeVPpej2bfhDy7vD7U+wcuzwY5ZC70Ii9EoR3RwcqTP6ErUUpz3kB6MJXVM6
Rpvc3Ot2lmoSVwRXuJD/5IYBhaCKKsvox9WBqZvG1SHb2DOPNdwx5rYln7aSQVK7RgqWBxIVOTG/
k6Rm4GxAcm/qmFSfEz/fdaOhbpw/K5fPlRXh0FYtPbK0GCsak895fQijQ26mG1G6asSksghGiqlH
sYkzlFYT6vWAckmdHy31KSulez/6/WcXRcVfRpatcvFIKbOc572NdKDPbGj80de+hxCebFwLq0HA
PgMgwFASU93XRhIpm0vFwpNeRSNa3n+fUZGok40+ycvrQDg+6Sn8MiMcIdFkTOrsI9IbJKGH6HBi
vo906Vgakze0+gfk4lw1eP5/pF1nb+S4sv1FApTDVyp0tjs4jP1FsD1j5Zz16++R33u73WxdEbsP
C8wAO0CXSBaLZNWpc4T0eeA3RqWaRtVbblFZsvhQ4zFd2ka/18KPYSCavi6lNfbynouqTdaFwMY/
KmDMHewm52wXQuGsm9tcTAKQFC180OIG9pK6T7ViV2S+ADWcOCMltys20Vv7J/8XKDLs+r+s0CnL
JBO9tpZhBVdQ3O3MKMIbq5bN5eAyOxZkeYHuRCsMT6d5+0RAlXmykkqmiwLPOJre0a1fZe3pXxjS
eKCokSMG/GJyvCvvFXqNa+oGJUAFcOpjrHu/yzoQrdFNuJXiDchg5zhGlm3ObUscUX/ZpHbM6HNd
XDUYHI4MU00+emEbNIyzYm7DoJseLVTIW0JOiNowSt13SMQH4R7FH1Inh0r7zLSV5yyPRJ4LluhX
wgmAPBwSpdRQhDDORS+BmcKWV+2eW4NrIbXcTX7MzG6VhsQjGhFIZsYkcUAxZb89v5amtH1ubWXt
HUuzEkm30Vapid1jRpvIeklJaoareNP+YXzr/dVIuv5UKvPZDlBBDjTwlwcp7kLVpy+tlg3MgcRu
LFAbkOvbKhZdTIakRivU4xy1r0nLP8ViAYotCTiWbamc5NbSNJBvsSgr76i9ptvB1QBpIQS3i7xU
biaC9pP2SwsIdIaqd8Avo2f9sf1wf9Uf/QNU/vwTUn7LI5/3Av2n6x3fQGevPbmEEm4MtmKt8NCP
Hqe55WuCwtg2d/yqPwMEOh+qpqD1B/Xc7V5V3bTAgQ1FFzCeKOG72wW2pobrvCERkauAgGyboCCY
Dlbdx2e5W6MGqUatgw5Pz/etgVn0mItSeI7/9UHUJjOS3q08Dx3Nmp+SEn0PvWD2ombKLnJPPeMw
nx/+RF2BnQaNXJUKVYrvJ7zfgI9OqgYzdyNrFH0Sub9AqR01B+mQfvaQi5ZaR2xDpz8IZ35wPOEI
tY+4ZUG0Zkd+9S3Uvi/CgfMydeK/Vi1t/IJyLxmydQb514hVvZ7rdUHXIzR0UfEFazvNDRJLqM8q
HbrsXf6Uhjp6dmpophy4YuuCQtiFupZbW5rxlAd2n68HGZSHXcvIxM5eva8/gva9PEA1QEBLOV7w
3a5F1DLH6uCRICPeU/0N+lbhPSQDGh6eqidW79/cgXFtnPIzH/gXKGah+X/wEqtX31GyMquSEb6m
6ETffZCJQc8tSp5g46PcywjKoehHjLDcxLj4iuK2Srdd8slL+7b9ALTjX5xQ6EMB1lSbsiN01k8Z
89RIIQw+IReLAJVJoD4DCOuiv305Os1lUCW8CwUwh8kos9GPYi/MXQ4QvHCfRq2Z+udC0MypmucG
uWm0aOJAlMYj8cwwO/MWl4CdwiUGZRAkNqmHSyJFoZb4aHftc8MpxhgiE45b/u5KAoW/0DgY47OQ
jtuQcVW+4+D/CZO4yQD4jHsaqiG3YVKAbJkUd+JEtv0Vij0KiZkNsj7SZbvU96zSl4HlGkjtQdp7
HIkaVGu8sRiZiLn7B7zor4+gvKl30yCsJqZAXnsF4s7sQFOAls9NqDHcaM5t4UKAqQEpKmCNb0cr
9YmiN6IXYbSWXjvjRx0TrzWDL6jZDoz3wdw5N7FoAwCJP1S67iP0asKNIxQU3UD5k+VlZ/ocdF6W
/Wb6YHofajhD0dqCJAag37cDqqJuTHCmwG0UW+xPfmFLH5m/b3TSsIrBc1H82hQVVwCAQ502h6nO
zF6EfXzJgRoly8OZ63OTro1It+ORM3+MQAWNfS5a701H8oS0ZjgSMTTRFeufls3Nzh74uqGsAXl1
FLlvrWmg6A91D9Zcjd8M8lR+Jv3Jg2yYNrbErRhuPheZNQMgERTtsdXp15CmB+GEEULQ7KTATAv3
YMTxt1u6rMN/bqmg1GCgcW86++m7D0h1PSOaxAdqqVwrQmslyW6sV00BabRdPOy9IiWB+iAaL6FC
ys6JeXVdtaY/PnkCC7M0tw3A6Y26Lr5o0lG5neM+6/gS7FfgPJPyaKNrdWgHXiUwNtvcxp6kKQCK
QOyWadRamo3SkPcy2PRbd+XHnJ0GgOv7lWX0AanTbVW0p1DLGQf93IKi2UcE4wPuFfjjdmygwkHz
B4ogex9kqmB70PLIYh61cxN4bWT69+tHp5DJQgcM/X4sT/n4IvsjY9PdqW5OZ8C1BWqJ3BEJGyXD
5PnGY6Y2lotGfWizbnmQSqQQ+Uy86VmdNNzWTx7D6MDhxhopJCwikPfXHVrcZIJXvt3FAWCc2kPY
2R64SmVpVUGSXCjXNYjkA1a//JyTX381dWhEQ8mheXpacvBZZ7bX68SN3yHiVkes0De/zpqAxlsc
HdhVt0sAkgglygwckmACAF4pIBAFsmPBWY5GswsNsDyqJrgF3IlcjuBPaCMXVvxSB9AcWpoRo0g7
O44rC9RCc5Uw9n2NKcsEAFU71dT9fZay4EnzViAcjEwMat+0KlfjyXHSVNgVWq9ZUOUmUw6rHxg3
0LnYDT7xv6xQY0kCF1qqE8dvMh5EV7GM7g+Kfm0Z4zJqpbzH4MGfu6IYIhqigbyTkMWnvC3rhl5O
DHCFBOkD8nlJHx0asGwCqecxtuPs9AFWhfS1iI5ChRpYULpRWrngh56oKAfcGIzuWYR27LKzzY7n
ygo1Hgx1zCBAB2drcjtuhpPeTlXU7Vix3vtzoXlKMfI8AL8AlU/7+Cp+aWpU1pqLhYpVCAgA9lAo
phL/QqtGLke20NrIkC6PbTYyXFmcXOfKYpBqHucH2EhV1lquKDqDUXhEb711Vvuvpcsqtcy6ogJk
GcIosBd3K5ZFSRGNGGGUlga6l0tl3avVJk2jnBSxF1gd/AlU31AqXh7orKtcGaYW0QcTZh+kOOfV
qcW8OYjyHzRaMTxl1ghEjaEwJE08hSI1mwDNuSM0HvauIa2ACI2QRalUxk1sdsnAHIYaLqKfSrfA
eK5foVcMMQMFUNJI4aZ/NdoRp0q2MqKGMW1zhUiZl1GumQgxpv7m2yHJKdQJaw5xUM8D4gvjGnyV
Bl5aLSriMfEz0z/w24TYTRyvNGgqFefldZvZfECKAsI9EXvLeNHe2vc9iROUOI6Qm0L6XfLyX4Vf
mHnWaabrZYxLyqwxJFsnxVqkRHTq8NKaso8jDpQvHT+kVl/GrZnViWTpIE6zcSFlETfN2oOqBbrS
pvWkL3wBWMQ7pYNiCDSv0ODaCttkqEx+TG0x8L+WJ3LGN4G0VkGqBxU5kOtRsSUpdDHnsflQLkf3
gBdD9ypDczykgN2Q4TQsU1RQqaAS50MCDaSzLjIAUF4X+pCUAqtfZS4xC89ELJkodcE8S+3pzgvy
AeUF9Naq54CAQdyKnqINT9zHbJ+braNsORPKpJvliZzZfzdWqYnEtSDkEn66SZm+qZE/2iqyli3M
3G7kiXYIl4JJEPLnEnoVlLl4aJNGQ59m2bWgn+F1B135b8s2Zo4aHGnoDoY4Gdia6NewD8knLVfQ
OSkXfk/AArLjvcgeM1uqBDsLkjdQR9Xc97LROccAMgTaPzI65lF3vt3MQxeHWSbpuIeiLysq32Pk
8TnW+swcMShuoQMNWRo0TNBg3EQttbDGA2pfe5UZGaLDe2dl62smzz0z2W/nnAGIXwQLMB9BbIhK
KiRDo3L8CGNZ+pIYEFB5l0KXdGFiAtD3LyYPXUBAzE88rLQMbp3nJQ96EYwrzCTiuRy/AggrMfNy
GBgOODuqK1PS7TpxY4w3To4NHAAUwNfvXXce9McSeZIiZx3Mc86OxhMEW2S1ULygAjz0LJs46TAs
wzu3KpCemcw4lefylDi6JrZPqIig5YAK62HU+Von4QxBFzHk3QvceQfgaQYzijkSVOMqSH4rSH4b
/L/oiZ24FqcWZUjE4Vp3O5ESp0bdJL0KxWRSvbWFiSf9slfMHSESSIEgATiBKu6Sklrnh8iogRdr
iJ/ipidZlm2D0LADVhl8bvNeW6KibesHQxNCkmjv1WVuCoGak9DtRVNXYp7hfyxTVIiVRj3ssww8
JIX/nSffbfnO1MyenzcEcmxdJOdVauOWamLEmYbRQEXYzLjEBEA2zTwnaBjHxfxYABqbXsTo+KX9
u8jjscwxlq6322wd4/LCSEzPD+VvC9RQdCn3Khmetoc6yCcwQ+7u33S3AJH0twnqYutCz7zxJvok
V3zzc1K2HyPr0GPNExVzQKWS+uAyBHdAvpEdxbCN9fJOmQtqIKibSMo1HK90oFHzwTeGAGwfUJUo
m5y4xSFyN51++r1sZy6gXduhlqOUoiaMUthpISQAflUu/Kdy0UhC4S0P6KlsIDuKsHYbVXRXMTKt
B3NWKVjAwwzSy/IIfvqWqVT5jQHqAmfkHSe60USrANUsqbJFO8tMFOi8tTZeuuB7TDchyu/JaHdt
buavNTiaR7OI34fEIOE29Da5BX5hjkUAMucjIJ5G2yjue4B5UQMfBq4uKx3fpelgpOX+9N6JCcad
Wz5Us1BAA8kIzloqzHWF1GutZuDsSyGxjLYDWWHs17mCM25ef5ughuF6YmJknIe+4SRce+JhCDtT
7S0g9R/dEOhzyeUhVJiQHiL3pU6KS5RZyqCtMiGyJP+sBLsyZ+Fa5m5NE6YFbgUUAB5btz41SHkb
tQ2+ydOyg6he/OG3EBY7MZUeSkneQLCFBVOf248g7phQwjj9kTe9tQhheLEFoSP4IrKjIBROrv1u
pox0slOT52WHnsOfQYV36gMEpA7eQ90AcnfMslwEe5Z+ULfpnl/rB8mqHWXXrkVLOUVmYquX4FA/
jp+gKbRkkpuDxQHWU5uylTjaiicqq0d9rv5+/VF0/b3nEkH1InyUK2ITyeEa126zNeR1wOuraKis
GiSUcnPoB9nUg+CUVv1Rr/VXIH2d5flhfgoVs1AZqd1KxhHCPUKffR09JFvXEV7dNXgn9+Gq2QSX
ZYvT4tIRBquOhkx0tYMtmTIou1Eu9tOZ1aCb1e+I2L+2OWjDGdmDOa++NkOdWwk8XeR8THHfXsTC
DKAMZrfRGvGpZliaK8fJKG6AWhp5O9yTpth19WgTSrmVQg01zKaQL4ZS/ja8eifHSk3G4EmXrSiy
U8Aa3FKzhFJlnG1zgRFPezxE8KITcCrcGq8aLhELcPzuI2nljppZ1L7TZyxU+tyOBTQbUAYAIZGi
pGbTkwZJKUJg+hAqiBoWHNCYKZpp0SKRt/KXX3GMUtWsQdRrQdwNT0Hn2e2wADmo617FnPobfaME
TmKWp5SVRpiduysj1NwJYueBqFkGahC1mhY0hIXxLrIU/uZOFbQa/jUSyjtGvwUAW1WCvUMYS/9D
zUBvpeufpuJok1dalE8/PdixlZBoJ63CHAg12ar3/J/qlB7HnfBLcsKNbOK1eAQbwkron+tgq7Og
J9K0IEvfQp1sBl/isWPgWwzf8nb+b99UfikOUFOohMe2u5X2goODLXW6PZQ/+xUwRdFR3iVvvZ09
ul/JY/0QOdBkfzYANrCWQ87sreZ6oqZgcbVDW3/kXd+DNyG82WCFRTywPbDa2UNgJkh6b/M3oyY6
HNocNsGm5x6637Ud1Ca/1hiPApZjU+eRJg5iME6OnSBFFb8EVrjxGU1FcxH279HinL0dLcfntQ8V
Kri11RxUpzwwpnPZo1GDu/39QIkzXuGw1Lxte+byUi1PD/oFbn87ld0uU6aVwq3yK7NGk7dYyl/L
u16hsUsGF7m44OHzVXXHJ9tOXQv6cXkUrBma/v3K3zh1bLp4giNz7RZ7lFRCTJYtsObpLqq4Pio4
0zzFpJWgcg31hN8R2HuQ31i2NFf4BuH6/wUwxKrbwQg49rxWhynLzR5E8xtA27fQih5E+8nbdc9B
Qf6Ao1F0oqO4G/CaXkW/2ud4zeraZc0pFWBC3pXlCJCQ/agfsh63NJ91OZ/89r+HMFwebgc6CrxX
Fg2OAxl4a4lElvBSr1DBfOQ6oj2mq+V5ZbkhFQg6qKlJZYyDO907/WvDqGfMVm+uVo1OPkiqX5Xe
NJj69/DAmf0lWsXIRA1ENPMLHnfBuswfuuwwsK4Ks7n5a8tUeBD9MhuEAgPLSG4Z+GMftsRbi2/V
pth0K+MBrWwdBOMYfjrN18Lq/UDJr/ac3PpoDXXhpiO4kXWSBU6lkNZKh29Jv/gNw1lY1qj7SaH1
HAfC52BfWuja/NWuo41nCqZv/7+c5Of2fjWo3ufkPhCnQMJZhZ87kQR9aZVxXsyOBeoh6AFCoQ9t
FLd+H2uNkSPxhrHg6Pa3QJNJtt+byeuwY9GmzbvllS3KOUo/9VUvxLzxHJAo0HA2RpH0vbZqDcBl
ILieKb+EjPhxcgoaDUDoeKXqykpXk5bUEQsAPhtTrr6GOm30XvTrQcdRoAVtaI69dpZziYm2nn7l
zjOvrFC+oslD5/KTZ7qH2Bodbc070l7f47oROK3TM+LK7MlwZY06e/RB6qH4jhkG2U2Cno+N1lm5
5iz7JWviqOMn6yLB6Plpj6eCPRTPQ8IxPJ9lgTp1Glmpi8SABSN9T7pdxrMQF/PPtquJog4UdCH5
StfAAie9hI1su+FmCBsniWxgSYJuK/itlUHyQUfGcHn2WBuOOmiyWA35anKI5DvYJqvcFnbcs4zM
z2bZzn/ZbT8YxwleS8fEMujL3vAaoFHFCPy/aaOoohk0UROYeZ+kgqXz2aDgQRcNHYH4c3cKBR2C
wlFeKGhu4oVjIwppsHLTREUzbB3gNDRSicWkNo33foP8/ZnUBvFbFHmRL0EAch25x3W8zIntice+
Y0zI7M0Yj8lJsATdQneJYGEUVWlqJyoj10SDDXEHx+0Kq+X+MGZ+ds9fWaLiHN8Gku4NHsDaVWyG
KrpmjEPIPfXnGo2MzzL0KVQENGhtScJl2fTsGKGxrch4qYMrlXJrpTJiLpUSKDaKCQlCSSCtbtiq
K22xzKzr+uzKXRmjPFka+axtejSt+MH4PnSetNHSfqqu+bxZtOiUGiBv5uhDycoHz24hyOVC2hZV
bDTg355ZED8tFT8BSrh2Pw0kR4PucRD3XueU3mMIMBEwKcvTOjvSK4PTB12dxLEicK7fwuBQdSuQ
HQOu9NCDDMcXUERSFMsft8sGpxB6tyl0dFkA64M2K3odxwLCH0D2YO9+h1K6HYTqRRXQDrRsZfa0
gKyqJIPieOLkux1WFkBXT++rcO9okNTrV5C8CmXisWgMZwuxwGpMC4ZGe2h839rpABcctAyjSUFo
MKJxUfzKgtXAxUQoj+hLJVkBJC0LkvrTJkdPIpRn4B/oe0UFjhpe0PhZC72UqYGv3w9rdeuvuoP3
3p21jjSn5KRucAh/ihwZd/k6PQ1OhuxvcykaUj4j875iPaZmI/L1B1HzUHehHnnTBw2m5hh2ZGtm
tip3oRM9y070KL2Fp5F50k3xc2kWqLPUjwepc10Y5TH+8PjpWqXNrUZT2H8lR9a7Zs6jrkdIxR8N
RDdayf1Meer8QW8ZSe1ln/3RB1waD7X5x0pWgqCDCdSaHgyIND8YlblHonUnHstzsc7NZo0g5Ahb
983blNtmw78uf8K8P185Fh0OEgjHqg0+Id4olryKtjUpiYtHL+sFMBfOr6aTfse5pegmkQFDYPEp
61Oeb0GDDb2wl+UBzUWbazPUeQVc4QixM4Q35Ml5IpkstKnEcAv6KtJ6Y6mrKcYhPRbrxu5Rg3HN
/E3eEu0he5A3nj1u+5V0UczOGaxgFadEttPP0BkfBqt/8PfdK/7eiiT69NepqTBuBnMtXsAY/hUp
6C6XcAx9pDDxfUP6UgL3d5DN3CdBDMUlM3hILV77dI2dilfK8sTPXkOvDVMhqq88NQGNFkKU2Zk8
CU1tJxPdSjYi0RkbZ+4MuzZFBZ8xbYskySdfspVNeURWwJ4SnowBsVyJijaeXEuQWoKVQ//7GG16
UpHWbuFTf6CysTEeE0aqgzUqKuC0Qj0UgQ97taXahtNY07hYohCsbUiFHJnP9cBoYWQUCPcwbiPY
WJ63HzzrQlSjsUoKaH8wDDQjo3sTSekcbOlmthVt1VJe8kd+07Rme0gf+pcM4bv5/QEFmOUvmB0j
ejqnqixQSxLlHsYY8KE24ow2yhNaYo3+vZKetYaRbZgNBGBPQXchumJBpHJ7ExjQ5+S5SQ3cuUKK
tDGhzhYa1uiZTEHp+cMW/QFQfsWNA4jKW1MZiCTTREKTgHTRQH6vOx0aX/TgpRcEp9VFExVY0qD1
Qmtk0Ayhd+6gJB8JCEiW53W2xop+PTRvon8OSq3TY+Hq7hjyidqHLoYs1GaX//ZUp8jtFqISvwL+
vQSTkjr2xAgTO1H2o7RlwSLnWBSgYwkIN+54wkQtdWsfwT3WlX4Cp+ey2URf8tATGVSRabfuvpPQ
6aBE2m2EftsbvxlDn11tUI9NfYOAmtKEz7zuK3LuA0Qu6i1BXO2ztwCMCWhF4uR11vBOnaxQg556
+3FtNGv5xNcFGYecTOIoLCmt6VS+22IAHEAWDPTNYNi4nYgUAmpKHk+taFGqk7jkLk1mXIIacnoG
OirtMA590gH8DYat6I0xFdMRumScOmKjOi9LLkfDBXTILL8UnmTprfX2aHHZjKH8UDUgTEs8O/v2
/4WIgAyoLwq4gJsr4Ni8HTaSHF5WN2jLgfJLrR8Cfd/ljz2LrHFucqf+FX2iwsWOo7w8zYJSrVUD
p0vZ7rwg3Yp5g5EVT4Uv4rVUf4yl8Av8cF/L8zrnYddmqeSBW41oLxphVlzV6Evw8sTm3JS4WnGo
h4axlefONmD24ckG2GoBpr+dyUGVuLweMZNR/g0twQzttkzhqLnzDLRHYFqd9qxIP20rOfZ9Dvku
eIZnZtIbbn1yllpRaA8NyIEygRH2ZxP24GNHqR3pXzQKUGGSF4vsfzpzcgWF0erDK8D9X1QkLU/G
uok5J/dRZELTNG+ggBCsCxF523q09Vz/yH2eUTubnWI00oB3BaIHAIrcTnHD8bHM+VhPSS4JJzxH
EhpyNVb73ey1C2Q+ChJB4EXE+/rWTDeEuRjpHPYEaF2kTVNHhI80tEW2Vhva4FyRczNITZR+lt11
dnigW5nIdAFT/ylVX50F7jgqiV+HEMFr9UluQelVq3MZbjo7OhBOKBCmgx8BcH87OlGoxVjKG4DT
gyDb6SkvmZFU+bbh8uGmHsXaQfpT2g05/lemv0ldoe4aJNsZuag5jg+ArwC0nZB7gMlTd8G6bEOD
Q8Jx3w5HL7LKoCMQTSSSstY0OxtthZMO0IkqxsryUv9NlNeufOCQhMgmKevaW//zyb/+HMrTIY2t
lOi3AdJUC9cNOF/G/jnlWL41FwhBg4kOdpA1oGWeCvRQEk67rsApk1SarRnvQ1/uMg29wSo4HCvv
QRMLUmQsEuVpX1wdLwCZozcARDYGMqXQ2JCoJe97LxVcyG+f+frTTZ/H8nl57hi/TytEArCnquOQ
RWdDiz4N8IcaKquoRl+U6DHI1MyBFC4Dii+JzqhmH0r02uM/YQcFMbyMNj3Uq8xCxuNveWD0W/7O
KnVwuYUScxKHkanvvTP8cY/yBui0vfs6vi1bovb+nSHqqPJUrlUR3qNzr1cOH+to3Qsapzd4VncZ
5YH/awhgrYnxFdhzah6RggOqry2jcxibgOmHoO8hZULkfbpiZ5fmR/W3MWr6Wl9J8XqGsVx/TD66
B84jVQHBFSsl0DM3+0OKNJrV/LOtfDdEei4DeRA7rojOjZzvhxFJH+DgwNrEoomgTuMfO4Jq4MQH
M8MEVr2NpG6Rq37uavopdsXjiMeCmys4MNTtUJ/q5C1g9hzP7TOI2+NARg81OhKpgQUhyNSg3mic
pO4i6NsB6o3LXjhrYLoEy9CcR96VugSLfFupYBw0TpWxl/XH0WO9I+emDCccEtdQKUBnOxWJGjDl
xaXmuqesFk1XeJyIzoMqcQCIAb5LLnjGi5I+ZX7WCO87QOMnEDPQgrdrJORQrBYLnztBfDkZiBrL
VhO8lN1L3g6bBHCAwmqai5GhEPHCBySTE+IajlLkZpgxouT9ZgB0HNUHdL8jHIMB8fZTsqyNsiLv
uRN6hU2p7O0E2m5GyOizp7NVGDFkMNEeiJQ6moFx4b41E3OFVrhp6J13n8M5/KWo23GlAEm3Cb5k
16xyZuL6PqKoUAfDgPBswqjo9Bhq2KnsK3FwVmvkWRFLinGVHuNvPxAcL3UCVr5lJiiD4Rnn54QS
hioiDTLTOL7v8VAKzpmkmJWfrGTj1fhSfEsRzEaIt6PmH0Y0cS3vjTmzIM4CLBmPZbQp0tD0UJMy
kHu0wbnCm8NSdZQqEqPVbFcqu3OYFOlGMzo81vPO30RBITwbeEk6yx9x70O4+EPAXsNLTZ0ECm4X
l2sTyFtVY3DOg0E3oS+N7VNn3CZXXBYzL/V4gh9B1mGiCxOB+zDu2NS1duhagQ/Ts3bxKuL02/Bc
7ZdHc+85tyao0UiN4sZpO5kQiM7ZdUM0ZH5S/TSO8S721mgAt/+5RYRO8BnihT+RPt3OX+sFiR7w
cXouwV/lkdEgqbT3DCtrzFaWicqqMs2N8NoeFX4kJRWkSIE9GWlbfiR+bouKPUbbCZQXP4nn5eHR
aa2fRbuyRzfGu3E+BlEAe5xg6vWHWhKl2floHa/zdZKZLUrbwaYuMsQf2fRPNTCuLNG4nybh29sm
BFEVEWcUaAjQVTH58NUzJqlivo00Nz2rRU2UfTk8tNyH6x2E5inJdk3+VeWfRkL071441Zlu5zVq
Fm9RwZtSH+yiLCOxl2zHkmfsnZmzYPowLD4iJFq+aDB+A2qHACcEPiyxOG+v6vvkTfiQTF8j/Kd3
qRJSrpRDt6kcEVq1jPAx4wkwDpQ8uGmQIaBZO8M6BvBNDbOz0Bh4IVsNwv+qz3FpQENjfNAYW4tK
2E6OYKigypqeeIA0/LwCrxYhbVCDKiUuPfty+hSdRR0XoeTZy6MVw+NmwsTUK47OMBDSYmjTleLK
UFWV9RCKcXbu6g9Z7ojh7joLOyux376BC/kOgGzSnyoFj+kMqIZdwegGuHc3NPGCcxdqflhVvGep
DxgaiQ/UipfPhZ3vs4d4I5/Uk7gNN95W34wn490/d0/KCvARqzSNDUvXgn5P6zgLbuxT7q7oELlO
kF87p2DeaKtLUASgxLNAoI2/jtBpA4bm0RjQDNeyZGl/WLluthplm3pDl7mX9ojh8lk00w0ggEAM
1bt0Xa8Brt/162DlbVQH3WTgwhZP0jFyMkdci6t4xZIqvj8cpy9B2gvsTuAQ42nGtK7gQbTsYRZU
4SDnH7K4xbOJSPxG4VZSdq4VpwORGMP3RPgWPXw0iKOVemJKQj/Gre8Vap73RVAoZ4WI32DRhBLm
wdtDdubokuyRBfO4X2lcNXCTxBUH9xwZSoW35vhBV6tG5NTzr/jRe5dTswmJ+pgf8FgbQ4tnXOTu
NhagSLgpghoUuIiptebWWoSSZOTFkXEWDbtpNzE4xmVzIJyksKZx1hKa4CddTIyO3kFVW1Rlk8XG
uV23u/Y1vRQH8c1FN4a+jh7DVWX7+/SPXDHMsqxS+yYaYlRFXFgd/G/3xHXf0Hki9UrzS1bcn37p
xk2mmbwaH7VLkqb0qr7CTOYlcOqvHgc27EIlzbnkgTU2jeFF9N9RjIC7rhv0yqSsNOrdqwePbchX
/FSQ0SBFv7ndHMUzYC/dc6MAXC3tItPzVg/q8/J2mBnmjZVpt1xFYiF286QbO/ecEOf1HydCqCFQ
T0+9yTieB1j13DwAFag9PnVHtyE5QbZ3tTyM+wfMZEpDKFfAB4XjmhpHEYNGlesk98yfeKR5vwwn
vbhv/AaOHwam+2ocWdpbdJob1J94SYA+Fuw+YHcDY8ft1LkD78mNIngXbu3tgtbqdwbopbeJc2nW
/Gd50B+yV8VSLMZIpy1MOaYKf4AsE5hPeKRBb80qyASOvuz7l0R28F6pTAgXSGBpl6BtUDgsMdcZ
LwStMdLLCJiToiu14YpSN4ouDfwLNFtWWkI6YP4f3YTwDPz73dUDK4drFl6ewKYhcFF3XjWL0mAE
XxKeDWja+p21F3Rok6FmQUPvHQVsuzpMaFOyfOJKup2+MoNelVf58QW1HX2l/il54r/6rxxOg33g
+H+U3/0/wxMAanprkVqwXnQ9YGm9+CJ8pTlpX6GLUaFmR1pWKeAuOFKGKIeUu77weA9DCzzSE+Ws
QUZcWi+73128oGzQFyex1WIBR8ylPRo2LqLLv85cHcrdQJOoF6GEn/efsofKDC3tIVLXzS8rsRQO
N0GCijfD5PTFN/uJGhEV6Fv0yHvVCJOd/dk9x6IJfMTJ1uuta/4+QVR22dzdjZ6yNq3hVbw1+HbU
ymmABdwvJu4RCHHc9saDcZRZoPo5WwYiBZifRNRtaIykIDZGIVQi1iojwHhxSLJ8DY2pr6f+I1Yp
/H4agYqAEXARAGJq0PIvfi9FY+dF3UXn/PCxCbsKNT+NRedybwWhAWTyqHbhrYLXw+30cR1E3wdo
KKDGHpu8/uhWT8vrc+/fMIB3Ho4RXNfu9DxlZYjjkGvkC+hDhBqlPM4M9LdlG/d3QkCpr41QXp4k
o1wUXS9ffkUf8IPg7Dvxa/qifrUf0euyrfuXzo8t0BGjMwFLQwfwFBASULmN8qV2+uhdfk9bgje1
IX0l7jGKNkrekzjadVA5QbpbOE3MmuVLVW4MwPgbUu1jFm/jfZSaBv/3B1FL2CmjEA6xIF+Kl2Sw
M6jfhDLYQUCuJW0YY58i6+3WhikgVFC1nLKNdFZTysem4iFXd9l15i8DPWPvsj1C6cS3ArM336qn
j4/vgVwawmrRuTs1p0m/MjztzKtd7hVqGtW+BDmi50gF+C788DYs+nYahYNz5doISHlvjfByOmra
KMLIIb/km093E60MgH2MFcieneWpvM8RUcaoYxPJf2Rmcd29tOWaR07oUTtLHlmReouWUeId2wfV
tTjWPM7vlL8m8o4GM85GY+RDTGT0Ij2Jpow+a+GkHbgDcqn28hAnv/vvzoJi9+10GnkRCyGiwsUq
Tpv2hWPkVu6vi9QMTqHtyic0oW+i2oXfi6ekMEPR8o9DYjWgwiGaXWFXJhZaKr7GwZaZb95pdaix
4RQwwHCI9gYksSh/zCWuQznXVy7lHkwLO3df2+4j/GRV7VgMwXNLdm2LrliERpYUquLKF37V70OL
fB0Vs7SzfX9cXi+a+2by/xtDlEtWaBGRuUBDqL6UT45Uk3rHv8nHdFdZjaUDH1o+A42QE+5Yef/8
nnJrm7rTtUUvQe/DkC+lb3s793gk44p7V1bjt2R6PmEanAkoN2OlnBOky14UlZhUhYwOb7fr/5B2
Zbtx68r2iwRoHl5JST17bDtOXgQnjjXPs77+LhkXO2q2dhNnB8ibg15isSaSVausTYWGYo5EV6Lr
BQqjommRj2k5COpzT6Nd9lCe/JKgth8CVWj3EuzbbzUnnVwJBheITCRE6WiVgVJaezY3OTkODsem
rxYEMgGcBTH1SMW1iKTMYl3YnBo3A8o1VXAQoWleKr6BlIgjsqsQMyMYEipi5kpI/LtECK0knY+G
xnPxJn4abhTBmIWajG6CHNyJ7YCXIl9pAianY5YGDmS4oMBoR2ZJVZhraahI/hkkO9IZrdEYawTj
xtAUI3LNCkUOGmimnzor4DnjKwc5IyPJQ+UpbogNtrUnUEK/m9LBPxv5zsQRt0TO2rcfHIFeHW+/
UHAnDFYrnG/ZPNLz/ADjLrA+rQxcJXQqtLU2NWoONmo97XQjtpON1Pib27BrUkUrER4jcYkAKj9m
G5UmKxoM2vbPmJ1LJ/2EBzNaYDZaHmyk6JeSTOQ23oos5wd5MPxjoQpYFS/VplKUoFJGOTjLG9Hx
96hX5b1hr8gRSZYoz8Rj4MdmH/1SYQitsFODc7BT98NxOOi7+qi6KPrb3l7KdWCbqdkXSIzsPKUc
jVjVgnPlCmB8Ar/zvjxV25gWDhpYHsOdtMdUNV5RwHX6w8AyLjHGaNe2nwDb74OHcKvS7EF6/B7d
lTvT5VY886TJeMYsaCdByPXgHN+dfYwye8aQaDc6lducJ81ZWhehmlkW4xFLWfS92MOyhK25MVxw
uH1ojraXHHEbnAT39t5duV8GjFHDPjWVIMmwrPDuXvqWvefuX69n/oSFC9a7wYLhKsEZ3VXH5qjv
/e2wBbXUvfBY7iJOj+N1ToAF4ZkM1TXzsfdK63Hjn+uxXoXn3JlcmU52YoOZ7aDb8W6iCoVB26GL
Vr3t621BXj9loMEBdbyYFD4zkWH82+UyUfatGx6Ksb+MACzBeEZJPo2NeuAxYnORmD1TB6nykw5I
jd3tJuK5hfNNcepDzomd18VzzJKYnQv6PPSmeUkKjk53P7qHX65pa6fRDZ7873gV44XSaxu7FCET
2YoxmlAMDbwR/kqghtOi9wbXqdwu9lUg0BihTFdH1whbEB0mqVqCJz46404Tr+u2dGfeSw7a/p7V
p9tqwTJqmahWMjGl+B8oJvHOw8lIUHETnUunOiZuSRP7R+emJN1iEt62L8j4IN+b9+VO+6KGGp+G
Xx/oUuCNM+V9hz6LZGGFUYrIXjb4jn6f7CRYRnM0H/H4JdLRyVzf8Tfhrnfbt3iXvEZ31kahDfod
jR1XqWbtvHRvFwJhyXIDszSRZeJDCruxazLVVHhqvv36Dlb3U7UJXc/xnIgXC6/d3MzWiCswTKTE
LHQ22sapnHcaxq2dOxfFDcoxoNNh8qhpi/flsXnf0+ixOJXfJB4vAw+XsaA0ydA7gwk2Z/9d3UsH
WcJjsshRsVmDWIEu18ZYzVAEIcqsvqwGXcfkp257z6nLCxSz+7pCwRwRXCJizhMy2kv9EeSwGWvM
sDln2rGOHkbtwxt5mS3LqvZlLOgn+QeECbKFJxVVOwJE3Kh7b4MR8V8P8rUborqi3XibelNtpf3k
GBvdze3c7be8K6PrAwNGWc2MvjPzoiarjHMdrcZXwFSenHVQtg5KR+KY3nYJ836wklwiMDqRtFFU
RnKVnDs0i43FXWpmtBsdIcZY0CelycltuJWIiBnDIEOfNR/s4exzUSQbEcYCqfG5Vh6HljYCKu0c
v38SFNBSSY6G+gMvFXd5K28q8OuB0AkTau0cHXvFUQ/AtpS7t79oTZVwihAtE9+FlzpGlSo5bWGK
MkTsFa2NO9bJTjGVw4m76v020vVVBLzvTFqBwxnmj8IHXGptP5lmrvdFem4/6zvpkNKjvyt/SS/R
SXrgQK0pDopfUZ+Pd0HwW89p3cLBFnHUFE1YpucpmUaZjrlf/Fb7NhRoi+ab30bT5AYm7jbTEV06
9dsoD6NOE9/rT7rU5GjNFawIh51aSH7Vmt6WG873zUtl1W75fYwoQj0afb9s0nOcH4ZsPFpgZwgm
tEmLoS0nHzligqplmI5a2spLMKAKo3+8/QmrEtLBC4wKYXCbsmXCmhgKfTol6bkwtb0FFlWhBmfj
/4wBSt55JhyG5uAAyYS5Ik1bH3fB6dkUC9SsRrJPrbyzOBq8lhmB88WY64fgtDT2FQLdEpqqTWl2
ruzOnmwJGa25020VFerWHq/dW51T1nH9LgaviAl7mAaEF2fMbWDSy0xKVQHMOdkZnKIz1yT6rB+c
92KzNR54CebKPgHKQC8TqqMQMOe/LzRZM7qyaLwcBWD0gXfHui65xY8z67C8wcjGqsjOXt3295ZQ
yW/aGFWPQtG2NJh3lkhip5tg8TUK6GRRS5gVjLpYhQ467gU2jZlKCQqSk7kUPLDqgLO31+8lGpg9
UCCs4NEMLootRGw8Y/QL0+jOYkFNFJcE6DGi5fRY+r8bdLaiFsp66rtdJIfP6CojZYup1fXZbwM6
YpCRZyuCYykociiPFY+J60t9L40Y34abLDyVoxARj2CXWyNOYpnoQtWfhXJb+pJbeD9bES46evID
tBtP2zGrnVgrSWq4oRDuvA5FWxgGmJZEwDiMt8F6a4QjalbyxNU1J0i3SfDZYuyseW+CsAr/u61O
oGsJO9SYTwUBaZs+NiQvHAG3WiJe9Io3QQUP3qksalv0fmVi7gR34e+021TxTz16s3pSoxr+tlVf
h0wNPMRf5eKYNimzvhVOtIk6SevPKUoRSKZ3uiO2ieiqUfhZqyV4mGXzo2sFHp3vV7Rn5I1rXgV9
B7gSwt0eE6ulEJxajWiiEnD45mnDbhDd3N/l2dOYP4nhg2KAhPnVGl5DAflyQApLcop75ae+k4V9
ehSfI8OOTJNGd6AwKnyqSfdBjTLOnXpQTVfTbek0huBwHh6N0Smc8EG2XAycIUVFhlOub7qQlsqL
9Vu27NsCZakBZqdloSQcNo6ufFxBMUljptW94VVCfxbjAPW9YKdR78EWXuvUUDfBdGrLAkOHbeNR
o/pB859141RWAzGijXmXYj59zCt0VebEihX18osY1R4qdYjHwOvPXZgRye1LNy4fYovWfkMLK92M
OiZr23gZyY/6Tg/eu1cvIJXwoIk0bd6EzsaIO8/cQhlPY+BMhi2npwy8F4ItoW7Z28ZJCc2hY3Pw
7SbgRf+r9xVU12MMMCZCYJgziraYuBP3cTFM8hCfNWJ7ozMOOLk6zyPRHnhcvFfZE4PEPHrEshGq
RdbH58gTtN2Asda0mgbT7iVwR93WkquTxQyFoip0n1ggGWAbZ0vP7JJymjAIi9jG6HYUNTIgVOSd
ka/izQyjwZ8pCKc6+M4vnVpttlGC8mvAWCioR4bUUtlseFHt64RyoWCAgevANs1Dj0AxdgkjJ1Gq
5FKdn+dBmb/Q7RVHpBBDL95IpZ5rNB8NtPIkjVptpqRtK5qoSWjSPh7jinSliMInYQrNgmYYQTTS
zBsxiczDNCDM+W0EI9iEeiaUrhooDbI5TwgCMqBvRyKK4snPZaFYUFDMt+loqo+YMVm0GFNCxSDu
4Wsrz8K1VKD374klRJ7bTlmg0CkTuh9hDnZ0GlhmwGNEvA7GEImCwlTcVqGEDf3DlyIR1SrrU0tK
zoPb7Mo7xa43gRvisS66e1e3yUBajkZdpzEMIrPXetd2U+cj92/c4ngKlX3a03AHNzdhPIJge0/c
EuOrvHcOmJibNJOegfeBrQtsxyouFNRE4bRx17h97aLAGBPDWrfunCZ7VQ/1R4B+BmTDt43n+poO
wAYul2SMcASPvsoIVypMb5TCND3XjkHU/Smg+q5xxjPHlc8hiFHrCxhGookRjGmDsVfnlqYv358/
eTVl3HUwMbC20KzvFwDwNsahIcc7xYkI/d+rGhlxMRFJNLqpKOp5HU5JIjgbk9wFKM2gnG1Z04fl
tjBxRgsnr7ZSbAvKYVwsyXV9ou5M4lNjH5H/lYwJ07ehBTjx4AkQFSiYQH5pYl0lmlWozHB27zQ7
+Xdtk+61Ivq3j9sLu8qRGCBG3YJhisa+CNPzG9hODj6JnNTlqNr1i8uMgaMbXDWu16HVl4tBpoSH
njEHhnsPse2O8fH5kXs7u7pDCxT5EiUyyxKNZUDB5YNEXGmLJk8Umby8FPSTcyRdExqqCGaOYhDK
gC/0EmqQzDiRQj87CwF5ywdQjUc+2W5v78xKGMUdH7pcRDydWkjeL0HyylJKVWlxniLeD+U+23VE
bDa05j19zDkG6wmWOLNcF+e2FgmwIGTAeZs8Yp2If24Ssn82eb3ga0Jb4jAqnSfKoFghcLxHmdZU
v8ezisNRtatsEJq2xGC0GYMk27bQm+x88DSC1q6PgccqeH03xEAwfk2oDVwMtDXElezwCEsFR/ih
0GdOo9FajL1YySzNxa6IU6NooYSVRDt971bHuVNxZ1RPakaegxfeFepaNFjKjVFoSeoka6yxKDQk
vMchoZ+cjZkFf0PJ2EFDCa4M9UrH+b3ZqXa05/z6Wn6wlBbbEFRkmH2IIXTZWd9jUrXm6OSuotuP
kSqk/HbbLHkKwF6MGpXud1VQZueRIu0k8/iM0k6PEtpluLeDHNtkp8+A2rrr8q6a9wWJgCtHJHZD
V7A52sYxTfbqJur1QagmKFtjD8+YLL6paGjzhp9clwJeWg57Q5Inw9iPMQRXfkauuvttHXbozNSc
+HncygcZB6zX21vFWxaT4/SRoPnFCEA7fPqdHvdb3pI4ZsNS4+ZeInqKCIA3lUpb9VdCee8KPATG
DfRFKbSTCMM0T4fJHQiO3Dzb58QZNpgFqj8lsYbN70HRUW4qZ4+DOuFEzNUc4I+HQRPdpT8bQd8k
G3U3a/JIuyMImT96d781qbD7uL3rHGcAtt1LqMqf1LRSYDR2QCPr8ei8iCLpifqtDkhGeY0uq4nu
cmVMnG6V2pdEYXZtrq1h3gMt3lM72ReUJ8K1BGcJxARqX/Ylzy++nME8UMKklTvZ2rY6gMW7oTSh
HDnOcvp3n41Gnks5+rWp5pUym09MfiiHyNbt40t8zzOi2zEbnb2XMI1XRn0zQn64PFR3NYZnbzkL
ue1FVXZwDEYWD3JYQfdwUG2ezYfgQB1q8rrvuYow2/IiZGdF3fQCOEDO4ichtTtRCn5Bwgt1tz2C
oTIeocsUKRt1pFE9xWOnSVELfB/QkKqke89wPjU+26OwyRzegW4dd65axH0V2gEYZxr71eALQgDv
7VT2qSYYzs1x1+uO6A8CI79UC3tRzJPsLD3nTwJt9gqea3l87bxlMOKTSq2vRBBBIKv+gQt5d6s8
3NY2HgCTSon6EOLWBADpRBKSEfNX9HIb4V8U7R9BsUUZVouOmXEExKk3bZ1Od46SOXs68qqVZ1lc
O4A/OIwjBc088qosznBHIL5Gtnn/kjgc2+Tsuc44z3l8j4pJgbM2W0RAk9vg7IsTB+RfUrY/C2E8
Z1R02oiR7HAxrrlJUQktkHhT29FdsuWZ5/zBt2TGOM2kr1IlbXA0jI4HsBu7pkI6+n06ZXTLuxVb
d5x/VsU4Tqlsuj7SQrzt7d9Coj9zlnJd+/OVr/35fcbiM6sOparF3kj13iCSbEsake6EO7zgkNSt
iJOgBurpKf4dUmMgMrIrjkNYV3QFV8gzpxxqehmPIGudVgTt/KSIaVHDTiLGFiVHoBCjvFg3a8DV
ti2QGLeAhs82KTS8zMq/S59WuNIJiGUfhlNBt5xke/1ot8BiPISRZkkadljViAYY0A0f36mTbPef
rwqyFJmj+6sHrz9gLGsB7sZ6XAcDLNgFz7R0b7uiVWe3+HXGQ5illXtwENn59ccUkKf01/Pt3191
D7gKnVkX5it4ZltKVAiDBALprz3YdrodX6KUILO6DTL/yNXeL0CY/SiKsiqkAXmOuUEg3byg++Pv
EBQm+a0ENCMFPlLs4G0iGNWBNnZxy0kPVzf6zyrYcbYg2fz/rPdp88jR2NVdXvw046TlMUQ1Zw0B
ya/9RgP1vbrl7DMPQcEWLVKnoimsGP2tcGWosGucZ+/pL5fAuGUPtW6olAFA8tDR3na4R+h1X7UQ
EuONQZPWj4EBVQXXztPPnD70tnisKGcdHF1lH70SqwLflAqU8fHtp/WODPPjr4yBdbmBJTRSKwMg
OE/beHPM3WpzG2E1bC0Exdj0ODZpruEJ6Zzs/BcRo8c4cWs92i8AGHs280Iok/mcpG5eK1s5mMHs
MzDglGPVnIWwrtVQ+ymKS5hFeYcRrueM8k7mK5uNoiMNw3BQ+iSirvDSKtLSw4GiUXKkLTiZYyKM
SzKfp1Fr4rpAmZe5tD10lVtFBZTaUdyfEtlhVAKeakZeer9i4xc4898XOFJeZoM4rwbn/90ssJGn
uysboqHECYX04M7RJbaWPlYVDPXTtRwncVdOUNQ6lJwtX7vDuoBghAU+eBCuCIDwfrRO/3pfuPVL
4Yi29Erjj4BwrH0l/F2gMSKzilyamkLPz2/eyRVLqoJEA+z1tPp92yR5OIxJVrLZN0k946DSHMOZ
76h3xzt48TAYq0QMETS9g+RGqm+8R9w02qigr0h5vr2WlTi4lBl70xw3Rm/EM45ddSTvuJcJK7ci
moRa37k8FEV17HBWq+klSZggq/C1d2piYkwzUZAv8s1/7SLrAooRmSf0oHCTAaWhH9bAocUNMD4b
GhA4IxG/8S58Vnfoz8q+ItzCQOtIaeNoXplGLFegHcUg7E9OeFn3NgsQJmOUVX9o2wEgMYl2h9GZ
7nBP8sLJhbgoTMYyao1lBCJQSkfdnOJDSf0X6fNl/MYB4omMyVuGYopRJvElsvZd2urPTvbj87Y+
X9dcgQcG9dciWjbNmYlevfSbeS/1VW+o8xHZO8V3xW7cp3fe5uzZ4Sk8oRTi+H14HY+5jToI5zb2
128zqfEFNhOBfBQtixguh8uMgCYflR3aNQaG2FWwSR1f3bbgEy/R01/1+85GQTgmlnQKFZ2RgjZk
+J6nM11IeECzhvqZ7g2n3CtukhOzIunJPMn7GBPefpcxqSKS/qwUzAIh0Vt/zHzb97atn1LllKQY
UbgV3z1zgxlt6jczpsHwjtrDsDo306bLMCtj1+ik8znvoivBF/wWGpre0VeAyh8mZ++yDCzglYTT
r2QXh0kjL6HNyVR4EIwtdAaOtorVz3fiMnX14/szr/1iLSu9WAVjCIog66PciNk5r8hb6chU8Umm
QY6PvC7fNW91AcXYQosZgaZeYTW1E+2KhL6BELGiZULndxdjl3Ji44qfv4BjzMIKZKnzU8AdxN8o
hZK+31b9NRdy8fuM6qummjQT6kbP0z1e+Q3UdQU0I9vXfCs/3YZaSYwukJicokTlguJLQBo3Mj3V
G/PX9u8AmDRCjbUqUvRpfkQS6U/9oeIsYMULXiyASR8GVMdlWQRTwdXwTnWqhLxvPznbzbOV+RsW
wansQ7lvYyhyiM47d2ydUdny7ptubwRqBy8xMIu10jFsFke4z1O+Ue3i1ePU49+WFBi6LxFiZWpM
T8ROeC856c69RWhuU06M5S2DsXmv1DHHtsQyDh0u6l/6/5WWbObP+McxXvXhJFI9KKWI15ScnEIS
2U+YHsnrx+AtgTFuUOln/lCPuPcR8SiZ2JiMy+ntWzkrXKyCMW9PyPReSmb3Ee5RLezKvOJzjgPR
2VenIQ5r2fOAIBzE/Wl+NQGb1uC++DavA/a2begiY98i7uin2sCOlCUxCfVRiVBuuf591n4mF7iQ
GGPlRW5oStxgT95wtpIR5Q1aHo3XPSeluu3XdZZyBo1ouZKpWMx51xDeIYQjKTbFhVarVpTgx8XO
dieS/g5PTcm9TOZI6kszFr4qT1O17gP4w54q7o+5u1In4UPEO+5ynMnXk/sCxlONQPNyKJhGXFd8
ph+5w3G6qwgYMQXiDxVzGq7OOroJroROgZEYqKbKJ6I9kv6DkwV9MXNcKdYChXHtdaZMoW/JMJSt
Qew62Za4fXAxrtUGZ3ZOPDxudxsRRcU5Eov4Tt9sGzTkt98+nXfxfs+7R111PX++hlUR5OKhIohY
c0zyH6X9HfXVHKmuKuECgQkCuZznfukBoWmIRYWHQw9zvR3xV73bAoIJAWiJLDI5A8Qrtk0HSu6R
2wi8RTDZXoTHIUFtoONJZbshMY+BTgrKUQ2O/n29pCw0PGmDUu57gGgk6EiNk4d176I5Jj/fXgwP
hwkGamvWYdlAXCP9UU2uhdYI6mgvt0F4EmPSvGoww1rHrpwP1dFFbaJdvVac6yme7jKBIOz6Ic57
QBj3bneItjzPxlOreYmL/ah1I7fKGvuBdmMMzgW/8PNtGfEAGFdgZRPeteH/z9Pzm/bUuty66lXX
/Mcwvg7bixWo0RDE6cxSD/r9nUXe4ruB4Fkz2fvu7ZVwtuKrXXAB1A4K2noFAGW/cnIPSw8/ODb+
NYf1ht/8mk69gKiFttVbCbtdOo0tuSLV8K6ESXF4aA7RWdpV1Hh0KvL8wSuG52gyOzpOU4N27oSc
hSjZdUS+7XuifdyWH8ckWZpwDFIqxqIERrTrHfP1l7QxNtPvv/MvXy/gCwkOZmsVmQGQnmo5CLhs
iX6v7v4ShLF7xSvHBOQrsPvyFQ7sLt2h9YryynPWXpXR4/hPrGZ7DvGnZuxmhbMHa4Om2I7umnP5
Frvqz4O65cFdcy7Mp4AFHOMKotrr+q6G8r11R0l3wuPpjF7Eh3hAj/GwV14pHQYb65Ri5xM9pP/x
ZmPxAYyriFo/0UAHMCvhyd+CCuvZJM+Gbf6XE9sfGPbpVu2GPgvmYP0mbg7jV5EK+gnzn7e1ff2e
ZgHD5ARTYGRF6WH3BoQG1MF9vHs023Bsau31YrlpLEeaCGcxGgFkhlrS3sEMIw+jH8FpCmoe+YS2
NngPHoMMd2VMohB6oYEWOQjQbjKSR+Qd92ihu8X8k78UoXoZnII+Kkc1hAhxKk1fws2394waD7wb
NY7vY9/kElHwjFTSvkp+B+LvOodHzMKVGOMw0FQ5pNoAiFO6dd3oI6tdmrzdltbqMtDOOFfWYP4w
28iLGeLlUOUmMgXwOn/Pd5Kjb8P/4vgWGIyFFnGoC1ICDIw/wphyKu3Vt/HAu0RdDRR/UK4ieqlp
eLDW59wt+q48og5/LvY1OGtZP80vYBgD1U1wUBjI3872SIMHi2BENJH2zd329r58VbRcBfUFDpO5
Y3iD6Tc5cOJig6GdPzwyc48R6oBNc7e/q8+HaCe45r4mBk5EBSh70VfNOYKvX+UuPoKx2RysoXqB
vtSzLecH/xEzhPRnxJBvARE2qc2LJesKv4BjLHcKPDS8jlCUw0lGz6wtdXORjLzhLWs1+VvgMGl+
mOZ9mtfGfLTDywR562x/P31+3t5BjmV9TdFZ5BRV2iWhLwIEbWjl60HuCU5GaEa5jTL7gFtqwmb6
gxV4oHFGSQ7ohkiPaTT/KddfCGte52IdY5YGY9nNiqgT1UaL88ffrYDxDqHcoL2px+8P6AW5y7hl
DbOh3JAQG7jRCj6OsQYJfT3Tuj99J9zR98jhcSKsdTaA7OEfV8oWXgW9jFsxAQuZ6xpkej8RVP1i
5hu3/p+jWWz07gbdyz0fK0oJKKBpS4LH1xZNwsJ98FDsKnHT4VUYbTvG+fZOcTws2wEvmH02P0PP
p3DrWbjvzmANcPXA5qj06vJAOTbX+qHInJUj+s8q+FcLTqd9bQ7x7iW2uV581QMsMBjvOvZhLPQ9
MA76JjuKe8keyKjQ9/92zjTRv2vNnD5XHAggz4pDHyOvsVevyRnUy68+CcGcgtB0e3NWz5kLIMan
6V3a1qUYzUAGRrqgO5BXZryu4AsIJh/BOOdJSqZ4LkOSkJ2OTk1/DxSx3A4I75Z5VdcWWIxfG5ph
xJgtyK2L6R24/XCCCG2LlzOsR5wFDOPcrMmcCiMCzNtkT8cH/b49Puaca751uWF0J7r4oc0YXHDp
QetuGjESIptLHTo3f+/fkZfS2h5zorqyzVW5OQO5cnh/4IxZ9xcOu44wMUwQixyH2ckdX8FVSB4m
6r1JDifCrUtvgcTkQqWVWV2kAUnEWOz7wFZJQVIsiKcMq7q9wGGsFXNXW0HB/MizjSEMAuKcwHnj
X12JgQoNzB+ZW9TZR/62V7u4TyuoGzgldTrnHfN1M7+SfS1eL4EYkWWeN+ip18xmGt+FGJrVVXZz
/DmQ0pZ/QSPqY3lu6H/ZqCUqI0BRaDx1GiFAhUxvKc6VDejmO9wJ8YDmH2J1bwnEJIyD1AnDmLb5
2cC9YPJdpTV5ysjkVHfFnnNFuGpWSywmW0wi0c+aEnvWuMjgRkearcqt7QLegje+Ys0dLbEY76qN
LZRQx7Z1M2fuFp0cuQ3ifvu2D5d42jH/fWG6Rq1YmO4NmALvnTP3MNhN7zGzAirf0cbBIDIfbpBL
DseDZZwtamQlo7Hq2UFNbrUD1aGtvqsOapcbJ7kbfkivOn/I/ZpRL0XKuN44QflyDFZDWMKUk/Z1
dAzXcK23/j2gPh7KDJOKmpM+cFuNuIrD+OOwUwZTq7DcClJGAxstDqCQAYNsseGSUcxK+O8GcTVj
RUkTXU7UWXFceWZRP7rSUaep5pDxmac9a0nNH4mCculSe3DMjoQGbTJQ0uRDdnzyq7fbnXd45Gjp
/Du31sR4k74v+kZPgAMWop+pE7i/Gye7kzFOgptT85bE+BNrigu/zwE1uSqe/zFqCA/bGaoe/1Ny
sxQe4000QZXFoMRGGWZEtL5zFeX3qD5aeHzMRLtCXl3Zvvxste9l0f3PzNW4RMXAVPWLSg38xoxG
JkYYVkE9zhWXBh6EFERSp8BxP6O3t27d5v7B+QqDC/+CdFsT/PYLp/7Ru5KTbf5D8SiYM0GSBQ51
EzyQzFIEUxWaxBhmJUTj47xhwkl7508xXFNCzHw18FAvyugJY9yH31tC7YPuFlQFInUzqMaDtnmJ
3Y/bElt1FkscZj2aVI9BZwAHhPq/MGqXhLvRtTYSXp59m1fo/7UBrGkt0NgNGkJVTT0ZaBgqTH4O
h1/T655HlfT1ZHILhPETk9dXZTD7pB4j6lKi/MJZztZHAiIj+/5psl0cXR/8nao6w2e03Vs73tCW
1TeK5TIZD5KEopx2Ir5g6vZafng5PPp3LRHJXb9DzmVytH4tvC3RGCfiTW1sCBPQNFAO4BajfWve
b2vJml0tERjnMajjACVFRPHfUVjXBdTY3Qa4nrkMD7FEYBIQQx7FRquxhsqWZ0abyc5QBG4QbZeS
t5P/GNKE9O6D6tvDi2O/7zP6yXORa+fy5ScwyUkrGNbka3O+BbKBGLe4Mvnk0bvzMJhMxAhTjHSZ
86z2dVc4jfPu27xlrF5qLtfBeI6yzprR1L7UwcD00zNKiB3P7lBq8iIerIfbG8dbEOM+gkSU8nR2
H8q9O8MMdMSrx22M+Tdu2DN78934uVePDYIkboHkd5WkmOCG8Qqc9IKj4+xDtjxOcjiEQOmhduB3
ngJ69/l3C2HcQqYOtSkIEJYdItMlMZ1ojHIpXlHhqj8AZaSpg7cQQ3SYPbGiQsrzTszPPxR32sUP
6vb2MqRVUf0BYE/ghYBhzmE5YR1Z4Lj6XqcDGCAiIuekQlS/yyrKnZo2u5grJVhgMk49UhI/MkrE
XZDC05zo6NSeU1vd7qjo0vL+b9fI7JVc5kUVpxAikneVCpiNKL8kbkz1c0ffA0fYiXN3a7fhaOF6
hAS/vizDhhWFVfauLxTwbUq4c9h0dvS9poFI8vM+GriPH2u5J9ht/0FiJCqocEajAiRNhsY3rkZO
Q25Pm1bm9hLxoBhh9oaeD1IgzxHKjez4dNyDRZ//BDv/zLWO/FkREwjB6BuaqYI9q+Mt7oox+1kl
6i/Jof3k8vSDh8WERCS0WRElWNLkdiAdjwLwySm0vn8M0Z/CuyBafdBe7hUTHutey1LQaKLPB/RL
ipMerQq3AM1mPpKgXvCQb/FWRoPNbUNfdbwLDWEiIihZh1zsgKqYm7p+LdoHs9loL2LyIrZuKpLb
aKtPj7irVPFQi+Gv+ldet8je48IQBTFWcES537motetPxwGlY//luXYJw8gSk/AK8Bqq88HcIq1K
pEPxQ//Js+PZeq518c9iGNnFDdjjJR+LQUFfSYK3uRP06BHjFdSGt+W2vkt/kJicohUbYaotHHpE
J3V+J+Q4nx95OSZ3c+ZEYLE5lVW0fjlvjp0cT5kNkn1EesXhmdV67PqzGCZ2BZ6hCnoAmOzBdge7
deqXcic+D+89iWhlt5y76/mrb+wS+3gmJJg6kXuw4rcpI8VdgdLOjEsw9eWzr1BUzDAH1ek8Znp2
jwvZSQKYR4MSGjfz6EnuW2jT1zak8VbZBq58Rln+rntKHI+nhKuascBlPDxqH1S9SIBb4TnjR/ny
UD483ta9VfktEBjHXqCEMdJqIBy8EzoPKfw6Z4d4a2B8+oih93grAwIGr6Rb/27wwA1339dbv/8v
rbu4H/+zT4xP17LKH0sRWOjes6UnkWSbR16r4exdLnUBPN4qGsQljL0yrtrtVNVvktxS27O944XZ
+fNu/fTldt/e2OsU7/IzmY3VpnYM/ElpQadSu+mpdynvtZUnCGZje/A/974KQfx8euAVpfJ+m9lI
fWhSvTXw2ynljgpbOV9dioaNH74ltGDSbs+K/VTb4Opxjj6C7/PH8+vtPVhpGLhEYmJIAU8odLOI
YrIDZXFPDnAYz7pNXPr8lG0OP2zYm2M76Dt0OOWAX6/Qt5SJiSoe2injqoMCnNwf/Uv4Yjop/Q3m
6ZPd3T8FNqa+7+g2fHZoaz9v71Lbo75r7T5uS4C3j0zQwfDYSOwqfIT7hItRTty8DjWX0mVCTduZ
ozia+PGB/OZZ+cq12vLHr1rszFbTat/X2vNr7Ah36ab4mRAQuEcvtsAbonbb7Nleu78ROGaWXkYq
WfKmSpNngT9wtpL3lYy5l0LteWEJXf7rX56RF9G1m1rF8mZXBeJoXlXnbQXUWc7GURDTsB/x1Roh
hHMrvnJPeakjjHlncdqE1qwjoL5/qi1Hzl8ek6fGxZWyffw4tiANHQ9H5bXRqHEKfgYDiY4Rj4f/
q3r+3w39qqmul7zRMGcbw0xrqpAYgxfd43yvXZNsW7pvLyPZbJ3Pv1QHxrJHw8g6QYRgB0I5P63w
VI0x7KFA1Wes47dxKItLEj/mm71zfxzJE7UfW3LcvtOP5/ZAN/ZM7LZXIrvk5bGcT2DuuW/b5PXE
JfNCT75S84WCh4GEXo4J6zn8aAmetyPbPXm7isjE+Y0RALfRMGrvZhqhf7m2BVwvW5PRJ1DLkuxs
i+wGW/gZk48Y76X1ViC7ykVPYUrykqiqHd+dUB2j7YT/I+27diNHlm1/6BCgN69JW14llewLIbUk
eu/59XdRc8+ISnEXsftAwAwaPaNgZkZGRIZZy9z41m4zIL3Ne0R4O0nHpzrVG3536YHoD9rcxDxI
hPVIYXq56YxOYz9V9kllTeGPfOZACWKL4PK1tb0ASj3iqyQA/2S/LQBrQdQDdwtIEOL56EmNN01M
6hv5k0ML5QbYC/gPRiPY9SDrBPuXHe8fP4UQ9Xn1WBrcXZUa4U3rgr/jNt3ntZk9KFam1/hc5o/6
KoVf7RBhSjpbsEAvWunZ3kVyKbE5kH0cbrIJLO3jwG5qy86tD41IGG/doFyms9vCPHQQGkROb4QN
CtpIaUhvrDnu+lNB2ruTavo6EtkgI5N138itUCVPm4KAaRreLNP7Exp4LaYmG0uyoalaouM5qgMz
WCCve9sBEMStYgemqZjISB+0s7fLU5Qxzuo2MYHr2Vk56ubxmwQSvZEMRs/p2oey4zdiTaQE5d7j
jW9kPdnIwdQ0Je+QoDvXYNjsXONdwmiGSopO37+yb4m9fSx2x8KQHk58a7bkDgxqqZEA7EnYMMbZ
3eb3ykXKCeBWgWcM3iCTQWhsA22YQ11DPradMTisuWm299lbUumS7Ru62gA0JrCUI3yfWetKDhgv
DLWhPwM6AiaBaET2zt2YuXPXEQGAuOnne2fwJ+f9vnuUBEL8rSFvh416i2kLcID7Dik/5I7YWxnK
PzKkPugkReShizBdf8DSdFEEYpXgrQg/FF3bhEf0uZyIeVeS2CyMyADMVwua48dWb0HltI2Mz4YD
BpRTks1WOOjj+RhYLOFuy3sfFvCCwBfn0R6PG/zPVkfyHpuGzFWLbzE8HbvvyO9HCW1Buopfip1g
9CffSN9G2wI0e4o/cuYuIRbolh4ZVPrfXTN764BvHaMzVySdEeSmFptH51GPP0T7lO2OjY6VAk1C
QT3YDkCOcslt7YbjdjFpjOj+A15ugObv3T2QY/PDO6ZEiZiTd9bhSeWMirW1421GbrV3LyX+Z2AM
T651r9yAuzq/b1Bz3WaYNzZw0VjSm8jXO0SwtxsmNVwPWumbjZ4eUO22den9NdIBHSvcTpg/28ao
Kp04McHW/kEmlNkc45oMp2oXm2VEiLMxCyDEawYGpj2Tv2EQ70SnnDiD7mJvPmGrAEZK6t39+1Ny
ekis/uwfwlcj7a3RYXEZmviwlbH+6wZtzRT/DDz+b79rkjUzjb2Q8WGbwxIbt8713/z7mfvTxlOP
Ct+ruBLMVVOgoZHIlI4S0Mk7ssY2zq/JoWIO4CxlTBVDzpMF1ChCDidGfzlcPBNXmjhglHnYmSy5
e3DWQORWIqmvmsJs67yoKrhkitKQtF+L0tY8Pj3loah93jFTmPaway3LNy4h6uUpebzA0Fq3xDE3
kr198IkOPOz3Qd96xlpbwBfZ15Uwiu4LcEU+Luoe63syjMPt++nkFOQZLtTaZSQx0SlmWYBpz3SQ
rbsG+HQAcuURY0QRSP+0z71u3plbcXeHK0BuAuP2E0Zps/1wPo4sbuKjQA4HH67GUc3revc1Lnfl
u+l6A6O1FabS4e056+Qah83B6PCpL5bkVAiPMJGTWALZg6wtO61VKldu5lfcM1OJcOTAuzs9bxPd
XFM38XfJ4ceFoodG5c5P+2IKmoyLRw6baadt3Xy7oPTvE7ij1GgM4z1AzDvg7Tp5JcnQ4UJkghBx
JYf1hVV+bZN/2qD/EXI5ZiIeHwNweWPzdPvoncXNk30wNoWu3tTEdGyd3OHfGA9A+VQ2TXygbjt3
4BMEFoCzpq0rl5HOtDO+osrtdOiAjXu4rlCL4aOGNKcAXkj0hYvUWnl/8JI6AT8oArOSg7nvnlQH
s3CMUe3WTnnJms1lUfZY8tE/A9yuFlYzMFvnj0vuprNcWdHvVL4EVt7vFVG2eXCDJOplCTA2+iG6
fUv0+BUt26sw1wtzzj/lULZZi9Uq0yTIURDYduaL8FaC9wCQninQmRn0HYPQkZj3n6V1fYFru0il
epoqRCUr/tpF1vReFPieO6Uja80/a2KoJ58fasMY5FieEbtESIj7J4FSxLiB15ez+KLFNALoEnnt
i8rsp5eWfCXK3F5tL08HDhMq8AelwyCy9tEEUSJaSgwPzOjKJv6YxsiLlcu+lDmdS6f0n8uFfAiK
SXpze1ttUvP9+vIWU0tzAZTSD3FVcpUAAVxiJYORKSbv6s/ehq1M7WFwDRzdGjvLf5AJEDyFB1W6
QjtYdnQjZtBwqQ8aMFjkbYgEYG2Opp7e/9XqviVNWjRzCgyIKRshxOoM9yEcjcpAkB4ZjcPiwJiV
DMx/sFX/CqOdH3CS07INsKzckEgHYj2OuBsW4xjAKVcAvbJW4VxyStMA1f/fRtrjRWI/egmHxcXP
oyMdbZ1HwcnfenfXN3ExszSXQ6XxONevXDHQ2gsejJkjGkJrMWa+Q8mY3yVgIYoPLuIKvF+2IWqF
8rFQyJpRWWhkmKzZ91qpe+CD4qLyp4Mc8DCOzNpR95x5V7z9nzeVug9uyDAYwcUhDiAKQZM8+EKs
e/X4F+PKPxdEuYGQ5wutHb4WNEF1JZgm7yxQCNmrK5osIR0uzLeOcgSBrIpD3GNFEymiBnygFjO4
GBE6TiNCLmKlEO+xAFNjq5LXFJRyBSnLlJrGTffcAj7fjWwwtgeJ3M11BV12Bd+6QbmCUPRTxvc8
EFajMT6yYwDLvgarXRP8pGLX9pGyJY2gauCVwYmJ5w6ZIxCb6kBJRSElR2Cr6a4VAE/RbmE9t/GB
2XinylnrW1o5SrrAHDNVwrsifOugV/dNA2AM2csN2Tdb9/O/3lOAeIIGnEfgBSRP6uiSbsjLjMFi
W+upAhJSiQ7ruzXfujDBgTHzmRTq5ORGG0cPxMeXB434etSTHrCUHgHzOZoBYjOwvLvhbVXqwkH+
kEodpJjEgpiIUMvW+oop8VblTORcrO0qvcDCgc1E/RpoqFw+8Irp7iWExQCgZPLG3VqrobAm5Gel
9n84WS48D0h2aCLXdulzagXb2hHN4qzdjudYneY00dej5whUMuezPPPOHtY7Jdt75IIMA3N2BiA6
DNbRVpuJl6LQHxtA+44sGdJ0OmHsNavqha6hZ+HN3d985LvHHJ1ORHYGwmwGF9WC6yq85DMkDk1v
moghATBdU7JTifWiMIRdGHQMPLn7/Wu+Gh4uEF1DhWdCKMeUdGGHvjcIKczkqB3FU3PvbeVNYUtm
cI4wuDj5xGNqOrseKb/PBo0nn+mZQaqQDGgoX0teLHTW/Pweyn9pkdQXlYLvKa0Db7IisXuzPdZo
RFmboV3dX8qFJYySN3IFUYY75ZsjAL3e32nPay+mBfP+Y4cp/8WirzCWfIg5vHnbGxUq0xHZvK4r
i1dodoqUueObgi3EATLyG3dfmqJ1xht+JZRfWwdl7CKZCz22duENw5vA/MPYJZ5gf+Nzf+wWZdww
rsCHJYuVFGZlZmZjotkU7j1ZZ41dCuPnoujG3djjegmOt7tgEJMoO2HnobRwzKz6Pj+srWsp6fFD
GGXktBE9nyKD3eNO3BMLQ3LYKKjycIaFiaoXcTscvG1syLAnxnOz0dNXycl0Rt+bgkhg2lyiF5ut
fxCQb0ey33St49Zpn69r0VL668dH0hbHb/k8nnZE7dGU/RgISPJjoFPprKx1fNluBJIJRgDOe4mE
3CkYyCjp/qiXrB4nphsiSY4G4SE3Q98Ix22Zn6vCZvO7lc+cPoOKZH58JmWzQuykXNdMi0lkdys9
erv+q8Jjm+wOKKgOCMexQW/vBVAfAuthRfjyVZMVAc3kIItXqYPsZXmQMh8HOejd6xNqMh2pURhM
jWDbHWIVdYxRz0diBhfxBM/V4G8j0u00Y42s/ut99GsbQHQpI8xR+V+cgCzPCB4D+jwExmGLRDmH
ch+qVB/F5qZ3AoxsPKPGcBcScYdpH2NteGPZUqOlXhEFEVihLGWpU6F0Nb/Fs0po9OgD7IrJBpf0
zri+34tWZyaFMtJelMtc6mG7Wb18Z/ToGVn5NfDPZU8wE0KZ6Bi4N7waQggiiQcZwwgBXoPdhSXn
64tZyIZIoJD4d8soM92wBVuKOeQAWPWWvxPwAnSuS1g2ajMRlJUey0RN6kk94dTa08dz7GTGSmy9
ul2UjRYkjDCWKWQMoAfgnHzXbqt3PbTXwN4Xr9r3Wr6+Y5b98PwWscKXhkG7+w1zK1stclTXd2wp
PTA/lC89n0mR/VBhmACr6S3BQjG8Jy/BccB8cmzUCVFPsjWxImsbFC+3AW77+/9RPmV0ubESyljE
PXp44RKd2wWXCyJgFLEt2PmbbJOjl0y40dBYkB5WjNnaHf5KCc3Xnvghm6qQXQzk5aIB1DvQXYK+
/TW1nG7QL1s1O0rKWLCspwAdGSb7yQjMA0gghGPxhJBOMoBXuf5yn4zwNXG01VDreJRLnGmek8dn
7iEkO85CSXhtWdPv+S1H0DgW6X35d3o/b32+deEwNYL515S10DMAZOnsBtBPIehhiptVQqX/cPu+
ZVJbGRVhk3gqZKKClvowVfegubI+u5W1LQcDkiKIMhLHImoXWPtMNwKRDdImjzqUEwAs4j5okS7s
0CuC56ZqxY7+POUpeHRnicieSQ+l/W5cvxnLj6/ZF1CnKPqxV4+C312e+pQAR9DbtjsNnQvTWF1I
2F16UI8AoQTtcmqvvrIXg4yZcMonDJogMn0E4X2DIe1NSty9SVrTXAlmltpa0f+syJII1lNNE6lF
BqHfCL5UdvA9IjoV2gC2Dkgaep+CiO0QOOK2INJo1I9NSKoLKAR3eQF3zoZAipQfozv808nXusYW
ve7so6jFowSqjHLc4j0BwqY40sXLPdD+q8eVA15IsAGEkBMw4MKJAvdFRDNTMRDNpEEM9pDLsB1R
YX3W71cLcIs3VEV4xLIypg1onnMXjAi97/bTStIn+WUnnuOTvOlv+4SkIOp9Oa810i7l2SSMxAs4
TiR8RYU60Azz6xLjxt0l+IweJtLZqeIS6Hvr8c8R1U2PKAfuPKLv5s6385CsbOkU+9IWCYiiqM+p
vCwJAhViDBmb9SGbdAgxBsxXlJfIBGDlngVza2/frU0qc5MRuCZucuGzEwwyLg/UqOiANQNiiOJo
9cDvd9F9pTO2tIaFthjx8jxIFSRFwXWhgXu8tOyKVIW+lEZvhZc60T1FlyEtdkx9//w84pGUPbOY
iH5f2dYlNZpLpqL+2h3dLGir7h9MfHRU7aeMH/hv33mLJwUy3yuh4tINnAukogJvENyMabBU3yUH
YR8TKSasVa8FP0tWDqqqCYoyaY1MqUsbjWNcAj0c3WwqEcAFWKR6JZ6THATG7GuvWjKj6Ri10zn0
4Q4nN35OGGdQXkOfJ22+zTi0N6ZtS+TM4XwM87MrH7gw6yehxfr7AykFq/gsEPLpNuEqKVa09Yh3
+HABmfHs6awTF+uYn9OSf6n0TCIV3cph2gqqh50XAHtXbOMKVrkSpi5Exn2S5c1xPGgolPp6i7cv
8ChWIW2XghceNpHVZFmTZIX6AD9gBGUI8QESwCr3txqGCnr9yKxGScuW6luQOpnn2eVVu3IY60nH
HgDrjqGop4iIpmaldxyAy7ciNME4vvK7XG9SEm61m/qwlvtdqk7jeP9dK/2aFlq+jdgCn7CbwMzb
TfdRHPLHdDfayeYVU6TgtnfM0HRC2z2uJVgn1fl10KIsY7qSU/hfaLhj7PJxnA9INRVTNhm9fqt9
XgvD4VDfmQzqLEU11ngug4xDfZNG+pRj3CJwse+RrydoLWOMtVTg8o35FkmXcV2uyLuhGzs0aEi7
BNmJqVnWvAFau39gDG5TvK0WxBedzkwkZR1dN8oHN4STNSZOs+oMum4AjmHUGFqzDgazKE0SwJAq
yaImqtSesmPcgqJEhEvfWAGrpwawj+RTt69fwu2wkvRcfCGhhvS/wmiX4zYJ8FMqCHtQkINEzwQH
7iYeqETxWiS4WE2ai6J2UQ7iCEC1fHdx7fod6FH+kVc2VWbhpzB9lKn7e8kekY7vmpUK5Nc779dV
mK2S8jZaEw9yl0B0bSnkFPJmXRP0D8XnGr1K6ApfC5IWHzHztU5nPDM9SVokEchKptxryCH1DgMH
jDXC4KH2N55bkic2P0FVeJkKZSPkKoZEk6YAEFAmaDOc3hC9/oc3HN9c77dZTMAgRBH5qTQoSRKl
nUIkMwwQaGBVegGNwGrDtCNhy2g8yQkIkEnbZFpt5IkCBNLWLYKC1HHJlWBBVBvZdBu+/hQYhftz
fRuESeyvE8bIrTpRJGv8VyvsbMPZMWIyrov6S4wnm6hzzdPAb2OB9E1HND+zVGDKxC8s0Fc5TNao
t+H4p4lIIZxjlE7jJ+lVi9HTLhVvMXfmU8IPj0hpm1V5yITPhC/0GI9Q/i3KScSiMZxEqS6X9lBt
ANWgyCudKouGGwA5iLKBCaXRa8mkkFU6Iewv4BsM5Y/2Ls2ASfoa3Qn313dt+TC/JdEF60LhvJLn
ISncaMD+xiSG9zb02whEWDi9l8C3Q2R7u82K2KV3EarW/7vAr3HE2WFN0ZoHZLIeo44cek9Rvxb0
bb1aAVuKdCbOZLQwaSBnVajYKuyFkWXQW3EJwGI6HqubtRzx12uD1rq5BOoyqAKTRRif6S9Khj5u
xiXyYA5mmWIcJNiO+14j7SY95aIuPfH+JvZtN8dcC5hZAtL0DrDZKp0XDFYAr2h3YJFnDqGtoz7k
G9WzmS0YIFv5GKtGkzva6lNqKTaGTRRYQeTQaSjRRlHo2CjJ4UhLI/k8tIwub3KQrZh6/tEe1sO+
Ja2ei6NM4piKXcmI3WSDp5fb4ZICEkwxH6d6oWp+3qGYsJrkWNKAuUwqxzO4Ul8hL9eBNB359RPQ
wDKQu8ibBOAd+8jIDMR+jrQGybMYeM7FUk/kNG+SYBwhNgOQNfAgToBQgCkiYofoXjSmyIh1OjT6
FrtsVxrhITNR/V9JLy1ZxCnpgt5IWQF3OKWbmdS4iVqxU9vNW2wo5qi/xvbavMViDmsmhc5hpyEe
cV4hdLjKBXk7MQSlRR08fTWp76J9uFOKtYTyYgA4F0nFEVnNx4CIwsIGU/wYL4b1YrR70fBuWlt0
oj++uWKtluKxuTzqnvRMyqLDGfIOOciVglz/GI8RWL5RqJzeZ+9rZYGlt7gEJCeOw8Vkwcr9M3ao
mShPhhYhmdi6seEreKH2QR3rzAjsxutrW9aRb1HU87gbXJbnGhWlIFt4qiRSKIaCIS0GSL68NYor
0hbdjQSIQ1EBcrSK1rKfK/NqOXB9ESszENpWt9nWNeBebuVduNo3u7yJ36Io29+0A8N1IcKiAVSb
/WYoiGug6wYlh9Q0qjtmg2aaNUVZetjOl0fdOLYY+wCN/9PDltWbo2f+aYwRLUXpaluLOOkA7Xhm
ouhHUFl0lcAIEBUn0Ita50TfiGWdQ3/iuI0aI09jM37vk0OWBXrTGLXZjU+hOpIOGGTpVhAPWmd0
LjKE26DaSJ4HVdbLxnIbXXtptEuc7VzZbOM/tf9U5QfNfx8BYJI6Q2T5wBjzzAwvr9KV9p14Yqtj
2DtuvMJluhi0T69LVeBVVYHK/NQWqWrUTAtdvJ3RT+CR5uhjiom3PEytlefe/rx+FZbGiiYn+K84
6prX7MimcgFx3YQ41pODjLE99GGags49sHuTfz6W4DUsib5XdPN+KkmQxIoMdAld/5Kv/upfhzv7
EspTZlmWSt2AEPugKsaL+hGdNQtIKLdKvtPvP+vXYY/RyrUOjlWplK/U4qZukxxSDe8WE7+VMwFM
8qaPYOaTCKHOt0BI8Q/KSrC77Cxnq51u8iwYbGOpLFjAg1yGewEoa8xG3jIBiVS9R9qNfcpuesAP
PdcP9WcxeDqGWwNLu4ziY3iUY7RNleHb9e1ftImz76HML8qlflRV2AeAiabEZi0V9Yd8jclDnLbz
2iFTtrDSWLlqS4hpjWjU0w27VRriHVHKe23Nie9AOnXoa7idrNdIFF15CezkwD8dWct+1l6BCGaj
aUZvP1mrM47PrCXo5zVw1cVn7PTGA9a/zEuyTGmiGydRlLLeFKi3KMcBy9pskYP2ViFBVyVR2he4
ILHJB0gaLQPPEUyjRTe1Hllrz+VFGz1bEaVtigjCSjcM+ktTkpd2k+9EUgUEYwfO2gTM6pIoRRKG
qsmlGEuSD9GxOTaH8ajZ6KlEFEauq+yXuf+tTN/nRClTKcuJFpZYVW4wkukqLGm9lvT8hlMwZn3X
+05akHybJHpfkgKD4PIG8Ovl1gstJbNWPmZ5izEShsynjAYi6mO0FJENP2UI8v1BHYGmWN1y6NQ5
3CgDyaxP1UH7Eh7Ou/LQOWsRxmKsJn3Lpty+PDasIhbYiL401Ne+2ZU3pagXQM8z5Ut2lqzat0S+
/SuxMq9oHM+xPEtXpfpIFtoqQhwVRU7lnZX6LnxPPMEWEjNt0Vu8l/w/QqyLUr7pzte3e/FZNRNN
rVjN06AUh8ltaUcGtGfAQhgMTdoNucGFK+tcliXzGAtSRRZZ7Z+mWvKQr+hbnGxtNVsg+tek2CTG
+98s6FsI5fZFzQVdSokF8RNABAbh0d+QrCxk+W7K30IoZx81WSaPk/VFig6+rY/0+iQOdp1sh2Gv
ZPeqt3JFp8v+64bOBFKWdNRK4Nw1WFVh5u/CltOFtehzKakCE/3v4Yg/D6ceNb6Ma0iQiFHconUb
NhQj/3a0cr+plSisJAqovMqgFZ8SVHTFeeS1tGp7JdyL4V3NGoLwEgbb8P66ElBOmBIisJSmoV9c
9nNGRRnSe2XKgzAMhJfNsP/gvM5hAPgR92vISnSt9x+ZsgBaG2Q3p8G3nxsYuqlfdoIb7pv+0kk3
jFAaWlmCukG1hBF4txLbE79UclPKBAWlMR1ZXjNX02qLbOfKaS5ussIqGloPWbwCKTflMiEX1RW+
JUjAbzIGhyyBlrrwiOqa85j0YqaZ/yx7Jmr6lFn8hQJREzWRBrQh1rcrtiQVx9nXT3PauV8i0AMB
2HDQBiE9+1PEoOV+J4OjeC9UB95XDTlJ4IJGPQ5CwsgPfyFM47BpqiAg/0HdA01tWqbOIays/Ide
3tZiaYEnwGaijZojG3xd2nQQv5aGIo0oT3N+Ej3EgAaFto40SGOSs6tEeplu41HQrwtZPCLkS9Hm
oWJZGmUSyy6vQPoWRPukZl6kUBluWCXxT9eFLKkclAFgdgoP8kw67eD7QSFFQh7tWaBjhslBkdga
YQQGqdJmRdTSpmFel0W1QpHRZEzdtEob3TwMy2iPET4wwr5kj9eXsqRv899P+cROwjsm7Ipor3AG
Owp2GvuGGg/bnM3MLg6t69KWV6OqyDHzIlZFnY5WxK2UNrBVPSuTJBvxWNL0Nl2tm1MG/uuiwvH+
K4e6RSk7eEzEieE+jvdRVhGfBcpO9Vh4mGtzE4tT0QKTf1SoUVxf36JiTKwU6OGSZFRXft7eNo6T
HC234T5FH2wHjOri0U/e43EtuljScuVbzpfPnhmismWyWvJgiNLkVAanai2Rt3hOgiZxoijDvH/V
J2e/X408xa2CMNoX3CGPSkDxbH2NMa5v1qLqzYRQqt36WRTwBa5qBIid6N3X4jsukivSIJtfsysp
ki8qb9r6KDNplKK7Sdp1wO6ErRuslAECkFSRyNO557yy5YzfD6N6itk7OR51rzv7NRrvqmKTa+bo
80bgvSTlOWk2ICfSOL2Kb1lQF7FKTfpCur2+LUv+HIloXlIx5yWxKrUtQcq5ciVi79NY15gXXmZM
qX5nOvA8MptKuPeilbB48bBnAqmdUbtKDOQmgjUrkfjTciOsI5IOK1Rri6c9k0JdDcVXlT5gIaVu
PlIvNZnIYbWLhNAr71YUa/F2IL7TgBMvoxuXCiAFfwjARgbz3CruHy1y2qr/c/2MlrfsW8L0BbP7
Ebo9V6tFFe27HPWIMgkNwcVEXi0F5nVBiwZFRneDzOMZwdNs035SqUHF19FeC1/wFtejbtsh8Riu
3A66OeUfgzmTM33HbEFsFnSexMDNJPG2bzs9bXd9sFO7ws7L1hxi3Y3ffB6Duqk+9Dutyw9K6J3r
vHLSAbOuWbWywYvaMvse6hKUBfoqaxkb3BuKHzqdpNwBn4kURWN7dbD24lg8Thl9oZgRVkDZSbmL
qC1dmWkzXDktJnmxLVGn7/KVC0C9CP/ZYrSHSyLe1TJ8088tToVc68Z+jPaS0j2Bh+csBJWVhXs5
M5pCtkIlWGvpo4sIXyJBdqpo+GExpETd7DFCU6rcQqSnCnrHOG2ydYsnBpTfUrGTs8wAyJCuAs+y
0WXl+b/XXIRhE8GVKqMwTy0367QhYeIUspkbZmw3WlabfQwMNbZZSVQt3ZFvSb8eQLLIVEzJ4vS4
sdhigN5Sy3OnSTd4ufyFe59LosIXdQhrRZYhSYvrnaANJ3SlH5ik0dkg6lcC2SWdnMuidFKLoiTw
mTjaByMYfpiXUr3p09e/OCMBjBqSAnxTgUa1RdXJz5IEt6zubFH0d151iDI0cIzVikWmJwj+0cSZ
JMokSyXDeCwa/Pb9oOpigGo/4Fk012DKxOAq+d3rhkPcl7aWJDdDyOuJkp6VOLvxw9HkRtapXqsm
vo/C1vI8biCcYkfds9+NzsBWGonFfuMz9Ug4lccTkF0L65YvEuYs0GzMAghdosxjl3px0gT4/LQb
70MgMDaBXQ5/ONXXVUmvmGjXSOJRStSd79WE5YQV+7yo4oogccoUkIFr+qftaLIm79D/gsuUuJHN
haq8abNEeBBGrjiWTJ6vuJ1F5VPQcopXIStp2vT3M3eAOcM+5CURyhdXlSGyjWzVaVLDKBa8c10H
6fzSP6oB3gn0gMl4tSmUorfyIAghA1mZe9MyuT0qaqZncX6nyMqWVQckmEpTdkHMl1Q312UvBQrq
TDSllbVf9/lQcNE+5rRMV6RWQSWFz+3rUhY3c+o3Q5Ga59B59nMz+dEPEetJMPwY18BNbuoDC5in
60KWNAQZAwE/0oTeQWno6LKIRzIX4W1ab8ALv/Gj0omaBoCq3FodamnbNAxrqBLHyqh0UNFPFglV
oaQMHvJ8dKf0qs5n1VrLzdKmzWVQGsjXTCr73bQer9KD/lCPqbEaky5u2hRaqYrIovWYEqIWCZ9I
sQarVPdW7L3kOaP7QWOF4ZrnWNyymSTqeAYNRyG5KiQJn2qaErb9vH7+i/s1E0ApWV6IbuR72K+A
tZGOIxHaYVdDmLX9ouKJxldCV1Gwipo5CDGSROVhAL8pm1p/sRhUsTHeASwcdCr+vDFSl9U1m2Mx
WnnOkpiUw/0YPlyXsXgiMxlUfOJ6ajTEPpQ4Ze7bKtBhDP7mSmKaC737MgaAvvowZ0a0rdDNqSZR
vC+izCyr2q6FcxHVpievvRLoPp/JhuKtI6AbUEOxAX18PzcMc3tekWoNTEwVdIT3EdCh9bQzOKnV
ONLwXrRrPRds3XGJIT23fhIG99DEYbmT2igwMpZJTEVCm4LKyJ/X93lBMX98GqWYCtP34VDhlQ/C
Ar3rt3Usk05decIub4AE5qAp68fC/v3cAMZrk6ZvmHDPcp7hZaITevcdg6ZVj2TuQwksr37LKKD3
9tCcKiO/sAs7lvj8uHLmS6sFMvg0QsBzgKOiIsRA4VpWyZBlUErGqhlTQ3+okN3/91s6F0J5zCH1
VDFsIWRAaisQBhNzV6RW2BXPPCkNlTERUb1Al4fEwi2L1MnFfh+oipzAzIeYy00xvQbEc6iygPnW
6wtakgTWWBRKROA1gBD35+m5iVSVMgNJ+A6zYHzDb3KLU3YSAKmuS5q+mV4TyGnxHhJU8A3RlgXD
jELN1HhPIyMeGHwtboG3D05DpnpGMizT2yD3zOsil1RiLpIyNCD2TmqJQzZiyMA07Q63sRgaXsgZ
18Us7iGKmzzHTX2qdBgVlZyXjtyA0+r4jrSt3zgFkDqakyTF4n//NsGzDuUWlCl4JCWmb5lZNnfo
1MILYZ/F4b52YumyVtNaMM4SyyEABbiGiHcaJYBL27iRai/ex74MpEo0suu9Vq69jxdO5ocUSsHZ
OC9YDmOniJmsvpk61Ru97tfAchal4FQEDJ5iEJMuFkhFWXDcGMZ7l0NacbwtyoNaFyuR7OQRKb0G
vd+3EGopfOyDtNBL4GsypTPHLrpju1Iy/LAGX4CYxWbNNCqAWMKVF+Ty4pDrBqcm6vk0qC0mlpux
1ZBlZ7k+MNgCQD111xlK898/gLC+bzmUhYgZzQvkFpsIckFHSx98gHlqWa8r7YrRWzAQEKQiWyKj
9YWXqduKCR9xDMoy3ssC57ggIjF48cjHvNMyHEeGyN9cv7aLG4gWT5GdZuuRLfl5lQStKX2lTON9
nfAWHsYG03xWsbKiHkv5PQnN67DXMjuhE1ARVZz7Iw981Hjf9R6MOGY16zg2lYg9+ByIQxv32Klv
Xag8ebWr1+PWl1srCtFZdNE4k6nyezVdW/mCwfrxSdTKJc2XXORP4n1fmi2eRFHqTH6sbYKVtrnF
I/1euzQVi2bWistAaDS0Vbxv3fveFR2u6pDuynTg6yfNGpD8UqpAYiU0nPJ4quNpQZkun69qbG0e
77OBqR+aJA43RcdhRJQTeZ1JkvSs5mpzmwpea45hFBoqB+7eTgzPRZtqT3+hXTJ6i0RBE1Evoq6N
nHBxFo7QLl7iL/+PtCvrkRRntr8IicUYeAWSXKjKrKzqWrpfUC/V7DuY5dffQ42+mUwXSqv7tjTS
tEaTge1w2I44cY4k1ziADNktUhGAnm9YWy6geAwa4L7Av+FM4BbTnFWAKkCgfxfMGRiSR6dH4IFu
nE2qc6MGnpy024D0W0Y0J5C3JP2dowicPqXZeYwEzr62pS6+he/U0WaWZqMKx0pavOoAS4jGEiBc
wZVzzasurXA3PR0V6HIqsM5y+ipBCpfYjGw1/auoar6Gtbic2g/WiAv3Lcc8Qm6+RiHT7gHOarbv
VetMqq1l9vRkVHYfuL8DQVhf25uXg+MSI0RrczApI1zIFURVUQXIk9ap82cUOAUXstX9ArjDAgpA
2IVW6/Xu7BJqhZKM1WL12Whd1EwRkGb9oCR7tXUj6UkyNqniJOzp9tZYyzvhwfCfYe4WXWkDztN4
wLyOgSexw9BvZlAXjB7tPgqCMtJ8rM4E17RV57ywys1s1TdZGJk9wkNCbYm1Njpmxe+hVSs60rrI
1ClghuYmNWzzqWUzfCabSzdsTdsaniURnG51B6DQDYyTjGcn35zO2kZqaIo93yvfIq3ZghQG75G5
kuwxE6lx8c23HwEGoE3wBgFRpaCqd+0mYF7NIflX5Hcm6TedquyBktmFs9fRJ0veBwPbhPVGr78l
3V8sGJVxvSEqSH2Awrg2HOP+Hhpxm98F1XEIUXobTDsTGVmbysWCAdDAAijhjOiNktPWsPK7xqC/
+kH+0lbMG3P1S7UINsWiK+kncwjUQG+BK26hKwK5wPWYijSJKE1CFPKqkyQr3tD2tpXehxrZdlMv
mMBPsQTGMC6cMIB7Is/GnUGm1KXAEQ+DH6gG+1XLDfjoIhBEtFUUA+tqDqUopCwH+tVleLFoYmCQ
WUCynM+FxmFTDKUJixO1apxIJZp0knho951kvtBp/AVRFOswyw079iwAzaxmvN4OLmsTjGAGXO+y
P/CIvp7goWinvpOi0c/Bk2gq34oCjYxWvbUqX0Zl/7axlQkmQDrpeDubOOMtboIbpqdVmBroEByP
Gks2KdHvgYDZxQUVVNo+H/PYh0uXHHBpeGV+SsxlRRilkKgb/e6NgONQghhT/Bw+p/fkITlKhwYa
V+2P6fGPxwejSNEiqYKU8KfzXJrHvIGUjT8B4DcNpWOZ6UaVUjuPRJCUlanErZ8Q4HWX3c4/bKe5
Nfsy7yZ/TEGjCMaPLrIr5b5IX24PaVkSzkN1CFJq1IJ+xoLzu/YPIy+pMiX95KvJa1i/JSKwxefD
DQsFoCJyHEiiyp/CpYVaWq6l5uSXTexlQWSTInaskZ7MrHCjQtnQ+VWy5M1Aze3toX06ejjLnOtH
UakbE4Xl4Kw+xXfar9s/vzZzFv7gNot0ETIE3MypyaD1CpwhaAPFtuJ6dgeJiG4lK36Avn1kE5E5
RYKDvzd3oxI3aQekg2RlSERVX6Op2dZRGdsN8mC3R/Tp6W7I0M9Ekg1uB/4rnpVAVedirttw8tHz
K7tGTYkb61Ls9VHHXiStT3z8NbhTIUXp3La8slRLhh2vFGDxQEXFPQqjGXwIU66PfpUxOwLTC1y9
poKX+6oRAyUpGRBT8IMuofLi+iqj71vJIH7jyynoBGvdgRFVFdxXV41YwFkvHQVYOW4kxVzq7ajF
E1QdSlfBM8canKqrBPO1EtWRYEMFj3wgGvisVKmGpAG98uRn9KcheToqbFl2IBYEGZkIkrL4MRch
sGuXJxsxKCApy4gvpi2qcJ52STz7mip50aS/shmAe+13IquOqjpK89xbIuzxmtdrOiCtKFMCX8OL
mTSoz8+Nao1+1B704L4xH1mANEsq2MJrZhDKwduFiptO+C1sAcCEnWRgsYC2UWgOhPpUHfvK8Ies
2Nx28ZVwsVQoZVM3TSSWeWLnUiZNkzbz7FOSFXsU2Lunsk6MPz+hqAF47gKhAF3UB1nZxWK1Y0bL
hOiTH0ctcStqyecGbAInluIYKZVO/XZ7VGuOCCI7C/+g1oBiw7VzhMnYaHlEZh8FDHeUTknFfjG0
uRmp18e14KxaO0uQkl+SezLQiJq8rOfl6JLeMlISyf6Qgl642UQKOoNTgLG0F9pus2g3JQ7qXILN
tuIlsIo2IQLiK8QnzmrXJ62UJ7Cq9vmmhRakBOW6+l2r/3wuDQXvJJSNFNwwKLfRptlAOoz2Mg4U
pbKDKSHfytKIvIpG5lbKSHaCyE8tOCRXYv5SUAEAGrTRSHJz5/9E9bgtDHX24/FstuglzvxUgcJh
oOMBGtl5sbvtMGuTeWmPc5gKr3miF9rs6zFE9+Zg022FgskrTnk1JvXaTaYpM5ughFMyfW9k56GD
RIu6pdl91WWC6VsJ98BTLJUiYLwNJNmuTRW6bhTllE8+EFlbqQU+OWebZggEWu8rs4bHGGLhAqBb
gNDXZrqx7oqJVJM/jUpixwFaqeVN0jO/q0RV0jVTpkJkZA4Rq4AwujaF3tEmLvJi8vvKSbv0WSI5
mFRb1TX1UPBcWJu8S1PcxiqNScUNCqYy/VFJFRvnSjALAuKKLwD5h4IemoMXqCNnA+2Ostwl4+TT
Hiwi5ER+9gzICsOuRJnHlQCPyI7SAwIFWuoI53U5RhDpKUJvAJ5CCVhVdX6/vXfW4h/eHcih4gny
gaS8Xhupi1RlJAoGE1bnMn4Iwp3ZfankfTNAXK8G7y4Ec+Uvt62urRLaqxD74HeIudw9Fz4553mk
4kjRJaiKxPNO09LYDsP+/BeGoCoCXJsJ+jt+LyVaAskPA6ODO4RBjQCfObqVbG5bWZ9EHSaWVzHs
cFvWpGAYpBLWqSoTd5J+p8H3wYtPUMLeM+k4ifA2KwEWxRtcbuEZy6nMmetCpPYMKZt9YCXcUAbs
NbfBxbVN1EMzTYdIkwQDXNnAMIgngymjewuIomsnCeRyjrK2mn0y6oD1luVzHAF6EQCt4VWz+lMw
nRp+jrseWsDKgaoJSn5YPc6cpYaR0Y/t7Nc1GQ6aMaRoYTZkx0iHYYe7I5hQSVLbcROZfhqP2k4D
hfOJGqDYtePJ6nwIp4vo01e2Ior4uAQBQE2QeOS2oqrM0qR23ewXfSTjhmolDqurxr499JWNASvw
oEXKCSVo7uhEIroIw7qf/eEgn6dfgeDn19YRVzhoKegA3IMO6HodO9kMiVwOs68k1l1mpHswf8ho
FOnSvTaWgk2+EibRf42LByhs8Qrki38LqWtMjQkzBhKNAILsbHrMC5wA7ez284/bE/c5hWrIl9b4
OtjQ9CrJCwYXPRhv9csYQwLShAq22TvlXhVZW3nAwBquFRpONRwB3OEZjDVct8VENkbnV6q8Qwvi
rg7ol6n/mWUnPXhGW9S91rrG7NaVX8sbdUju6tzrrNDJ9cdcjuRdrImoBlbXl2oGwJg4LhD0rtc3
mumMlly4j6Y9EvU+GSCKMR+TXDT8ZXjXGxR8ROjYwLEkA0bLM4aFZqMBQYsARIdnYj0ZKPrX2X3Z
/MYT5CWJiWNapwD0HdAWv73Mn+cdhlHvIxgfKAVkzoHDfO5TQ6+xyu0P6PLZIW61JnOo/t58i3Q7
akXI0zWDqPrpOBwVFUnyZcNePA8mmY5ZWje4W8rFEaERFdweK1jd9WBDrod9UimDm+mT4H3wOQ4s
9AELBGU5/1HWvjY7WPNQGB0iIM1eJW3bWU9zLIiynw+RBd+CECsbeKd+6r1s+gwNahFMlMVmmiAY
P2g2sV4g1wr8ZukFfwwUhijvUqtFdyQSW5DovR5Sb2StpBOEAzlT1V1JUDrGwyX6BmJtQVLmMx7g
w5QF5np0KSLZyV3QumkmI06Q2a9+FnWxzaXe7Ul713Sj3dWRO7DUa8MCHVqRP7bHoavP+XyHN7RT
9mDLmHoIBmaKYEXXHAkOa2K/AMWHP9fDT5FAUiKw7PlK/hVNK/bk9SiqqmCJuOucpPzjazBetNii
gLEvuBk+BTuHtUkTKs9+UB4H6Tc6HHsRKvHzgXhtghsQ6jdNkBIFkzwgffND+/NnELqJ0NaDGiZa
BSEqfT1hXU5pUS9PZEDYPRDAY+tF/YtkxH/auQRnQakUQRNpSvTYq5ydHj3daRjLfgR4NKSfAFTZ
V81x3Ib0fDt4fT4Qry0t156LWDKbBmJpDUsqSMUTpfcsC4orpuZPYeQGlsDh1vb35bi4s4CkfaxM
DNYS6fCudk6oOfq0qaTt7UGtRSog1NDuvDCUooZ4Pahm0nO9Mxc3KBI3yCq3Qv1whEzgbTOfK+nL
MqGXB+mSpUJDuIg4VnqDqwuSChJCBsifkCi3k2gq7DGq3SH6VVjNkzJWpyENtxqoZmJLcPTwNGTI
r11/Aefw2LtFgOsMjoIu8aSovVuiphVaB3Ch4fGSyd1LFldeHLhqtkk7Z5RFmNXVudYUiFARYLcU
/uEZ9C0ZWIc5kKujCbBCqd9J3Z+25C+jJECKLglanLFLHLtwUl1iWdUxJDro8L2YH9E0JUyar0UO
rCPgEPAXVHG4fTDIRdfhnMAtxWW75vm2o3y+AuH7L36cc/ucqG04m/jxTjqk5WMV3c8UDZ+b21ZW
tzIwbcis4Q6EPMD1LKkhyp9VHOBu2+yC0tElH4XepHH6wbttaO3YwLMVa740/ALTe21InoxA6SoY
Qi3nXormUxak7yAHeNHUXQDdHxWPetsoBWnDNUdDdgPbGhFkqRFdW02kjKUghYUES9o6SXMvqacC
APu/GNqFEW4OdTkBEAcUx/7IrJcq7DflyDxwGziVqTpmqm4aw/DyMhUErLW4iOfbUgkFaBWjux5b
DDauqBxqxPvmCzUeaN3bGjlhZpME74Xm9fYg12YSfV+oqaCchzI2FzRU8O7DWWHN6sa3Vgp9aWzv
cinZ3zaz5vWXZrhBFVbU1XVUyX5cbHTm5ImfFEhjv9y2suaMAB18tGHgrORjcGilGirYDdQHd5ly
VGuwHHtsE0husQ1F3LmrE7e8UlENBXCeh8RMNaH1oOL40lWkjKNwoySvFo6X2yNanTeL4ob/wWTE
Q1Osvqhb9FbIvhnvJrR5Me1koMDGUkGydW004LsBiw+yRBb6LK+drgm0MGlahssMggR0sG0FE6aI
GAvXRnNphXO2ptDyuo8G1DLOffuuGG/StFX/uPEHBwRu1njXIwEK6m5u24KANmNZKcs+eNUnMGVB
m7Lfxr1gwtYCLBwMFRk0/aHwuUzoxTEkYfWradJktJ4eC4yB9FCKCh1IsW/E5cjlk7nnLCh7gE9a
1DFQl+GumsUINjN9lJg/z7gyd2Oa2EnRjE+3fe0zSQdKMSoapnBswBOg6HA9Jny73CRTwPw692vj
bSi8oPSL6s5Uv0rKS1O7AXQd3snDAIXBwo/BFZJNd+ZTLB2iXYnOptQOHPJD6902825/2koC8/rT
uOmWp7YFfgKfVn5n+8x9nLeT9xVsdV8FdpaD4/NM/zcFiwdfLGuSWhCZhmqj34HqYL4fwsTWStew
NoW2j6Bf/nVIz0TbRc/CeMILAyzXt6vZ507SFEuvDQymm3Ify3st2OpQWgttVTno7S5PXgmgW29S
BD2pwAtyJ/5SSg+VB66bRspsSHRTJFnDu3Q3k41qvXfqtqF3zXwf4n8uQUcbPSePVWgXXb1rpUNh
ovt7toNCELA+Eg63ZpDzVdMYWKNBK9Jv0TgfH5rk2QRURB2eO4XaKQoshmEnyDf1kTcPTjS9l/dt
Xnqh9Bgn2xQQ9KTcm+ObXkV74uvhm1I/FIWrEwjPVQQtdW42p47e24X5nEi/2wEaoaClEBGyfxQe
bw1jOWouHIFGo2HVYzj4pHhATXCs3FmjNg13C3vNbDOnfI5+5nazN0ANjXgJZZ70pJcOCC7t2s/A
uRbtYuMIodTwdTJdZu07Frlp8lKCI5j63Sk+j/vwoG4ICvBWv8Gk2ViW5qDkT9AZeZBGR51O5Gxa
5zx5TqXjKG8hhfo0vtSKHacndqSpXar2iL5B9U4OTlbugi7HigSXoJW8JdwSSClt4ala2rWvJ6Ka
TKkdkXLwQbkVutGUtxva1PM+r8vQMcdC9ZMyg1aARk/ZlIOMtu1BADdOok71D96Y6xWBMJaOtlQU
A5f+EG5/KBmrezbEgz/DXQDidBSdfWFIcyOz6sxN55vvtUHshiZ2WSubzKIbTd5b07dUt2zgljYj
eIKRY+lsKYPGxpBuQFK2W5K9WQROeNmue8nptj1tduaS0EejrZn7XUt3MhVcX4Vj4SZV7Uu1rqxo
WB4BU+QYb/pOwrYoT9C+hk5caALEuxnHndW7cQ6urgjZYlQky32qnJKTZthE2sWbmG3L1AlUl5W/
Si86IMFoaOeyt3Fc2Pof3+Aw/UCz4bKDGgsOo2s/iKqSDRrNB/8b2T9oD38cd69/nZuQWIvwqMzw
60E3Yy0aL1e3nQnge+ksRQxJOVps3nRT/rXX7toqxKMpEuVueWJtRODlIwCSQnsiXI0//8ykgWBf
nwwAkkxA5koPIBSzyyF6KFP9UMSzXakN0M8IYyUKBpPqyrUTBNkWSoOPvTk/RWz6ifzdfdSYhZ2x
9p7VwQ7FmscgzLGoTqxobojmR8mzRmVXzMOm0zzN9I3+cSiApzageCwJ9u/nKxfGBPQXsVBXARSH
O9AqWWN5ZhaD3yQ5MJWJW+YMxY5NgJrH7TXkJcT+mb4LU5yHVI1C6iZsBtwd6GMDxTA6AqpS0jNo
RZ41HfKghQTguAEZkemeDdkbS6EF+dhF71nb2aCr2TFTtnvt+9ActJw4qj5u1Xwn+MrPdylMyAIs
wCUH9VCdu+QEITPLNpoHP8xiw5sk5hWF0rp5SKlbSF1yV0rBEaBzxPyUbHpJr92OsMSV2smy66xQ
nLmVCDZe33s1cCQeAY/FXRQWYK8Yi2ITg7UYUTJHnmWmeDJ21GtV0j3eHgZPgv7PZOMuDTg+wjNI
J663IzonQOlhtYNfgjXSUMEa2YNoVCr1PZnZttX3prkdp+9EcqzovrYSz4Q0ujJ4pjLtK9xkhvS7
CvTm7a9ajHIhGqAa1O5QBEFTosF5AFrslGVqB38wg8fC2nblWQmJ17f5DkjXmvnR3AluhivLCZNo
JF0qkriycg/LsUbDspXKMJk2zpwcwD/5N4OCiKhFAWPD22K5Ml7cBKrOGKQuGwe/wAUgiradejTU
zGnZNkOpuT+UIqmzZZY+zeKFQc5D0WNZ6GUJg8O40WJ7IUrWt5O+YaIdu3K2q0BsgsAdGwFVOR7b
3VjSCE0gTJ5i7JIy2eGOda8fQ/nY/mxeWBZ4oSIIEksc/zy2/yxyL8AgM4N8DmExTnatU/4Efn3f
x39jBFcWgGpRdEUr2PWK9SFJTQqRLd+sAjufvlmB5MX5oxaxfZ9/Y6JCwKrXX5jjHKQg+VyVEcaU
7aGNRB3z1O6hn1YcWkEDwEosB7flf+PiHGNSyVSn0JPxWfKsljluo78M6Q4sX4I9tfLagl9cGOJe
W32b0dwwESO1t3zbvwdfc0f7TdAgareC4sa6C16Y4s6nTJ07NKHDVPLQPGiyLW16L3epB8r3Qigp
KppALj7NyLtWxghjk5M/ggdgOIGG4nYIXMnCX88dd5NJNNQWjGaZu1P0wKAu9IO99m50kL1+Dxxb
/yqwt+yYTzvqYgK5gyCFZHVb4i7hdx6aDernfKtt5Tso+O0hFxiIuCI+54muRsfX7Yp6tEpiTANq
DDvWH9sRvigCCaydbZfux4MXYtZ3Vixj//aZXcdOvoO6ejG7s69CReOAl3fkS1vTk23XYJvom2CX
rQ4RPodaDtDf6CK+jh7SGBeFBKFqHx0IEJ1FpB8VSFQLTpV1P7kww/mileR5LEnYzKE/a2753pXu
iEwD89jgWVHoQAjITKINCLIcwRVINEDOQw1JVZJkOTJJujGTbaRvzXkSbYPVrYaMMqphYKpCF/X1
LFZ5HyYdU/FcKPYEKs1QrM9s6iSnprNpb5f7bCMzWzqTRnDhXY8oS/+ZvHSBg9Hk2nIHepYUBCRw
UWRDmDrv+jdLh75Z4ZvpANpYdDFVX0G65gwkECzqB9Sc34wLAw5aJJeOEv6Nms1dW3WBjuOtjs4k
27b01cig9lXczfJJ18BaG/5oiE0S0Gmp90ocuyT0+3Y7NF+m5eOsr7LlhWT35yyzxoK3AZgRUMMF
EspFiSAuGThmMzSbxI/V8Fuav03DiyASrfnVfzY+YcMSNY464G5GP7nT6Q7kfF7mR0dqjzvwVZ3p
kz3ste1tm6sml8vmolyM9Ch3IspSYYSVgmFN4/dWPY7llhjn2ybWbiyLutn/TCyfcHH9MzSm1j06
uvzgmTjzrrOt43iIRFextTvEpRXOaXWwUuHxkY4IeU+Gldo0kbYzVEEJ3Tbyvu12QjYxXhBveUFg
ewAOCl9HRoVvm1CrIS9ASzH6YNvYlLtwg/KCcazv9YPlNDt2GA/GQ/xj9ug2PImEiteiw6VtLjoY
eWHq81yMPt0yVE/Q7Xegz7fX7XPn/jI+VP0XBBG0Jvg6Wo4EkEJa2GhcwKx35j7eQoF5azjVljxK
Xu6ZgpLA4mz85r80yN0DczklY1fB4AA9ehF10uqMXYyG8/RWywcj6XLMWD6gR74+KeOPSGJHrKBg
T32gj26Ng/P4sQmmYGQYh/Tk1Y/Vl3YTfgdJ057Z5n7exYfaTQ90X+/HbbZT35Kj8TU4Tn77ILga
ru5twGrAywJ+VHToXW88NQlIp6YYsQ568GMm6bZSFaJjalmTT2PVINIB0QKgn/jytQk8YqUta2Z5
8XP3RA7mBozVu/iuObb7nnkCn1wO9VvmuKNXS2gKzbRq9Nvf7c566rDzNC/eKH61Gx6Gt+iYfX9C
/ldw4K/6zsUgueCfFnMWU2txTPD9DxvAJZ28/pKKxKsFZj5eFReRMpfHoi8pzDBzJzVPbD7N5Iju
pNtzuJZmAizj3yX7OP8vzIApHm09Rgkz9S7PXXNb7Wlt24ULuQ5XObRP0E4EA+ODvqkd7cwOysH8
/80nf7eZwhLcbH2N+aRv8riNIghnNyN4cAXXidUd8MEBixYYAE6WCb8YKTpEZatsu9Gv5y1ApKhj
T/Lm9myuxqwLE9wtFOLXchsgwe+PkO2N2qOCqbxtYQUYhTh8YYLz+TKuWDKZGEV+Hmq7+KpDjbS4
L9gjUHPvVEazKIDyAqO8ztg/h9uFUc7lqRFSJeswLmTPQ1v7Md9N381tswONnmfcyz9x4aU/k91B
+4rnhFTZIo4HwaiBMr9eO9L1Y2q1DT5gOrU2PbQO/UUqux2QzLHRSf+9FzGc3/YWZMSuLU5tw+S4
wjyDBt+UtnG8aTvBCbcevuCKimFgk1ncUuahREmjI3yZaOSgL3n4VD+ArNgW1vBXL/HYxf9a4tZP
DqAbGrTYYunLcACdrqfuq10AfUMQnfxVUMbly0BP7MKCzB00QTtHMu17BBTVPWnMnktbexuO86sV
2vTOOAy/aO8EP0sXL90iFISz1XcgeHf+tc5t8jCICiIZ8NQkd6ACU/62kPLbh++paiPLaD7Vv9pC
WMxZfahcWuX2fdxUas0A+QFOHZVNK7yTNVeD1t1p1GTHzBrbnM6FtQ+z14j+sKIIfcheMOzj7mca
Fq9h8ZyM7NhN2m4S9Q6t3oQv5oPzsRrsXSWpltVoXokqgWhpMxu2+rOIz2HmpH/3Ur2cCs7Vyhik
3rPC4GrBRqtdBady7exRhsdxiUqPXezuqtyNv1j7vwmM/42Uz6UoAUnmOcBIk3qfPTRTiA66V9p4
IfvSKL/q7BtTcOUyz50Qa7B+N74wzcWKXrLQH5Vg+eVzcE/PrQM6eKfaDC4UF93x0NiqIHKsnjMX
BrkLf2fpMlho5NEPzVJxa2lEM2IgaYLUzeoN5MIKdwOPVSWbQFGBYSW7RrUVvC2s9ECEL921nNuF
y/CFQn0q0zTsl1Bbu2yvsq+5fOoVYieBrVV0KcuX0kmbmOBUW1z/0+3xYnhcoMKdh8hThuGBeCl1
rGMAxdcJ0oavtx1z7SBBKzb0VVBUoWgsuT5I8qCJkqybR7+cYoeOW1bh1iiilVk1gnYV9OyBIguW
ro2MklIWSavh5a4erEpx6u6s6qLmGJERLspFJehZ9EDFE1d7CXuo2dN9Vzzenq01z4Z+6L8D4eJV
UhEWtipsmMFTkPyQoBR328BaQLw0wC3H0Azok1BgAPgqc3J6iPdUG1rv0SgylmhWExxIq+NB7gp9
jSiCo1fxemGSqlV6pYS5ai85IkKI1QW5+HFuQcZIT9Kyx4+nO5QE3yQRjED0+9xiLNnIcazx++p9
bp/H0wh9I7s+J9+Vc/ilc37jL97t1VkNpUt/0v/mi18e0zSHzlDwgoyfwSsEYF5w6Iza6XPdNVsw
TrXv4EsrpqeqbgARlEHP2vT2FH4VfMcydVxwQBvK8hVI8llo8b5etyYISZcYBBsqi3PDYbpWfTfN
ODok6pSFG5LpdLLjQQaoTMnk/CmIKgLSikRRxn3aGNaOoT05cyVSyyl43XLzoOvFeNfpVh8CJlaJ
cPxr37u0kmLqEGs+9UCZiZlJ3bC4dYvu4KLPpZ9lXWdbNbQmpwj0yDdmTdQMsmp0iTaQpUKTE1/w
HNVRjkEZjxcVe1aH71a7ryuCd8+vijzdXo8VT1zax/EEAe0aYBfLf794uzGIu2RDBkvpqBGX1BHd
JWpTOngYWAKvXxkUuMBAuw7GXLx9+ZUPtUrqiQxULcRj5DpFP+d8B1WvQLqfaP7l9rBWjiCAXQEm
QapkaWPgvH2yGhK0JADwnsmvyLwCamUdl5Y8rTzKyeyCP0OQf10509FiBS3BhWxCs3hmbYZKEbra
FRmdDFbo5XNquSbU8fb9bO1aCKRsbw9w1dwykUgoo22Wf9tHhVmUQwH0sAXOTQ1FEqkj21Q230Oj
ER1PKwuHvqSll0VD5/on2tbYzCHKNmSKT8oA7MONE42zk6KBnZL5S9OJSk5ra6eAlA+AEWBN0Z5/
7ZJ1FRm0A6AdBEqzF0+7rm0sN06kjRkah9Yo3mqqvP/5bC68LphJ4MrBMHptkhmhLAe5Kfvpby3X
fuddDb2Kn4qq//4LO1gygE4UtMDzud4ubgxI4vaKn0PfIJ2+oz+9U+y2rQWH48quRujAyxfMwsqC
hrwej6LWepF2TPHDMnozrMobZt0Ff6rACdcK8OgeRnstqBo0vEq5pSrbtKUAJCm+KlXzWdfzzs3x
CvOUURk3psWMzTR27btpJRJ4dlm4Z7o5urfndMU7F43hhQELAlWfOBV6NR3DGLVC3wQ8tUuZl5mV
Z4bhfWepm0hES7X24r8yx0UWhUQlgf6F4huJ7FQoSlZG7ZLxB0KolaVbigOIktAZC+pFUDL980sW
rEMoABBHYBsJ9yAaJyWoCxC6+qVS2kaAI28OtoNlAi59X1XbTCa/MqkSNMGubEic16C4WfpuoOjD
GTWJ1raYfXhtEX2BJG/xWjBtL8lfSj3zNFoJUKdrC6oD1wjeChjU+f1vKkUUWAyA3Q5Y4SIBuDyo
7uI69fI2hCKrHggS+GvDw8UVXb6LSpHM0+Cq6azKJc1VP4ycWUYlFHDAsL5nIainm7sEAJY/d1j0
2WL3oy0H5UfOg7pp6mmJmrNfzr29MCdbd3oW73KgsnM1FkSClXMCHTn/GuOT3XQeRrM2WtXvGXp/
mFKjoQmP2jyOo4eO/aEgowkeHxSVLeAWwf+J8MN5ipbVMeRVBnKOvsTsG8XUhdqvvGObpPJuTyJ3
/V8soSd7YYtFNQS3JO7eopJwIuaY0HMYzM0e6DDAkjNo0N62wrnihxXk9nBsoyaNJ6Z6HUebxlSa
Hqyp57DoVRAk6GemNA6KByDbwSNKj8O32wa55fowiLlbWMagD/wJxa7PJKVpkhvnCn0vrgThKceo
dR/NimgmmER9sKvWUKJAOhGsRepH///F5a9Lh7YsW1ibOj3KHTwQITgy6tnYO6M6mz9AeBaJpLe5
3fbPCCGJjRsSesRNnfP+vo+1icyKdpbqew291DO6QYp9UpjHMgDqImwEjsIdhf/YA/oUvenYbxDi
vl7COgesPm917RyAYIKW3/NodOZR9BpdnckLK8uoL2ay0Lq5rktLOwPHoTHgcBCZhxI5WhFnq2g4
3PQl8pjqCXqOzwqZgUBTyu90wNvRCGphR8Wa8xvYxnh+4K6CzO/1mGptiMo+Ccm56MYtmc/SFD/U
IQO+NAO39dHS0PlR2jUUGRqT+ZN+0gZXCp0o2s052KHqWhMEzmVsF0/Hf5YSdOUg9AA2BESh1x9U
qHkjB1WgnWcLh3vwe8pUJz6Ca2AOzlWbQ1FgCHd/vh9xEuE4wtsP8GVuXce6VFOaV/o5A2+CAQkz
lj7l03uEXPdtQyvrip7Pha/WAjMSni7XY2uLyZA7MKWfJ+loAm4EzjAqOMZXfPTKxPIJFz6azFOF
TFZHz9E8x1uzoPtUThma5TLdRrQREWyvRGjoPJjg9oGwPdrguakL2RAlqhmQs1rGoW9NVW5rRVBu
/nzePnhIl9L4QlV+PShzgqJMx1L9HHaJHSKpxZoYnJOie9fKXoBENIgtlgQawiVnpqXpHE+s0M8R
2SQGunYA9Zsh6NCTZxmCpLfHtOLnMLbIyqBvXEVj//WYwL7Ug1Gy0c+4Bm3LsHMG5nbNj2J6brPI
kyHqkL78hUX01KKyBDIrFM2uLUJzOGSkhMUpVJ+1KEoPfa49t01nAFUI7VIji6M9myTJncEM6N42
vgyH29bQMcf9S8M5S4nM+WUxpWEQJ6V+psTTg++aKzlyvxv6QyIC4a/tAHQbIJmDpYTYMDfM2lS0
QJY67GZJs3P129hHdha0Tmqdbw9p1V1QC0eDAdIPIAi7nk9qDSPexoF+BiJ/08nvnfbdaB47sBoM
oiT/minEDKTvNM0A2zUXOKwWjCwIUfSM4v79HNqjQy3BAvHPvCXwLrKB/9rgVqgzjSRT0oKeTTZ5
yVA/hxQ9ps17WeQgUI4gbTtu2zB4SGJRyF9bMaTekTtZcgHgg7yeyL4Yh7C0ZnrOKcjxZ81w1SFw
9M46mUr8+/ai8SnSj2FeGuPcowvjZi6SiZ6pGpTxFik4Wd5A+rO6M5hi/VTmgYJrLKYP/0falfZK
iiPbX4QEZv8Kud81qapbyxdUKxizmsXAr3/Hd2bUmU6UqPq1prtHaqkibcLhcMSJc3w2nAag6Z+0
tmffpkHzdqnhIZuP4eNJ2DLif77/2xb3wbJBAOfjn0ivr/chS4WBRD53znFT/Zy6byTBZGlSfCvi
VZVI+UepxxHJNaSeUaMAeariu1ncNP+5JiBNFIB2TTM2cekeuk4LZyNIyyboq/Z3NxY7Yny/v8ql
KwMCeiiNoBwJjitllRYtJwdsIM4ZQ4/7XKxcFUt7ePmnK8m8Hdua4eT40zGsjIF7BgXrff7p/grk
SVA3Dw9l3cBJBO2goxReOm9uJw+si2evek4w+TeSk+euvI+XdgnEdC7+eBktb8C7dt7lpV6557h4
qLAWKAXfX8TSRoFmA6w1kgIPl+q1s9FpTFyjadwzTyUJxpQcwMa+ykywtFW4aTz4M7SjURW+tjI5
ccXaaXTO3NmnmAj4sK73KaOD+jUuTSiuPBll4Y0DTOhasnc9tK99uo09DDtnW9IkIR/1I+UiBPnc
Sk1haQtBvImnHCRvcIiUfEHk8dyBmcc5V/GWZz7Uy90AMpKkH1Zi89LleWFIfd/7+aCxoSeIWRiW
KwcMGz9qhheYGg/0AtIH5kqDfPGrgS8VNQWEB+iIXH+13uSTZ9S+c65rOwDsa5d4MVBlayyhK2bU
BojRzabIZphJoenxUrSGOIxi/AmF2JVca+kwgS4M6E3oR4KLRQk5GlSzGrPL3XPnJkHRZaHga6QQ
S76AuTVwo2CSE7oDStyZZoza8DlBTNDqkIg2nMm5IFnQrYpELFiCu+HIggwYH0fFPU31mKLIqzln
V38TyLdn/gBOAyi7rTxWFnKOKzuKE8TdOPdFhhXl4BXwIsx/BL1bbFxynty/lJ+Ql/I/toBPUzIA
X/SxKKXD6Z0ZEGD0PfDIW4e/jnhyWhyvFdQJUEJWFjRP6eDrGa4GBAprU5llDU60mYcGn9qAE3cN
bLjgdSDkAZ8gqByR2qhEKX5neLFHUHhpup9o/oel8eH+ghbOz5UBZUFZAgaW2IIBanxl+XNrYjIp
Od63sehtPtolKFchb1fxaKzokraeSvdsd0fD/oNuHq3PLfpe983In6oEcSzlHzPyZ1w8W63BNDTe
Yym5Q+OtzUFkhUHtISgrg4ZtO33vq94+Nk7lf0jzeiXcqeX+d/fDqxmM/2glAqSvuB+UN9MYAwDe
2UafjQzToYQ89PwJL84ADE6HNP1Aiu+9HQ1Wv3LIVGjmjWklNJFGa2bqwrQJm4bZnTif90bKNi6i
1M8SNJtJPG4T0zqUfv7SxvlKGrC8dghU6wYB0wBgNtc7LxhkRJqBAdkFJot+TE6QQj+hCAJ+g0cM
JT0QJ33I6hokP14VVezL/e++dEZwyUiST8CowaJ2bb3JLTZUuG3OBMLrQZ4TFlJdX0t3F+5PgH59
9FDhwqhUyFB34V3zXOVV0XDvjMwwGPlXkITshBVlIHQQdCf6P/cXtfTGAP0cyIuQI0q8sXIwbSDr
tTHWPQycb8bxA/M2VQXmr0OtxwdIHG46h29m76M2jJ/qJuB+CkqWNdGMpfAtVeBtB/IIcm+v11y3
Pby1K/zzU9LtYv0AyXVP2+RrfdwlM+BBQScHJQU0VpVcmAF14CYTSvSacLbCHw5osm77ZFs7zjEh
K1FiKRhBgQGPelh0AAi7XpPbNxAZFJZzzsca7AGl0WPs3bSPBamdHfGKtStwKcCihuBiCAHQENtU
/GaatERj1MTD1AcqXLdrM0BNH3Q72ZqMy+LKJO0d6tfAM6iE3B5Iwmx/wMqmoUMv3MVsqaiMoEke
U+qs3IMqHv095tgXxpQjb3eQi2yR0Z6hbYW5XDHlzqG2K9AdaZDt2IDWawiGxmo3ZkKrrTEWW5tk
wCF35GMVVzrGX6tpJ8yUhCJ2jVcAi5rtmDfmCa+i8qBNGSYs6dpw9lKkkFsDHkJMgzsqpXxKK1vn
oLk9N9X0CeKzR+zWyj2wbAKJFaTlkCiojSCWNuXk4a18prnzuzaab5M+rQ0DLJ0X6C6bkipSyiwo
54UkrB27zsbe2yLMY2Pv9f3D6MVhYnCwOaR/B0J9/9SoactHChpoeO5dn5gpZwUFI4xzngthPNmm
JEeafLG3IMP1Ix/H4Xw/9C35MZ6tgC3Bh9H1VJbn91PrDD6S0xT8FPYEaEdbBS1Ytfxyd9/S0sfC
eQFDNBaGlE5x4kID4klUMg0eXLqbfBxLx2nWRswX14Ok3gQdIZ4O6s1Rt4DXOrVMsUqxZ6QCcRb4
nWq8wvI1CPbigi5MyUvs4pLybEqN0UEbEki0YUNj2gVe4azBdpdCGpJRMMnaxEHLQ0l1SEYHCEZQ
9+zHNQk0p2uD1J0HMLLEa0+iNVPKFxIiH9BVlUl95exF4XhBTzHOkI/zSh68VLqEtgzwoehhAcGn
KqTFGDRhjpXh8VW+ZsMfze02Tr7Pxx11GYiq2Nanr8nafPWia6B+Dxwn8lZTfb1OBgiM/AxG7bo6
Fb31yr3q1UrBE+e00b/wdWQTcoZUQswU10ibWExDjlqNbuXPZoqWoP6XY3nvgQKvYzmhKlUA1Y5t
lycO94vRPQ9NdxQ+32Vx8lan+iM4x3/cX81SCLwwpWbbufBYM3swxSyIyzm/qfmZ9M1OAvdWxReW
PpJkkcf/JF+OSsKKPGFAkcZzz6LaJuDHLECKuc3XkJxrVhRPnw0dw4xIPM8GCeo5qscN6td1tbu/
b0tWgAhyAIPCePkNlwDWaNRGgYgHGbRHSk8kMYNpbEJN94L7lhZCEZpSiHh4JEvmAmU9gwu8wGSi
VDfyMrJ7CgqPaSpXXpYLboDEEWVBFO/geGqRKfYTczJ56p/Hlu7L2UfigY8YTloVjqz/XZhxvpL4
LC0Lg4twchOVb2hSXUfYEujfph8r/2w7+e+GFmDzGLU1JvmFlyzgTEgDsSKwQHnK3rUFtwshOv/M
+5Dk4GSEQ4DibG6C+ltVb+9/qIUQa+MvyXIFVgukLNcrKgwkEx7t/bORzXWgZyQJWod+rC17f9/Q
0sdC/czCc0J2ydVrI/bTZk5N7p8z43dbnnyu7RwYyysSuubn+7YWF/VOfYc3BQjw5Dm4ugihs+bz
yT8nfdSXUWk8sTXC3IWjJJ9n+MP/Y0Iu98IERK8pOMQH7JtvheiP7BKwZupJuaEiXTlLSzuHN5B8
tqCcisz62hQZadGIBqsZ3B9DZp6qTxwTbbPEw6/10ZZcD/AUtJUh/wx4snJN5Lxy/AFNrPNAIUQW
ps32OTt5HYg60Ui6/42WygZggf7HlvIUm5jHk4nr2ME8LE7zD0jG+hE90iHYamByWaOkWPpg/5gD
n/L1LopkqioNVMtnF9Pw7QNpHsfPjv7r/qKW90+yLQJ7gjY1uTYC+KvWepPln4X41tI3w/pU+BvR
QhA9eSEW24xrRNeLvgE+mv8ZVALSYAvbS8jsAwiWBJ4DFhrjC5tfK/1xaNqV4Ld0qhwovMjwh/vj
ffTzwuWrQTcmdMd8NODPrfg4VK+i6cL7G7j0lZCRy0MLJjc0Dq43cHbGqS1A1XYG105olGe7Gjex
9edvNX5lsgKAEKwAWYZqgNpVKoG074wWjh6nHdtUfl9HPteLp5KU+3+xIoBU8cJAlwxtsusVQeuL
l7MVw+/MNwD/g4pGKKmk/6LhIgMEWgd4dqOvqFwatdVVwtd5fObxhtlh7weF+/H+SlSKlf9sGtqV
KOSi63p7VxSdhVkbHVrctp3tsLvt0TO6NuRWmYVgCi0fjTz7TIjHtyihzaEA1eCprNxy3xcGhGUn
Y9hYczrvi9TUt+bAAMky9emJpKAb6DDDt73/g2W0UkrC7/gN1LAgbgvw4vXWN2D2GjvXj8/drD/F
PHkttccy/pAPw95GR2ryv963t3QYJV7kf/aUiBZnaVIN4Ns8g+nQBycputNt8j1ZI9FfeqxcrktN
SXUN+2XYcXxObfLLjw0oUmTFhqNgAkQL2JQNvFjiXdaygFtr5YClIADcmezpoeh6c3C8OWcTA9b/
TMV38PEEWvfDq9dKHEtRAGSgMIOnBIopSlLigg3UpF0Wn4vJBY2qJtjeYObXrrFAQKc5a2Q0C98N
MHmJfgYBPuji5c+5CGyGIH7cpQg6th0R+ge8zPKUOhC6KdekKxcuCDzCJDQD7oh5ROUW8usZYOA6
184MIllWBbqyYgqN4XGSistZaLE4nKu1W33hm6HUCbYsXz7/cLVfry8uvXzKa1eegwmgsCDVkmDN
KZdsYLpSatmgWo3lXdtouDZm2mRp50yQ/QDW8LgkO59t75+wWysSIYhasRS3hZyIsn2J0WAgsoZj
EJyvJLUCE6J0xPpr5MS1lZtYGhs+ADzx2SlFGFvVJl3Ts7l1cGkB3V4bo40QJ1A8LtYlGlGU8TkH
FZb5JRbpRuueiuH132zXP2ak4184di/0IjZphXNUavyB+tZ8MuLyUJW+u7lv6fYIXS9ICbV0bC3a
Q7Dp7ILdod2kG3vv78e/nOHBBYQGE7qvKNOYUJZX8/qCtkhABuKfPfG9iL1Q13cugFQZqL6YuZLt
LOSncj4PtgyJcEJN6HrzuDl2hVHX8IJuV/Qv+jSEtvU4iSLU8p3DXnPyMRHaLverFVDIwj0rLTuS
cdiWwE7ls+HlUre1jc2s2h9G9ombQemCrbuAjPiemNGc7toGwDrqvcSvJd/p2hZs6/74oqfsixV7
H3mhr3ze27CFX4TN0E3AIk10g673AgoStklR2j/z7FsJ4l7qhEN1wuUzfiJ9Gv6lDrP8zujlYiYT
g5KgO1NbQqgp8g4ZdgyKDARFPmjpJqtqayXXXAgmMk2X7O94zEPq7HpRQtMTkDu32OYJ4YptkRIG
zfh2/2As7BymT3C3ILezkZcpO1e5lAlNQ8Cfm3Hnt2E+vGHwTSaC9bSZpp+F++u+wYXsQMqMgzLI
AkoBPUtlWVDdsLqy49oZNZiRbxvNwFyrhgkZzNvP3fjDGXhGAox5FB819KP6sAFqt8N0Yef/PX5B
OrDv4gqHCi6A19c7bLdDo3mlrZ2NwkZPvmm+j9awNrqkUs5Ib8HEulQ791CNxgzOtRUUNkd/qkws
2MsDQoqj5UJhA5mQOXmh3+3yEtRBT57JXjCpsOu1wB/+HjOInyABvFBrAkuz+jSyS9dJ0M/VzoKc
Mv4ZCj1eG4Lv/f6nXXLYSyvKdtZ8Ynbsu9pZq7+03qsJNb56XrFxmzNjJbIShAQFjSr1UPRaxw2e
sCRC6YTm+70rPmXVZvpQOStRbuEKRGcXAFI5LIzau+KmM8ZbxWwUSZQle2CGN6x+8ucs7NnXv9+0
SzvKVeu2Tt92Tp5EaQa829ScGs63Xr1yWyzcf1erUUI2nZs2sR1sW5bN6ImcquEQ205QpqAuWPtE
iw7vEh+H2wLW2dEVP2jGpu4Nr02iufqam1sQtWWGdzA149W2jmmdQ3b91c6bYDy3pDn2Y7MGu3un
M7l+WaEcdfELlI/nQCCsTtouid6oEwCAYAaO2BTn/oG6QcrCmqJ0FPI4fAQz34rfLO00bmVZHwAR
782UaUNyKWg0JJHUZ5q2WftfSaxxWjkJS6cNfMl46qAsinqB8nCfMSuMAV4ziXL+Utdbr9+nYsU3
l87ApQmleiM0m1TxbCWRLCJqJg8c89nN0/2qBOTSLQTGAYCNXYlSUnMZHwSlbgr99qh7neippb9H
/tDVTUiT7z1/iXW6hgmSMVd1kAuD6junnCEfyvUujUrHCYb5d6Nl0JzCAmM5PPtYGWlAQN2bZ21w
/7gvxS/MzQOIZaFIhQfk9WUg261QIoZhxusd82ykSZ8FuseThVbek9ev0dksfcJLe4qXVF2Be9Nt
08jvMaE/nWcWB5LZcG1+433IUt1RpESoIuFWx/9RFtZgNHlsS5FGhB3s6XPdPqTOT+FVAXcfgTRD
KlwlTwQiZmVkzN/G8kOr7Zpi2NPmX5yLyx+irNilqY65FZJGfHjIk28teUvHFfdZOnpSGthBrQkX
qqpGl/vZOKfETKMaftLFJNRBXNYNa02qJV9BK8zDeDXGRjAlfO0rY0/MzHcSCs2WjVF9G+vmzSgO
WdS53XfmfbzvmEuOcmlMOeteanEmOi9F+g5WstF6YMZrygPSdtv/nyH1digMAI5aN40oZZt6+m3k
ZWi1BgonZMWSun8YPJNi6RguQMEHWiXq1drhNJtxJs5NufUzfdcam7oB24e5SeetH69csTcPMtWc
csf2Bgjm6MQEmMgt5HchKTdG+mN2fyZOBOH1jTf9mujOpisAGPXCAVTI1MExgJkcVC1BLn3tJaS2
qW3Hpn6eebPLNQicWZ6I+KgVIYgtjh3V/9z/gEsG8dpCjUg2aTFRdW2wMDgfHFYYAMxCoqd0Drn+
5na47WwaDnRNJmrJGh5bKLKhX4VJDuUjElG5jTBr4zwyWoZ26/6IS30Xc+9LP0xnmlhrjwL1LpLy
a3J+leA9AISNihPwirpqa0w+nGedhe5gP5bm/KZr1Ql17TDJ+1ezibdd463UQuRnuoyfilkVMzBR
cKhODGaRWPzxkaT4evt2/8OtmVBCdGZyOJKdov7LyKnIux0anitHTo2MEvUA/DkK7DhGkNNVvhav
k7TuXZpEflLsZtff47o4UP75/kJuP9G1FekzF3Ujy/HpEOfIzfUxh1JbFZamHxbGhzxnkI1Ep85/
QiPyw32ja0uT0ebCKGi+YjJ0MGr2GGVNAACttn5jrJxmuUHXboClAfoJ0ixAJdHKuLYyMWuuRxtW
rLINTN6EbitCDJHm2Roaa82S4g2xP5Uam8okgigeqgujvgWfP1trqy/uGiQpHBMegeK1sh5hl/3Y
1rBiQ3aj9M/N0GxW7+ObmgLcDoVKCerBsUXlX7HSaLXuWSNyYTG6QNMnEHx3MXOcv7a7kqXvo84M
Q3MbUEWc73vF7ZmCZTgx0lZUw0DndP29yrwE6X3v43ulpEByk4EmMLPc3X0rC7uIKgWyRuQaIJ1Q
q9dOaSVtjNss8kl5BHVC0BnJkTkrWu8LHnFlRf73Cw+HiDlh4KxJI8Pztmn5qXZOaVfvtGZlgv/m
gSg/F97veCCi9ISyk1zuhaHRrDPTKpDYmPF31kMaIPU2dnmuxz8Nfy7ab71uBJN9FCOmMaCuVvwt
H8q7fRSEgWLBpmK67do+MPTAvyYlxS1pbFJI5ZXjp+kDgPlr2ffSd5PAf3kzg1nKVs4YSQqv9VO8
JLJ43pcDqLAH7eBar/e9Y+m7Yf5QqusB+4O35/VyRlQrvTwdaWTYFIQubkjil1YH7HmN83rRkAfx
NyTzgOToSgjsnJK7vTfRyPb2EK06ImakOiRmx3il9Ll0qsA/hyo6iNrQA1dXlDQJK8GvHcVm+g1y
jiww9IRt7m/bTcKGEr0OzBxcEbsHL1S+DrgJoC5b1iwq+k/FdO5dcDMb3TG3dh6rdoB/hDPEv/GE
WZsFuhmfkJbx/ET3EIJp8kRffzHST7qXmGYWae4U2JDemr297mAW/WXU5kPj0r1bhz19sNx2p3fN
hudfeLbGd3+7ycANSl5xgHYA5FKVlziN41qjMYuqcxmt8dXclGCwRMy7ozqBXvy7W14vsbRErWVu
kkdJgRGGow8x1Tga+/6RDuzg61tWhg59dlm999I91BJefKha1+SMiLPiTLeHEIOe6Abj1Y2PbL3r
X11EG25RcOoMUxFN+U+z/gV4ZCNWItqSCXgSYH4Al9ron14vlhIwWvuAnkf8S9O/GE9/jU7DboL2
5x8DSsRM09yuwGdZRLFtB1rzUAfGhIT7KUOh/v6pWFwKmBgxCIeLFCqF10uZsrgretEUkejHo4gP
TlU+55Z2vG/lNpJ4cquQzgN3Akyzcm3yueNtbxlFlE7OyUJ/g+Q/wEL/Wky/7htaSA1gCWdMVibw
iFYLLi6t9WSKCT5N3oYUTHb9l64Evwo7VdCQNyCY4VhIIuM1VNzSAbgyrLze58TxJi2DYaeOUtEE
Q/WJWqd6tPZ5UYds0DY1/sVCKCKbuHj66Q9SVwflQj+6vwXqM1j6DuQs0PwGI4Fkv7z+ouCiAnYb
cuVRM/RBkiVBIj5W4ugg9FiuJC1d8aBFe+/5PzDJQPIqCwcTq+eiKILzZkyfrLoD721elxyl1tE5
CtPIwtko811WWcPh/kpl2LxOnuUUJwI62ktIMVQUeV4N2ggCnTJKrf7k5HgJuBtP31DP+jxq44qx
pSBO5IMbxLYoeTmqRHOT2xwCvHOJk1IgWQHs5MXKarrp63iTaaIOi452O7uwug0G4LR95bn5I5QW
+NGoIFeedBPbQNE7X5nxWdp+NGdxrhAxwMCkhAqBecdyamqEdL98tGL7U+HkRzOPj1MdPzflC88A
X7y/74u+Dp5DQItkgwsd6WsXs6FDO/bUKSPXeB6/pGI/mAjvY7NH47dJ9kOTBtXw6rgnYrSBBMmw
t/xUk939n7FwoaGNh5kjSdwHTJXi6FUDXE4SlxXUkDHHNpuNtzUghrJynSyFLugAg68dTWDcKUrW
0BlWQfB2qiJvj3bQWw6B5ZUvuBSCLy0oB8i0J05mHRZSpCCU/Erns7Vi4t05laOCwhHGfTDfAbS4
Lb3o4lJsRUcEyjtlNOt+gO6MpX2Jt0T8tPYeOO7LemNBSzvVA1FuuXPK8++gRpNy4WFa/JmqL+Uz
WBnmcSu6vcCLyya7XkeX5f73XNgHbLGBA4YSF4BWyj50Wg+SRwNDuU427adO0kYbPIDc94qdmxFl
REh0ozHGiqaRJ4XSrjdjLuzeKK2hxNPeKgK39sDTq0PJudn29kn/UdO3Gt3x2g5ZvNFWwQsLDnVl
Xf73i0/hl/MsyhR1cR00Vd7zLJ4148To93+xmfK146Mmip60UrWDIhWbAHBEWIg1PHRY0IG7OkvX
XjyqnJn3vpfyHY4XgpxHVo6HXkL+V0sRCpL50NZQ+0leBtT+Wz+YAbcS2ROv99ks8IKtQt+LSroD
BhHsZyHExwLqnbJPlL4k464bQ6PuA3B670vv0Yj5SRMrrbqFeIGXEarDYLlBhugqZ4B2ApRTxC2j
vAL7k+1hFLKv2RooaOnzAgsGHiJf6juoIIPaH+dxcKwyasT3ZNT3ND521Ryk3p/7H/i2KIaeuGT3
xHATKNDUcWjdyJnHuryKGveDD8Arbf94MQsnANH8HyI/i9hZOTcL1+2VRSXqZ2OXZylaH5EHGrmm
3DTQ2azZH9IUm0FbU5lePKRgcwK6G8BrACEVBzZSUFrPlqiiaQqzCuqd9Vvlvvptu+G8CxPqvLH+
yAcLNQvr3NCV2sjSYxEZheRCwv0C8LwaI3Ig7lCGQS5X1UEpxkCn6VPsDbvG1V5FPX0rqySw+uFj
MbYQAm7nlWtnyVlxqlAFB4sZUhzFWdOJxkMKmGRU6tDXbrum/Dy1mr5SSliwIoloAdLGewmXqXJ6
fSfNs7xhdTQ2rbsV3jwei4wbh792VVRFkDzhZS9n15S9bDWn8d3BqqPe+pInz9Di3Me6cTCosYNi
dOgKICGGb/dtLq0Mj105GYpXGlgSrqMsbyqHQ2mjiQrWeaFjVGY4DNYa2+jCkYABeAcIclCsM5SV
5XNaJprWNhF4UT7q+ZYmw8FNREid36tIA/lnKVf4lS3l3qitzGsqVAcie0L7cbYe0nY62b5Y8fzb
uAKnh3qpRBChUKCCGu2y0GnblDzSrV3fj+bBIo2142N2yrL6mVD+ret0snO9dG1iU7r09QJhGVy3
MtVyUaFQNxMHYYKcDY+m4lRleCL5z6gEaRnbmH6kx2sTP4sLBYMSmoUSI3UDW2maogLOgkfiDXQ5
wGrNGAeAdnIaZGyb/n2bCY9syVaM0gT6WurcNcevMPy87CJDNA+Awr147TdGH8AguUOz71tFt+Zq
onN7Bnzp+6jcAZ+PtE+JIYILAhLtrMPm1fZuEhkJtR5Qzfsn7fbC8zGGb8oxRNRbbnpAg8PL3Mid
PuLuT9/XoClehDl7K8laqWLhg0HMCGSClmRhxhV+faR9wRrq1nYfZaax0amGvJWlpwEa4icQ7P9h
dQLs0ZpixULxGjB135KcLqgn4O9rq5CrcFrGui6yC/Ol6nyAF82jPyQBekFNaj/OlAaMZV96lm6c
mG6G7DnL25U4vVDWkL9CaujJzi8eO9e/ooDGaBb3VRdxp9g44xb3ZtDn23b6apnPhqYHVTWEDUYE
7n/b9wCmnMkru8otrDGvEWJsuqj/I7yNZwVMi2pQ98wb+zl9g1BCuoWMe2YGfhm6a6+WhUv4atWq
wEWRzDbuYFjXqf6dD7+E2CeJFYxGu0VQn9oDKLXAhLOxcAffX/htYJdtJQOciMAcSj3G6/0eUe10
s4HDcvnLto9EHFmNBmcfzG27vW/qvSCp7vGlLXJtC5SgjOFBAA+TzEz7On7prLdSgMwAyj3gh54a
Lah/fDXFS9kmKHA8Fv5P9CS52I4rbra2auVFbU1o87fJ0EUkHY62D04IqBDb3wviPU4WXTG28HSQ
e4zKOGIT9lN9k3Ymd0F1WHRR7eTkl2cK/YTykT9BIlLnf/q5FzykU9zNWwaKhz7w4kw3oKbEy2pn
DaLfznFW1K9Nh45VUtjWj7bM6jygY+5+qIqS1KBnYMLezg6hZyvjpN2AqJ5pe0PP62KfVnavH8fW
ycwHTyvTF2qKco03XpWCxPsIiySyWWnhqYR3wfXHbXufjcSe8HEDfVvtx0P2Yh7cQ3zSt5AACygJ
RL93Hj5UP5wEQpQbd6VUvRi/Ln+A4smUmyO3y7mLui91trOC5Ey2BXsYx5+zfsiaPnCPHJrTxkr+
unAroJxMgFLBqAJmB1SnrkXG+hTr7mmfh7UTx0FPyuIwuvHw2S3iJFo5RXIjb07RhUHVd1lZcR9k
Q1E2NhCKaA4EsByXHJlbbToUIYvxrbDmEGq09w0vXLLoeGAGAf9EwVWlcMI5hXKLQbqIFsQMWcJE
YA9zsrtv5Tb5w1sAdDegSUQPCYzX126k2R3vdDfvo6Z46OjXmPwm5krit1DVu7ah3DFunLh60sGG
Y3/Rh6jJTwPfim3VPAowGLQPwMW0n5ygfyDtE2++J8Bj31/kYry/XKVy25REzEkvWI+k/ZQm/RNv
zQ3jv1OGEelt9+CZ3QMX/ceOrdE1Ln1ElIPgrnKEHmxJ19tbpy3xNd70kTZ7+ocqs6sAgwLxp/vr
W7SCCgMK8+gZoXx6bQVMNUlTE95Htl3px5zw5mhjsHgFrbjwckaRD/ks+CAA0ES35dpMzIcsrpnZ
Rxjl21kQZnbCKoTC75sZds+lteL/RB4s9eBdmlP2LjWHrq8p6SNBMYFr05GBO3bsv1nCSTdznfWP
NdfmF0wWYoLfNMoH04lRFjK8PgRtD93Oc9JtUOLQnzHNnaGhXXjHfCyHnZ7OYtdqGMu1SNy8NczP
nyt9Bsl6Qtcmim4TLOD+JXwdzQQABW4Y+Se8hKyWekNUaHX6y2zyNCwFN14rkRiPc1vHGMs2cxAd
QLEBNDz13J0McMr+vO8hN8ccvwKvrvfJafDtqY+v3nSHdspyATS5eaRFEfA0OXbdGmfSjSNKM3BD
lOygyYR/XXuIlk7AbZFe4KTb+ZfE65wR7C4Cow/3l3NzCbzbQbUZrM+yVqXEZFMrWSImLqIGTelN
bhZ/ygG8gFY+2UFMq819a4ubB2q7/1mTq74orJLMs8sECVPk+GUc+k6ubeccXO8cdZO/DcfvC0PX
SQ4dY4JW2cCSNXyMm1ZE6EAEDYlPeTFsXDqvXN7L3+kfM8ol2gADlJlgz4pSz/6ISff4RAY/XYn7
i9sGPgDQCROZrShRieq9qGk6YNsyvi+hgOY0/CQ8Y3v/6yz6wj9mVMxW71vMGzBlGnXkdzecBHQo
h+xDQ8YVOyvLUXWxXDbXtmbj03gYXHbR3MjaPnA6shL2ZFS7inooK+EMoToJsA9mEZUgW/uMUBaP
ItKzJv1auTF4TVMeD4HQnWFrATK+iSmZNlbO1iCyCysEaRaafWCmAJpJfdbnNbQM3CIfo15roSaO
h6DDtwaGqO9/sKUVgkYVkQIaF+BXkz/j4jilBsWuGdWI2ta2tiLSQuA0H42Qp1ha7wE1XqwN8iz4
iCTQx2An0BtImpVNJXULJkEyjwCRmEXQ8B5qcXr2m6YVRjXGbjrcX+GaOeXm8rhpDpkjxkgIsfPd
uQ060AkEdVyMGzv2Vu7lhcOMeXc4DHAdGOG9QVN1hJdmqo9RmRcHSx/26HX9LZoUTnlpQjnKVk8E
WOPIGDn5Z6sVm1Z7Ytb3OF4TyVn0wH+W8n6ZXrhGyXuAtIk5Riz/DGmSrcEaqJFMfx+YEF+RyECV
DUgOVYrH7zPPbTsXDggxGbP7ZbSf4jm67wJLK7m0oexY3aejKCttjMZ2wpAYC3uOQnH8dt+K9Fs1
WIA1+x0YhZ6CGixKrQbSm6dThMes/iHtoEiDDDA7NLVRbDVOybMTT2KlAr50fkF9gKo0OoAAJCrn
t/G7vseU6oi2soVxOPTpCpzZtJmm3Uwt/tN2qfW5qkbIbKZa3B7vL3kpoQIYBNhB4OQxO2PLw3fh
I402z1qhYWcFysbefNBM6AWiTjUch2EOBMmi3j74Irxvdmmn0S1CL+O91aDWyRwb7DaZyKbI6iNL
y7c9mAz6b8I5ifTjfUtLwQPdDAfTOgDTYcz2en2UoWmU+ukYuT5yRS/mOyhDOIFbFXpoxtZac3zp
a4L3GDKaSFNlIfLanFuwSZSaOUVTYraR34qRBnbGnWHnp9OcBwP3zBHC1xOUTmKnStb6UUsbixsH
HFKYAcFXVTIeK5+ZUQ5kjuaaP4qGbrzCP4CS4HeujV8RR9dCjBItUWeF06J/Y6KojJEeFQyQoiTE
XKshD2Xtsh105sGQk3bz5v5HXLaC5imI4CV2RnFSnbVx7zJOHgCQGPeEOn+ckhb7+0bUIup/1oLa
uLQApir1WhtZNvcdgvNDBcm5OuBdNr+WOp9erbZut2llsF1c2Nuk9jgun5Y9alUugmzM5m06gsA9
TUBFXOuzE0Dud1w5Meqz/7+/TgolSZ0eYL2vPcujIyaJiCAPaTpjeo8EJPX3zPGPwig3Rf4Q26CK
p/1Dy8+6ty8bN0jmN17sPYKis7tySSpu9v5jgNuUPFiQv0al//rHaJqeFRpQOJCICfv2u19kAa/2
8TQFDlsxtfTtHeCHUE4HK8BNST1FcbmtiGY8tJrdHxh8DW2L/yPtynbkxpHtFwnQvrxKqVxKqs1L
ldsvgu2ytVAStVLL19/DGtw7JaZuEp7ph0YD1cgQt2Aw4sQ5cyO5xN7l/T74/vcRgTMDmGOuHo9o
ajuisu6aio0ptlhV6me66uZ5SjJ2tmZMb+7W6qcV0vIH6qavNME6W9mkniZjvJgJ+WKb9ngZXbw4
uwX6bdrQtkdoXEIDZmJGYOKX/aJLQL5Rd8rBHUodVR4QXveJVoauS5WDZ6z2mVlQPanrVjsMk/Ji
GaS6ZExLMK3qt36czSNA+Vl4e9ML/up92MB7avD+gKhf8TS3DiVsWk09asFDdR5dNYnMpiG/zKz/
Z6qYe7a1zj3MZWf8+Q8MIw0HPVfgna6UOjPiGXRIPT1aFfvYJc1DndXHpu8eHXU5G+lyR0uZbMXe
TgKVJBiVAfqHjonwzFXysZszszSiDLUUyPndIZiQVZrF3Nj7hCJ0QJMaIJ2oIopvQctsUOozIIlb
n5b+2J6yl/4fb/XzxJ/e7J9Epg0qJo6vDAqjQpVXG/UEBgtcLGkVaj8V4pc/7M8k940f6VNqHMbE
l3HC7ptFIlWD2jiGKz6tzYY4WsccPZqSJ5Ydykdyb8fMPKqjrz2AxudlfOoGyTUgYjv/NVZgweB1
HLB9iyzffW3Os4qO3KgfxyBd74v8QKfQUl/dAvWtwqeeb9CXQlX8svgjRdDuumDQ6eJyR+sI0KVC
kWCmCeScp0SPFMUFHV1hgrMD7MhrYLppdakotAGYaq/h6mr9ry5V2mObOvSOpiYaabz2c61oqW9r
AwBXed3FfTd/vn2ouJMSnRjvjQThEXL58GNbJ5Z7CuqxCgolWuOun2jVj6FuDNaJGpMsCbznOP5t
CtnurSmg1mpA61MjWo3QzjPAtS+ejuJBSS8ICmJdljUS06X/Wvv/GxuoYLcGJ7LYnU4wttFs7paW
3S+VepyU9gHEaceio0GjR5pRHhUbL4QJPBL1j9uTuztiVKh5Mg6Kpapw0FAZY4Bi5EZk9mg+Gdr+
W6OqB91Zvzc2Qf5iTU91TiSv+709h4I9xg20B0A5IsDJVpNZSQtXjXLjjszuKbHSwFz0B299G15T
SPwYB2O+T50mApLusOJDWmc6LSh8y4/fzvbCeccljBjE4wm87RIkqZfU2VpCnb6qjrn1JemVqAWp
Ux6W7GEB1FRv1Du1eUztcweAfZ08pe53NUklV8dO8IGoEygNrAGIE68yHk7al4Y5aVFCH7DScD9J
uKwJMI2/iZfLfI7wgOD7DtZc9EgC6uKBvHc7aGhEtlOT6Frkpp1vafOxqpeT25DXybZ8FJyNpDnk
EOIs9dGfrchx0kNdpWCw7p/yegiVRZYV3rtieAIQjxkEw6hVCsvAFjurqOJoUae2L6v+NTNBHlFW
nz0GwYwF1M8zsp1eOl8G41WvZfCOvdnnqW+4QSSLsRO28zES2x69GfEYU5RjtdxpPQnrqfTBXaHJ
eiR4GCn4MySK/9cWXqdbW0ZHMxecVFqk9XfLy1D7k+l7r3ZsD3e5FEGyEx5wujJ0jOJfvKdna6zA
0rtlQ/TINKCIxJbAA9F09vZcdF8oSvyTnd7bwxIsAKV2aFZKnheIJN12MXufAMJS3mqsIiEgQuU9
eyyIOXo4YEj2H5TaRn7cKWVFSrEU9L6lUepGTQGZcYQpgu/WzTlHo1uORxtLTlqKfgzri9H1gd3R
0DGyOwqeF5Yc2EAualv7yRy143psmuZPtmgnDx6onHKwwLxRaALOa3XRmgzdBOoFet6S43ftdHkQ
5YChFsAoPAMEr1+aDYRjSa9HQzdOeHWFbfo1H8LeuKjJIU+d37cXYMccYlGQuqGog45KkdvDsAtF
62Y8spqUecG0gNuss86dRYOcQal46BZc4JMMfbATTMGbguAcNR4Lqy5GppqX1XB1mg5mFC+s7Z9V
gjYV7+BZxf2IlhnnpVh/le2bmYYaz7iSQYaG/n++gEvAok8OYtfCPIMcyVMmZdGjOZ8KND/RS9Ek
8ahCB939WWl/MqX4nE7WxVH630iY456vAzaz0+3pvz7vfB5cPEiQrQFNk+Bb5qysU85eFdlfK8sJ
MxMi8NVxBCBu9KxzS56BY7ptcceZbk0KLqbuaFqxCg8gSxnHQ06M9uisq/FJH4opdBcID5qFWb/1
Jhqiu9Iog6HKXV8ZG/V8+0u4oa2v236IcM/QwrVzOHU98pRCOc5l1j4t3loezY6pz7dN7TgA2AJD
DlDLOP5Y8a2rs5WiZxSdHVGXmcfCRHeFbeYvUBKtmRUo/WMOqQLDp/McNgkNbPpQKv76MtiBnTxW
89Gdfzmjv2gAfKNmQ3woOMmW5frW3X6hMBtpmhFAKXQ9SmnyZma5DzExsLaGy+wnyXzXlJ/R43rM
1dfEvVRVjPAv1R5yvLNGWUFMzJDCW24/Rbhu1w50rCsmMxqBgf4MjWpNDZhxmdi5bIOqOXSFpDwg
Mnn+yyKaa9AAixAH7Jnb5QEXmwcCalePVKOf/Gl6tCd/neKucf3C0i66+9YWzVkDTAkAiHo4dtqX
BYRNQwYZ2Pa4pNFIAjeVfNW7MK+4QfE5qPzwLAxodbZf1epNS5UGz2covJVf9CXvwzpl80Fd1vsu
MZTH1SpyTsjtfCpYD+YPr1bDdNCetcQBw6Jp/+OMA09w227Q0qw85J7LzpnX/8D/FHl4Nj9Bheab
NjjkbnDK+pkSvXoYgXQ5zEC1BuZaLRc29tp/4HS4Xh0PJdGjIVZJ+JVvM6a8p0Am5iM/uDxTzYNs
nUmVgLr2k+GlIKilqub5YJ5x//6KQ1zJWTi4WvEVDsR0q0E3wBsX2cw8tB3AF7bvNjnEsH1lsX2o
48hKhiKUkW8wYPnQMoG1BJjm3T98SPrbjuIkIF43osoeIfXN1O7zzFx6GPMy+wVayiU2TLYUft6T
+owSCLj5ViNOidYBrpUvaO1IvR9TM2ho8GjL3x6F2GxdtlmstImMu2bHE+DqR9aGy2Sig1S4mcic
lkWrMSMC7+qpNXXmZ+2oH0ZotQR6nshgOdchGHAl2N2QhAd9CKLs7S6vZ6YV48DMSBm+6WbuUxkR
2s4dB4eBahk6OtCH6wnuBFRMnZmWkxkloJIpaHtoUaM17Gfoj3Ieo3NJ/P71tr/nPymcXNB4Q4HB
QecXuv6FMdGKMqcZCjNaUY85V4Za3JcooPlG5mqBOhZF2Ix2c7xtdM9v4ipHnROhFGpqIkWUktVo
OCtzKzIX61viFZ4/TjjKyWenJ69GTw6emoajaftrIWOC3wnj8FAFkh6PRGQ8xDzR7NVeazHXjLxO
9y4D1APCglqg14dc9zEnaHTx0Qr1u6vTTuJMuBMUpprfq1wTCYEp3srb7ZM49uiCbNWKSub5hFbY
rC/dIrm/d/Yo7+cD/RwiYlBVCGEScIzIRKGQEZEOBIkpSKp8T2n/spTFnQQq/GCAB4cJgPWiv58r
Bd0di2VF6sCiyTQCJ/sxJ5cszcJmSZCrlcqp8ckRJw+PSiTW8LhE/4AwLqZo9jg0rhXN6SH9xKss
cDyqv6b+sADGEHTf/1Sy/OnO2UAIhJ5s10DHITzNdsFwLfRjQys78vKvdXVUySkHuc2SVkFNZkmR
Yc8Wcpdg1Ecbl2e837Af3K4+t+mIKpIdOaN+ym0U5FsN3ZbKyagr38u+/f0BfA/woBOHbDSEZbZD
G7W+VQZU7aNBuQeHuzWEdX6iFGrNOnlmoxt75qGiMv3X67MHUmXMKNrheGvlew73wyC71s0za0mc
qEqmMK01FjALDwbPhpDpPB1soyoCr5tlUrvXZ+Kd3B+nAlsHHZ3CwQOfz0rxYHUjvSPLsdGKc0cK
mSj1Tolwa0XIAS4KqJOoWbvR2GbfjJT4qwa6IqU4JC49Gn1ygKzy0/RqoMXFy6I+UXyWvbEiDxsZ
q/P1XsKXwKkjdFA1tEbxZfgwzY7SFoo6pm7UtGpY5ffIeTfL6OtehjqkJC1xfQVvbQnVvsTrW2bj
sojqrHiCgh7e4XZolI9Nucqczs6twW0hv4qICH3fIpqknCeztbrOjTQ+pQrLf+RQLgWVZ0MOY9qR
APhx/S6tbKCbAPe6t1syvd4+OHtb6Z39BPZRahXTIzOhS8Km3o2UDOSh6jBMvtGY5um2ld2RAkEF
nAC2K+DGwl7qp9RU13p0o7T4PDeNn1WWXxqPFXiXZ7U6FUkLz+ceivzXbcN7qwnPjmwaEg4WSjjb
naM7bB6bFDNM26q9rNM8P1upeu9ks3pv2JN6+Xtz4HFycRui6QwXytYcUSDBysjqvt+IivI4dd/z
DK8XTZZF2Vu2j4YED+DNBl3adnEjBiIXvJnRh+nfHorMgrBiEEpdxqmCBdWMdO9lySRbgs/89v4D
dQWKC0hA4ia60kuY0UljKoPqRqCb8pO3BHHhegLVmyXLql3HoDCEMJcrVeBmF2spdUWsah4VN/Lo
P0ntI5Ie00O5hEE9+5P1d/38iCMQgwFlg/gTQKOrzovc7TBnpe1GFQFRhUmTLoDGsSXxUdeBF/A2
KN6DZAbVXTQ5brcZG+xx7rreiWrlK53VYHFpUC6SociMCHu5IRCrVfPBiQo983um+o12/18bEfex
MdZuArrOqC7TQG8eAN06gIT69lbeGQkiLbwAucgCeq/53z9cH56Gp7u+ZGq05OkZtKpRDlBda3aH
22Z2ggG8ouBpkMCFnqcYqXb6NFk5uDkiO88PXkofmzQmJojTzNe1BP17P0ug2DvODbAnaKBAtQge
R2xOXuq1WuGw1ahxTrb1xQmo0fmeLEOzN3vQRALMC0EjGn74V3yYvVpN53GpVjVC6MzObl4eiFI7
x2yW1Xr2DAH24vK3DOhzrm75VFHVQcf8odXle2e3QZ15T6ybJI5n1wxKqkC/wO9e5V1R8LRBKQ8z
BlrWM+c+Kz6P1te/3wr8QfGuBoMHPXeuH+Ysa4jamF6vRlU7+Et3rBkLWfOb1a9QipRVp3c8KRwb
1LlBUMNVDvmAPxir8SZyUQdVo/RhSO6Hlh5a20ay7m6UZMV2rgS0zqE6yN0O8inCToDw6aoWzqBG
iv3TTP6AM/72rMl+nw/0w0B6TSdmNuH31+XBpT/+s99HmMUTQoja34OUD79vzFpR2i2DQrHb9nCa
YKAhXne+PYi97YX8FmQyOUAY7U7bQbRWlXVNoakRob9Low3ANwiVRklYs7vkH4wIvjmxNAVwHh0j
YTloxNkj9nFqZT8M9TuagySRwJ6b+TgiwUfrfZoSNqhqNLD+ZOg/6nn0iU0Olkzhec+BwkVDH40D
ZUEovp06YwFQnGHpIuhWUD/pX+b1E5rnDftYyVIXu1sNXga3ApK7oHPZmkqGFO/W3oOv5gxtK1Ql
ZGCGvVmz0A4BXSPepi/2fJjWpK144asR2ol/6IP5SYWwilH4ZUqOt3fcriV4aNw9ACfBB2zHkinW
6mQofEa2caxM32rxGgWmWdZ+vrc63DujHA+lDxSmtmZcYOeyCpFPZI3Ibj0MWqggR6wxBxpjGYrV
klB67xyhGg7sJ57WoPEWvFqTk4wayCBETgJdTFSq8f+EVCZ9s4O0eQf04rZBaAh8geCpqwIwIqDO
eYW/va/TOcqJtfhF7R4H6872Rn/IU19Df+RA03hWy0OySo7X3ryClxpEVRAKQMwoOIxET72804gW
LcPgm+MLdZ88AlPLqbMPtHy+vVlk1oTNstqNjb7BCgjTKvM7swn7VJ0gZOy76XFVlrAdDCqJVvec
FTIykFXhiRlA2bYbR61J2WkQK4ua5GSCZtKd2En3fhddGTBz/vn340MrC97T2A/AEAkHW20LwtDV
pUbgQwJc2YtGpGDcdDkUrQ8Mpm/lpWT9docHyVdwqaDvCc/M7fDsIjW0mWKj6gAG62CHYYC7G9UZ
WWcEmTLUxN6xAGQXHhIXMaJZYf1cu1hRKuy1qIE2jH2nJ/dWISHm2ykTI5z4YEM46dWaU88iqFNB
wsQH3gvHzwwG98ukaYfFhDBafUY9jOW/Bhn/zd5c8tgP8YyFnnLxhsaNOuo9Wlx5Fm8FcwhNf022
EkC4COGmxG3uzSS4aKBvjJCdPwy366ZlzBiXFLZsiCkkxHqp2yYY+kqy+/fNWMgNgjid06BuzeAK
AjeSNqLoR5+NEa26xJ9KGb/w3hWAzYBKJVDNyAfyef0Q2SAN2Sqow2jRlLYBpGBTZfE792mdJW/C
nWvTxLpAQRm5eAMv3a2d2m56xeRvgbkkqz+jXHfWaS8TTdkZDXcTPFeEhJEpJm1WU1tmWs9q5I7V
HKaG2YfGqvksnQ+p2ygSj7izQHjbILcIYjwucCvsdjpRy8gmxFJm8blw7tf+k1Qxbt8E58mBE0SV
QTi0CR5MYzLihgYlkeerqX1fLz1Db1cvWR+ZIWEss9uTpsVgI7v5A+7uJnteLEmQvmsChRjOmMy7
+YULE82Qmp7zsSxr7bvLHe4vv5bpt+3uM3SlccZkHBBxn1VKruTZlGmRoSUQfV0884Kq6evtq2J3
m+GZjoIB3AAo57abeUJ/i0W0RotKcxoOTWKRQDGt5DysWf+We4DW3ra351d5tAlRWxCKXfcfrL03
WXSstUhd2/ECzcv1YFptESDVoyJXpGShk1cWdJxbbHRWoK1C0xvwGE4yBNTeyHm6WUVmDJ1/4pYf
vBwxj1Ig5KCFn+r3vZe8sPpgK+MnyZB58CJk+fB0cAHrwKPLhdrBdo51dB4voALWovXYgbLgbjDO
WemfyBeEjINkZ+5cHtCl4Igynu2DT9/aQuuqx5wJtoD88q3mnCwIMKD07TTN0TS/3h7ZThzFEQVA
L0J2A13XwsAacAjMao+1pFVU1ZHiApJrf1/H5uAaL6Mr8VH71lDbgnfXgQ3kf//g3zWUrNusw9A6
3MBVCCLYPjDf2u6gyQg197YGLqn/syR4+GEo4PwrWGIQLnd+NtX3yZoCu5as1Z4X+WBGDHrLycvB
T42gqXdfwdYWqNmPypNMGv9Uce99tCF43XQGD3XP+H7w3RNtTqMTPgxrML5NpWQ0ezsPISeIOUHc
i0MlLM/quS0jdEYoYTT6YUUDV2jZFWBTPNqsqyZ9hNye7Ja8Gh4wkog2gZ0FlgZVZGG79+AHdgpg
ICJ9XX09SS9Tyr4N43H2vAszGz9f3yaSvdze9lfrhjQTd8uIMQCZA0h/uxHVLjdZx3QlUir6qLSX
Qq0+eVYvi0Cv3AY3AywsR47wB6f4ZAAXluKZiRKVVXvQvC/2GzS2WvRJofUuPY55e5lrSTJ1Z2S4
ClDHRcMS2mrE93pNVjQ1mGoWE0CQuGQmOoK9SbIlZUaEK2eB82ct0bM4Vy9ZHkJPxHC//fUKbcYh
TF0C8W+jsmAis3toSf6ZcIJlIixX1zN/KH+YK2HrKa2HR920ZLF9Vx+7v74z8OvAlOA0IeXMu/W2
e4zlJX7ewUpM9QNy+r716jn/lPMxne8G+ietlsBlf7+ted6e67uhzowE1NZka5sNZCrXDNrlQD97
HdjHnWBmEjdx5Vv5wJBX4n0l+HBV8K1TmqEUNNhZjBg7UFQCyEfva9Xdwv7c3gNX/mhrSHxGqbVr
Kz3EIWOwLuHx+1rlcWKf0HgYqDKE1/WORiaIM4Ah8YQxXV26iWKA1daq4hzHpkUFr0z9/K9vC/zw
RyPC8rDeRIJkhRElA0mdBwtKf6yqvz6csIJuWB7WonteBGQni1UwVphVvLo/wN4Y1OVdnUlW5hpU
wYfywYgwlIFlBOlCo4qdFHipagpZ5Ry6hnxbXHbvFaC0n5LO10czzBagEI0OLYZNGwOnGMxdg2Yk
WfpibwFt/v41OTMX2v22Wz/LBjqzOs9jL4sby0GZ6tTKWtolNkSFMnNdzCLTsjyeve+d6gX8DLej
LE8tsyLc9ybJPNp3GElnf7X6xoca36jL0HYyI4IHn+p+aXJuBHprOYSntGU4WHkqece9UzBuYhcu
BwWkBCA+OFzIDW5XpdfznHaVWsU9K33iZuclSX1iguI8cEdyr45NSMFEA2aAWKOvoHY2yu7I+gp4
bRKQ8jc2z1ntzYueN/7aTYfb/uXakeF9jrIzvhD5c0NcT0/NpgYwLho3Zg/osKOQ46jZVZBD6jdc
jDE/3bZ3fd9s7QkrC4WmVCNORmNoJB/MtQfXz39pQVhWUo7ZOkyExjNJA9v+ncveC9fR2nYIwrXM
1GTJLAtDQD2TjZ3fFbCj/Nbs547aB6RFQ3uWXKSyWRNuaTAE40nZlDQ2qHXQrHvmqJJZ2zkMm33A
//7hWeJNtKNjUtB41E7z6kWrdWcRGe39rhEHz0fQxSD35AhLs1h5lpZzQ0H3ipcICrffWAMfktTd
77/fZfz+xxMdBw5V9e1oSK5SNLi2NK4ycPyiZz43H9AdJsNC7RwelIMQ3CATBAFCsW9Z64HjVtA6
HFfQHnQC99vUo9dSJiyxZwVBBmgOuJInGHe2g+mH0htzRDUxUcKqUZ9B0/4HVIjArMvAKDvbDCvD
+ZAQs4EqnQcjHzZBPaERmdk1jb21plFiZ/rRy/uX22uzswl4uROES6ggAFwjrA0El9zGrEwaF2ra
X2atS38q81T4A9J3Mhe/N3UfbQlTN7lER2oYtvL1q9p2F8v6Z8adbNYyPtprVBwejcjY8jQMosIr
It6BLcicMBsn1FGOJSKCYCXjqem6wDDKA1Mhn9ymj2VmX/rh6faE7vijjWlhQpFUqjgzBE4VquI+
9r5+KBGKZjQcyjcPIHVHKeMxX2TVrt3JBTM7GtURLEIKZrtbNJL0GukojXt/dp9BvpRlZ4ddbg9u
d7f824j4SgVBBLhEGE6yCoLwpPk6FhAUrx0mq2ztbX2kSpDWR2sw8vvCJAImCl2jccGuHDLzzgBx
1WEp29m/PRp+gIRYACk0kIfw1hBIQgsHTHc7i5hJ2iB6Ql1QqaLZGR+QCfuVo63V90xd8vrenT00
g2A/Qh8SDEHbJTLoaNaQ/6Cxm9M6JMtKQ6Xs3CNVMxlj4d4EgtyUF2E4qZ/oC3syWnZnkCb22uTU
6z3aXhNrBEbm9gzujQiwIjgPIFDRIiFuulGr8AW0iXv3abGh/ouXUF+x8LaVncEgecChX8BJwb8L
6zTkpQvBr6GJTfUEEndY+A/iLiRGEBJCHQKULuJVmA2FUmYda2OSN08uLSOarb9NPftt1cbp9mCu
pwzMGmiiwcsApCeo3m43wVhWpNa8vIqL4odCX/EqMJ3n/86EEONyjceR0aKKUeybWe6jx0Krv962
ce3mMAy0OyBRC5wptsB2GGsGyZrOho2StZfEhjrC13a6d9NPRnlSwU+jSnYan5btWd3aE6YNlOIo
m+mw5yFfod4vAam/Tu5Flcm37i0PoiEoZCKnjlQM//uHS1cn+AcZ/CpuoGpVp3ZU5vcmyBluz961
FYRDYL1EPgxMMDC0teIWNLWVeq7ieTbDefnEzPogTSZdLxGMuAaK2QaiIkQRWyNtC+fZ2njcT+0a
0NnxzQmtBuxPns0Bmi3pqaelZFzXl9DWpOC3h0UfnJHhpV9YSqBNLw5QetgQkyxtvzt/oBlGqhTp
HsARtkMDsCi3Z1WHnckMKzRIeWAakGJod0YD5AGnM36nqRA1C5YGlxCxnSrWmzJwEg2vsgpJA/Wz
dKmuPRy89AdLgh9d1kptBguWvPE1n++9SabbeW0AiCxIiSA4QD0OUMzthOmuoiGhtCRRW51r0h+X
XAbPu54s3o3EwZ+IvQD+FC43iFoYWtNTL1LGLiTKS1qtaO6u77g0w+3Dc81mw7FYAC+BuwX9SHj+
bQezrFoDNtc2AYzirR7QAfiCggcEOxJfX3xl1c9MuUOzs+IuPxtkEpohTruLMeShJeufud6HyGeB
2x2wLQ5NFxv1msIbV4OtoDtb3CluHFaG64QyQeep1fn2qK9PM3jlOE0W6sNAWnqCy8i6AtBXMiQo
hQynxkUiguSBndU/9BodF9VyQqPzc6e/3ra6M0BMNK9LeACmXrEZTqBX6/GyUaLGYAfdiPP0a53K
8kvXvh2PQjSFIyTCPY/K33Y9ZwrC8GlAVrU1k6Nnzz48Yrp4xyX7Pho//npA2JwofnDMgI1n4taW
a3Wt0bA0j8HT+LN0vtfaM6mtl9tGdk4bnAauR9yL6N4UiQ3roWaoMJM0Zu4AWnwQnAVKlheSsvfO
tIHAG3cwKpfYD6J/18uxXRckpIGwuwcTy4PRPxTms1YxiC7/vD0gHjFsb1+8dFHVhqQiVJkAHdjO
ml5B3CNLFCTnXHaosv6ChHRi9EcohAdl86e1JQn9620He2ik56uEUyUyu44ZwuQ183Jo3C5nM1tj
q1EiD+QZt4clziDPSCMlgU5tTsiF/9wOKzfn1cnJiMRmXrGo7ZUWZaOqPqpUQbwMrtCgwGxI+jfF
saHbDskWdBUA64N/i5LNVZGWJl6eRdzXd4r2lZeRhj+3xyXuP5hA+ytXL+asjFfFxD7JnVonOYkz
By05dE4/p1Yla82+njyQw3J+IWx0HUVLPs4PkVI+uQVkRwcSJ4CtucBTJI4eLmz6RcFSWEAi+faY
dqYN5J04S8iKAu4o3mA5VIdVC9xtsdMjLQvpiAL9LP/ctiH6WD5vBkRDPeSRuHqosB+c0c2LzptJ
XNdNsDSA4dAf9vwE/gJ/Hr9Unc+6739vEc28uD8QauLBJmQv10rPq8YlJWQztF/dmK9PkM6eHl27
Vg9t3xWXLLGX09xO/Ym0vYyFSzzWfLy4SsDihJQFWEKE8aoziGk7tShj0wNnRTG452a0vg3udBin
+WSsd9JAZ2+GgQu0+Ryjt9cRbrG5G8wcCkll7K5QaEKTrxEk03A01dbxS4UUgVUaNKw6NfEr8H9I
zvtV5IAB4+0NPDLcGPJ3ImJWGZXRna2yjtfRRYCat93J0koWmNCHOjj91JzUoWlDojfjWWvA6++n
c+Fd6nkeDb+26yWEGj37RIekjPKqo59KCChKEkg7hxct+RBFRFjLcWCCr2WpBaUrQytjSFuRsFTM
7ntpKZ0kF3HF1fQ+FVxQFqQlwE+K3UegDqtdrXWhWv6VNn+KR2Ac6cn+AvLF5J7oQQORkN+Gcr69
3Xd8BofSA+iIGAZHTLjpPQPSmauG5W+0Px37nT3oyl31ufh628rOtt5YEUJRcwQvN2o8ZUzqKO19
Rhpfc76AA6u1Sl+VUfvYwt34r4n895iEI2wZg5M2hVHGQ2XNwaR3KfhqLDVMSmMN035ID7dHt+MI
gQ8B5QeOLohexOCCpYRwzp8yXigYGnHf31Wm5PrdWyYMC+xOnCsFv7Z17VZJxh4nqIzp2EA8WS28
ezyEsrtaK50nqper33SF5FrcWzQAU+AMEUpzsYutTWSN8oFU2I9j8rSEUJT2tfVX1v4pft+evh0P
BEEN5HrwSjGRsxLsLG7Wqk6Hp3fPFDSSQmLwEyQ8+/smqdtwmRTrghRr9rBQ5SeQsrJy2K51zv7K
38kgFRE2i0LQkA4qnCpuZ3LMygkCFO0/TgtMdhcypfu89tn3mkh2zN4ORXCNnKOH9BjaPrZTO5lT
C+yqjWxDQnxe75yz56T77Ia3Z3ZvY+KGRv0FwTyoNfnfPwQEdW4NzgTJyrgc7noQ0BjpfSMr8+/t
TLRLvhdv0WUoQgkmwxqnReU2ct85A7AAjRKn8yeZPO17e8rHiJefasjGA/7F3yVATG8HA/Uuc/Kq
po6X5imH6medqgFot4v+2VB9tQbHHj1WI3AE37tk8JXmkXqHRPHCzk79CXq2WWIAWD04aIbOH/vp
m5adofF816yy1/DerH/8UD5jH2Z9bPD5rOjr2ABxLorU/mocV1JJ1vZ6C+ExA64nLmqLnJ/Yf6+O
7TItBNgwnX0lnwy8s1etPIOOXHYtXQ8HCXlOXAlcKwhORDcwtCMQjI1ax3NFfQ08TYr2sx0LX11p
wGlArAkYoiH7qpHPrqrgbU+ASF19NlrHTHm7vaF3wgUIJQHUiksSWeGrx2I9oQFssRNgcLrjWIfJ
Q+mdhvUtr+4QIByzYTpXqw6ebGhKzm+NlT+3Rhcs9p8pP97+kivYAo7t5ksEr7XabaPoUEuLbedg
LiFQTo9jyI7sWF6yJ/eOXYxPlPmE+X15bOjDSnz0XNz+hquimvgNwrXaGMCAgI8aaeXDtynMAhL6
47fhQXb03oEx26O3HavgI/MOkinV4MFHhmOoHVk8XMxQ++Id6R3uujvynN+tEYuGsxM+gTH2qJzA
FHzC2Tqlj3/O1efORyvUmZ3ooQ7BMHx0JO70+qbC9+G9g7PA32+24OfauStakJ/WcUtIdyTGivPv
Ol2gleN4Uq3CCPvMTsK6HmRLsHMKYZnnSHS8GRzxyWWsZWHrRVHHZFX8oTm1Y9CVfj9cbq/0nhkQ
NgFIz3u9kOTcupRKQVigzm0dq1ZZ4uUDpQiT3ndQPsll6Zi9ubTx+oAOHh6sUA/dmvLgy12vgfea
O7B6WQCIjiw2kgjsacDgtP9YROZg+MeLu4tHT5wfF/0JYgfE6pYLYFNZHZcQZFTbozL9djCw4nuC
xvVEQxN5CWbYNLa08yRp877qU+An6INtMWODBshkABK2jrv1l5edeg1J6/Sfsh0gH+a39Hmcf1F2
TEfJi0JqV/AeCYQZSUFhF+I2R2fyDlX/RLOLdudhH1EjWEdwPi7fKfRAbu+kPW8OBSyUIXn1Dqnh
7fIWOl1rtnQ4KkpXBBmpCxTfkTPSeiqrq+3tJJRkOfMJQivPFXZSZi4TmiTNOs4tUPt6WaacRhDj
+E4yrUfqDUVY2M4ICsK6lRyX95BR3FIfTHtCTnGq2rUEdr2OU9sKDGJ+9ezvw3TUvOLIzOGiDdBR
NcMV3JqfveWA9+U03+X669yV94ndnZbhCcn5s/5kt3hl3l6AqzZcvuU+fpuw9I6ZGw64RrD03p3u
HHrtnGZoTeH0Xcd0efLCGW8WXF+e5LZ4L5RdTwrvZgP1BERcBMOTPbReW2NSqk9IpFwewXuevNg0
+N35WoDMij8EZaj7jf/6DxROAnJAa0nQBPkxPfL/BrHfAd2DkjCGb4Krj0LuCCl0DoS2BM82dIPt
KWSCA61PY04Dujyu1ZGW9SnzW3ALdquMGe76BKA7kC8C0KlI+YkVcui3zPoIwra4KFfLd7o0SsBY
6CtZe7690tdO+6MhpOyFo9YZvW6SAVA+5kYJcV5TMHh1pht0qmQSzatJ5JY4NJmT2qLpbWsJskQT
sigAZ3hj9hPZpTFgZZVJLtmdjbu1IuyffrTHbLAZ0FyOhyBwCPTmt9e2AV50wUJXP7OggzhC0EAJ
IaXQ+41lSnJzu0uHrDfnc0c31/sXfoisLXP6H9KubDduZFl+EQHuyyuX3tTampJl+YWwLJmsIos7
i8vX36DmnHF3iaeJmYsBZgwY08nasrIyIyMmaZhn1HKekaitlVtZfb6+aF+dFgaJfmP4K+QdgRS+
nEpS2U0eyX1x7B+t9lB5peFOiRd9T5MVP/D13XRpaF7Ts7HYapVTCxj8Y+ugFd6Xyi03N8aTXK8c
+0U7n+d9znBjRJd2xlTTK9rJmLPWwGl6UWjoNJ1H6oMN8tvrk7e4489szet3NqYkaiu7jGGrBSOQ
FoxK4sVVsJoM+eozMHVnZubPODNDu1rSI3sAoMvyYtNFuzQwT3HQ+3EbDOrm+pjW5k94zdmxXTM2
KsXRJL/thCIxecqQ/5PMVXKbtWEJV/PYpSwvMxVQrq5AB1d+S62hdlV1cFUgnHm+iUblftTilW6g
tQHOn3U2m00PjazMxADrSb/NIn1nUe4b/Q45CtfSVtDey2OE07WsOccuUtY2yhADM23A2PA7Iu+G
2roGc7EZFUY862FQ+pUtuTy6PwaF5csnQD3GCpOqGG80chu78pp9pN+bp+vbZNk7glH1vyMTVs/k
CK0ScNUdKTl23wzJfhrboKc/xppvp37nIG530m6Pdzraolb26GfryeUtOp+IP8aFNTQzJ1PwBi+P
gKvnLimb1JWMFJn8GlBLNzbH75YyolgB3KUV0NQBf6VWkZfINKlvMpof7FYCq6cE9u6VaZmvni9f
ZoJsEa8kZBF04ayy2OFS1ANhx+7ITeVJlis9pw9dqDJ3evg3tuY+7VlGCiAEwdUZGmscMuJ6SOwt
0b9rhatFg2eGTe+18qtqI8Ypt//KpoM0HrJTc0vk5elxMtwijQFf1G5G2Qgi5zuvQhWi79pJ6p/j
6WOoVm6oeRTijILZDYBqpA7RMiZcw6WiNBFncLJTmT8kjnPbKmNwfVRLpxT1L+A55pzzF76IXs7A
WZjb2MvWroUb6NlN0vVeLz+wKHOT9kelr+SahWNqgxlUQQ4WHc1gwsBDV7g58ASpGK94d0rg7kYD
7PioAdX8TUp+5WuCT/OWO5vAv2yh0IUIwkCuQHzhKtpUZ41kdyeT9Ju8VMHvBvgVj/equnL3igma
T1MzEyhWCX2kgHxd7o4i7bnVaDVHQrsLzP4W8qhbPRo2XfSeWaUbd6XbJeSpM6UVtyes4GxYVZAd
RPEUU4rK2qVhi0FdOe1tKKSXsTeQNzs5kATIAGhGv/LI2K7KKSxMKhqpAfzCbgFE3hTipgyx+lTk
RD7VAGVBPiZKykd1oIjk+coxX7aEnDYAMCg9i0OzE1LXaUHlk0peShWtslsa49UirWFgFqYQ+HvQ
90M7YH69ClMYK2QYksmRT2lt3ZVqG8BRHtHJViG73VJ6LAf6VrCVOs/S4M6NqpfrpsSJQTqUIU9x
Q7wm2cvxu9acRu3t+gFfNAOGFvTfAfL4pTGD4q7oqhFjS95lKPup9JupVt6o7a+bEYJp7MK5Y2pm
KJh7jaGEfDmaso2bXkkb5VQmyas66uhh8Jmu3OkJP6Ki2SXmiuMS8yqzRfRmzrkNeMiZof7SYsyV
WNYGXT/hNG4myDqhIWhrZ46Xq5lLIcYw2CAd7sqwklNo4vy6Pl4xPQ3zeJQAeoFZnVEs6rynzmIp
XkdSYZiTfWqbDrodd3mRbvMapTMWFHLokN/l8Eqnx3xbaTtK0sA0f0hAN6/MwuxVLh0cOL6gvjnz
XcypPOEsOmOu5VFmRqdMqpO5SC7d9LhOMBfKGnTmq98GaBbQH1SXZoVtkfKH2GOmZKaahEzWXe3o
SPdVAxnk0ovS55W5nb9aGBWqc7jZUWtFV4xYJuwRnTBr7EioNZlxiOPqe98T5S4dc3Vj5BJ7cTIV
lBEytHyaTJ72lWLeN2nfHNK8vdFMSf1nj9EZ+weQ1ywaqaEtAq/qy7U2So1YpYLv4fZ9w5/6vA9S
S9usjPrLEYIVyCzMqe25uiyOOgWcX0k+Rx377Ld1z/23YUd/E69/LSCOWXq2mwWW71B3eFjla/t6
f31ah1sHRAOIZRHVW6pKBJ15TsLBTt1uerJYmHSPrU0AyPhdlHWgoh40rkmDCBHO58xCpwO1YPCT
4u4U9q+sQl0TWDoSplUcGCMIuYx8LS6dvffFbppHdmZDiBUxKqRBk3n1vkPKW/Wo7wSkcPnv0i2f
rZUn1vI8nlkT9opEslzlckvCLuj7gEqe6Xd+7Cmdb1F/req7Nn2C19UNCd2QHYxJA3Uj7Z0kzkp0
IbZ2/2eFwJyG2iMqcZ/FsTM/p0UO6+Ie+wJZnn16Ez86AT+gJsgD2a9v+530hFbhtbrqF18zL5mG
oA2ZW+igfko9nxklRWuZqYpxUdzEHohi/MTKcB+39qkh6Q+mrr2Mv9ySgkFh1bIswRM2xh6J89hl
Tnyg6lttfjdLvrI/5h/6shkRyiBHiIMO8u5LV9KQOktVYyAhUXTk403oC2SIGL3elteYmdZMCfve
SjIVfCYwNWbhKIEG34lcqNuvbZDF4wXoHpDY8xUkBmkmi9NhUiMcL/kjLpStmbSPDdNuyXDIsnKv
/ezVai9l0l1qrZF3ijiqvzbnmW0hhsoirUbTg0NC3fKmzCO2X24U1OWit0q6rVTXSvcxh6anW62J
ii5sGJDhgscTeba5U05Yx7g2iKlwHAvZKvZpNZ4cfXDcDIhmrWvpyhwvrCTQOTOTJxKigKUJxrKi
Rd6cYCVr6PV6fS6dJODottzWVnzlwrmbC3PQELTA5oXb6HJ35r2d4UOwlsq90YWVHhANGZuA/UPq
hHnd5gQBALKIWYAxFmK3zAC1aw42tBAR+U5yntPsjtrKykPzS1Q/G0FbLdwIuMSBlL0cDBL/ddLV
GQ1BvDvRI2lrX1JOVNlC7M4dytbXpJUgWEzO/DWuM5OCG0m1RI1HSGyExW9gcJPC/Z779uuH+q5Y
nulCstzcNWvdJWI66j9GEY8Cc4y2DLEPQsknhIgJo+Gkeex3ccd+6EG/nfamV6Z7xj17pZK6PK9/
7Am7saFGBQgl7PHu4LyU2WMigxzF0yvgM7drMJA1Y8Ii5vUotVQrQWKYOJAyxOsvtj1r8C0pZM6+
H2w8LdbEUr4+LT53zp8RCsvIjZp2GcUI46hH9fCpkt0h9Uut9zJtCNLoI+43dQOKqH7ldlhdS+FC
z8xMk4cRe1b5VXR0zxV7Jz1X8RjS9sihqcShomfzxHPoXdesNRjPcyncTTgwf4Y9e4ezW1dHN6HM
QPMdjrqUB1nJJ8RJVR6sxLlCnvCv/TqDDI1ZghqFikszNSvHgtOchvkRPsJVrS0Ux4nqNklQS24/
3awlhhf30JlBwasxVCNBio3lNL1pRxMXepguUOXjy/v1kYm16C8jE66jKoJ0m6rAEPk2/i5D68b+
YD/BCNMH2b3C3F+Zqx1eIazuToOXnxRPeb7+Acvb52yk4tGU9YGOLbZPMbrxCUqb2m2/gca6Xz21
W2vvr5ibz8GXDXNmTjycgGhNfIC5wYfQ6w/140G/LwMt8Ybt0Xnw6YexYnFtJYWDWSatwUA7SsM6
uuU60LFhj1SDMpfRk1PxROka9mvpmocC3cy7CIJ9pLYv96qk8AIgcKxoX94NQBXkv7MfdbG5Po/L
0/jHiHDoKy2mY1w0NIwqFVq5k/mWqLXikXFYk79ZCpjm6rE1Zw2B9xWzlHlK8wbiTDRsDQpc9mHc
RHvt2DXPhnmI6a+q3o1PUN0Cx7TsXR/k/zgcf0wLo7QaFf3c0DAM7eE+yj4a80ZrvQb6q1XsjvJN
o/p19ct86n7SztObb7GeuNGvDHzXTfVoOC+6vaHAMlz/qOXl/fNNgsdjrK9AG4rpiKkU+UaVdhsG
rR0fNH2hNPXBdWurUyCEPcgRM1JYBS6zJtnUnx3BGXcz5y02+EPboiw2HMzMK8vD8Duhyr63d4Oy
oelu6gAsJJ464aJ91LR9l62V/JdP1p+ZmP/+zPeDiwyEDPPqyOxGPZjewPbcdZ7jB3mtmXx2Cl+d
xt+WRJolo7UGwyzmSTBqxR3HmviNnq8RVP8PV/jHjOD0C91J7LLHgBznWbWC9MhrN9Vc5tsv9JB8
XF9ZUY71L88P6so5D48yo0gAIiWd1MYtxxXDAtm5A0nrtuBPs3LNqG4q5znb0/q5b7yb8t1ubsZu
k0l7FOmU1+vfsbzD/nyHeLeaTjp0sg5Xkpu7YvIMIGe3+nSbmSNO+z0z71AFbMvGVQ1/ADH/UDRz
OSTQrWPaPErRrpN+mszVTyuftZDaAl787+kR3xWUT6WWoW4acp68SvYmb3ZjAvHlezzWmqx41LvK
A4n/oS53qfNLpa+Mu0Q5IeE/ajTIOx2Q7l05bvLKzwyyz9TbmBX+VFs3Wu9m9gj5vLWyyrKrPPtm
4TLv0SiY5qhrhPpz8SML08fqlm2HoH/SX5LHNJTW0GKLt8CZPeHuzmahECgc07CK4mkzNhDp0yso
bQHXvyqCuHTa4f0h5OHgHgDl+eVpzxjY9hULhyPXgPoswHHG4r3MT5rjQxW9TSYkzp+0aWO23mRz
N2JPI/QiRldnXoNg32pdFq9s3aXE2Xwj/f1Ngi8u0ZomlW2F+YacZjO96hI+ixK/kKaN1v5KM9st
+Q/UMDbXN+fiQp8bFrxyr6mTXrU4M0l8U+ShBjpWjdxbFQjA7wuyQXUyQi+eX1pH6Ptet7303j43
LXjdsq80i04wXcoSJCfRVxkfWam4yXdbXWtEWfK7Z7Y+5//Mw5tl7dAW/4R1obi6TNxh7cgs3abn
FgSXq+tUaVBsoiFTx102qntWNbupUD3ZSlbAJYtPNOBNwWyLHmXoXgm2YmKOpSpjNE0e4FYMpJ+W
V25Lb7jlt+NKlLC8Nc+MCa5gmqy2rngPYzJEMz1oIHOrvCmDCESMabeTpu+juaaGuphLOB+h4A8k
E8XrRoPPVDlzx9Iz2l2tevWTcw9++iImLjIZdgcd9kdL+gaOxOs7c8kbnVsXQ/uhySy1gfeLKrvY
xsgJ+c6g497qEd5fN7V4VZ/bmr/lbGcmZV7nBTgWwri4MSePybeKXING9NbuXGk48p54cX1fbOy1
UGTRDZ6tq+AGlcEapnSE4cTaDdrvCikMxxtcED1sifVuPV0f59IleD5MwcGlkmPUJV6+IcnvajkP
KHAWaGGKODJF8YRo2L9ub3l0MzkUKvVzt93ltPIBTStxO8LJ741ZJRR4aK/st6z17VCrV3Ox84kT
4zoQOP1tTtivsZaCGsrG8Bx0mJZBfKucLA+qQ4gnoFKMLPTa22zRoSGDiBIhaA2RS78cX13nHasj
GwYTyXG1nkzuZCCJcH0Wlwogykx89V8zwvWgkhyAIIJ7mWb3iYbGyI1V3aOfFQfU1WexzQ8QZwAI
a+ZuMSaupnqWuZYWWvSsZ98g3BND6QDATPENPZSCt9qNorjyR5F7ZfNSv2sPpW+md5nyZJeHRspR
el/LMYodeZ/x7Z9JQLvI5VzHCSdS1im4nGUUWQ/xM89dw37uUt9m2wpKBOmuTU9pf7Qfi5e03DrS
gWToBBqpx1W6ZRaIsNQHUr329omCL+X/tUaQU778vBzNP0i+4POYvM0A/O/uknbbtW9TuslBrm5v
puhRSo+tzPcy9CnoxF0bwt3Xv2LxfP+9SF8Y5qZo0HmvmkifbZ3EZ5BpeAzXOPkX7z1oM0BtGDty
1le+HGmmql0lxyoJnZuUouKhjoFO3pl1zNsftO7crlT82g4M/np9cItO+tywcAymPgXXYz+SMEq/
dclv9nQHXOxBbt14fJeo2709Xje4tOXBcAGaDpQjZvaky4GW7ZhAR7mB3zAoujTuZfbcxGhSoGtx
95IbOTckDIxkUytrdoVa49C7Jek9w/52fShLG+PcgnB6I14ZVttgKKlReiqkeqf+mGb3PX2r8o3B
1xRHF80BGAmeJmSsQDF+OXNMIbpkzCvVKpVXlbkfpZnLmhEcIQb1wIOo+BqtN9fH+BUPg5z53AoL
wyC2QLXq0ipVJKuEdB6s+u0vKQRppBH5D4y4fFf56bsWeCr3dv8UCPrpmM7Miv0Q6VBO8lTBbIfc
vFvfxz+0k7yZfsgv0r8Jb89NCU5GISzvzR7FMZpFnslvNMtv40fTWQkTFqNNSJUhUzyDTfDou5xJ
IF90PmpzujrtZLxApMEnKime0QB6VM28fqzHdHRZVTlHMFW0D3pq0P311Zy3iHiXn3/CfDjPIjKn
sTWJdZSGluLrdesm3Z7no5tDUF1fCa6Xjh8QjJ+wFzS1iBnJTm5BhFIhHRTblX1gZW24SH1J/vUB
LSZoLLwWsDXR8Ij2iMsRWQ0vcJHjbWKNIY8PffUN506bflcfOSCbYG7qUpe8T8aGvkWy3zu7qAxA
BfN2/TOWBnv+FcIhKUalk5oG7704ls2tWZRApcrQFrhuZdFXA4cKqNbMHIZG2cvBTp3Jo4YieM+S
ACS80HxQA9CIScUDeilwb3uVfSsfefs+rGb3Ps+5uHXObQtbp52G3qodhIHmcA8C/kPUSoeuYHs2
PKvygctzVZJ6Q/Oqlr8Iz7xR2aT8OEqoM+958zYaPqc7Q9k3xQb734+jn1JJ96lCdzph4NiX9nRI
A8K3/2rO8BgAehcNauKcmSZ6I9oR0XLPQCHyVsi302TsJFcHs930LUn3BPnQutxYK5fDvBZf5wt9
mjq61BQg6y7Xqp0cKCojRgqbRAfEJnPQz64l1XaUoBB7fYyLuw/Ma/81JTwIzKyfMt5PKNc4bRck
bTntADF/um5k3sLXxiM8A7gdAbPZyni2lsouPST16Jlx6iZxFEbxz6i3Ayteg0EtRkVgE/57ZPPI
z/wVryIAlxgWz1bifQwycCOnnqXhudoRP9YKPwE60pyOQ+PKdPSvj3hpBcFmMuOUgIcGr8ilcTTU
5LwHIVeog6koUAsj30hpIvkpNfN/4ZdnhkcZERF4+UTqUgkqP+imdeZUFXNb1N8J90FXE8jcDOJ8
JQJbHBdI4OZWe6giiC4TGdbKHGmShlqUQHQnAcSW9A3xu3xaezyumRL8op6PALQwloZVm5nbFM/h
IE1jspGZvZbMWXRQMwPhf4ZlCk+ZpNYzTYv0LEzS0og3rV23mRs7jdVtasKn6jaalJ6NB8lALsuT
ew2qUz3pIxCJTIoRpAiDSFCaKtF2Go1SZc9KqwebHNoYFF8lNO5uYi2HRnbXWxJ7tOKC1L8VOamQ
RzTVYTtGBi1cI6/N8cbuVTDdxubQVLtaLiE7wbnctC565Avbi2Lg0Y21y2HBC8z8/DN0CVkB8Adf
bldnZBmpVC1FxFQFb5Nb+R+NR9xfaFh1KVqBrx+OpYsXUSGeZACfA64tctxXU4q+JLvNwtp+V8z6
YOFOivQoAaJCDqXioynB1yIh9ZxNx27Mb3sS6OlT3kebXvsYpDAy3kG8/379qxZCZA2pGHTWAOkK
0iPB6eZOn7VDGbNQT2pXlWQ3l/ONmYH6qNygp9ot+9frBpc8FCx+9kvMWW5RlxWBY9mMEmFhu2kV
N4f+oed+aD+n5y6EZPG/MAbqy1nwC+R2CMsvl5h2zCrA5AI2jj0P2barXP4tO3jsnh6qFTDQwskF
huOPqXm3nXneIoEtlc/jynA9J7b1kZTJT0Nha65vcSOdW5q/5MyS0UcRNIhgaTz06Q59k6hEROMz
+OnB/bMrpNs8gNKzjsYsdBl+s+UXNDaivZGWzyuzu7R54A0dkHHORI/ijc1syGiVrGLhUN8OapAO
XiYPgQPemWf1e32qqiB/jPNZmpnJo5uRU666ybA1itP1D1kI0mf4zN/fIdw7tVVNtJIKFjLWuuA2
UCqI5s3QkniNFWbJZZxbEvaTWeZmj8Y+FuYb8lisFeE/u7CEkOFiIMIesmIyjnmECSWjZxU+rbc0
faJgl7nJP6q3InH5xwRIgie/jLv82b7rsfBrMfNS5XTuOAA7KBi0ZkGzy+3VZnoC0YoW2yt6qPem
fVd23uDLjQu19Pq15p7S/2q/Qa0tr91Gg07RQ8VdZWvVeGzmq5j1xWMFQB+U4mZSDUdYW5ZPPFMr
fE13GKCrPEWvXLphNgpRY7lrpRtgAhLjVTfvh67dMN6Av5EcjOQf8rXMr2sNOwycvQBRgrtM8JPt
lA6SonEWflP0nxBCcW0bGho8yAwwRPoq30VKqEuvqf6z16wVL7a4IhB9RlQFHQUwtwgrMlRRVdv2
gP196k56sNf301u1JVu2tx558Aw2KE9+c3wZJEjNTbfi15a2/B/jXxKecsLrvNQnFoIgFEiF5obJ
q9D6eRHFfT+/RUHICQwztIAut5yRjQ0YcGVsuelgll6mbxoUOyBx6Bnf6mcHWrJWUK8J23xmRK5Z
FdJDBpoUwTs6j8znfh/kPgGJ1qa9171odAe389MH6aAFr/v23jgOT9v8xO+Gu2Rn/C58VIBP5O26
G/vMZ1z7IOFpnqC/t7ELfJDhqofmZ7l5S7zGo++3FToOuN8FRujsoJH0Ue0eixsH31jfSKdfjW8F
8dZ5tn1gBfbtLr7N3FctaLcK/r/JtbbdE3XXhOpFLrDPE3G+ZsKmbIuqjVWOjwUHHvrM2CMxvSxs
PclXXwLlZATdLrqTX7p96+2uz9PXawdIZgT/MzIbRU8xx602lUV1fazDTAKvP7jmnGSDknEH94Qs
W4Sk73V780gulwUtT9idQBTPYDGxvFJqac6rumxD+xkD5ftfgGjW35i/ln9dyHfNjIKznAW4HqHf
LDgZo9dthg45GCL7BACD7uSox77XXWsofSndVx3ahFew4fPREgdngZtnzlaCjVYWbrTG4XFVFEUb
6tS4USg6dp3kvebahqvl7+vz+NWTQMZJhu4MNN9BBvQZ15zFLdHAdGIDWhXGjXxEZzleUmtKcl8j
gUsTwqa0aZ+X5li1odUPm6wpUePbVZVPbAUYmZU7YWU4Yj9QPqZmZxDYGlr9FGfpRovWUNBrJoQN
IZcmLZRuHs4IDbHYcGn8cn1Nvp4lLD6e6iDMxL+/KDIkTVRU3MiwJuUI4QI0ZzWJ7U+k8I2sCGjV
/3bkeqXfd82mcKUDb6PLUcTakEXU08xqP9rQmGcP8Cdux4G10VccxtI0OuigQtsIOvzBwXF5vVCN
WrmeYxqNaTSD0aIghTHl79dnciHXOE/lHyvCddLHeE9XCrZ35TbPYAby0+NL1LnTwTOIPzxct7Y8
h3+MzX9/dpZImxeT4eRtOHrj6JKfzo92BHPVt+tWvgZfl0MSjhNzahBoR7AybJKn5NvaDbx0Wv/M
mCnWUpUeqxC38D1GowfSFBoOR4AXolOj073rI1lyc+emhJPUpyUAZ9Psw5tfJXg4QFD5LP1TZkTc
ifN8WcA9QhEBbk5wpopeJQ0hsDINks/KLVG0Ta3Rt7azV2LC5fH8sTRv+bP1d5yEDoXatmGRO7kb
qVArVfIb4I6+SVWxEgEu7gI0mSP4BfQb3b+Xtoy2HVJqjNhrVeznCdB4ytuEoOz6Ci2fH0TWoEUG
IvsLFXgPDH2pTDCT1LdxA1C2WgeSk+9LGyS7SaBa8R3obL0i1r6DazUY4uH1+hcsjnMOr9FsDbUR
UYiNxAwkHbnchln6WjgYZnaMkzV48ZoR4eCaHeSUWaJglI60SfrkJpP6ByaRFR+78JSERgviafAQ
YB+i1nO5aFHsSJ2lR9gg7CNCZkm2QQqYeSB9YzV0FVPmZtOH2oOuVYOa0BBQzoKuQD2ioPdGWngq
nqAVeSqnZHd9lhcCx8svE2YAaJWKdLWFKwePSF+q/ehUA+j+O5oCdmftegWoYN96tu4MvjHf7dCO
GtfQw7V3zVfng89ATR1vXBVU2GJDQ9fquR0NHM19qeMl6sOgKpCjP4zMNczVott8pV1GWXOmGq9p
gKLngqYwZkmSjLHRy25GI0/EHdm+Tn8WTmD8iKufeOO6QHpK7ENi0srZ/Xr1AYYEWSBQviDuckSe
UbscQBJioYUxsX4Y5k2dvl1fzYV0HgzM/AQ6ynloU55HfuaI6k6fikynPGybnptuXcf2y2jXVr3j
Kcr9R9bZDtniz86bItmd5uvMniBDnVbWTpUA1vKvf9DX84UOdxT85ocBWkTFMricTnFqR8kQIlOt
EB9UHPKOjqZc+tDwWiOd+OqFYUyFbsH8MpipZy4H30lMicFpN4RSlu11NjZeqcBxDHTAAzJfi58X
h6ZBFURHjQUFTfFID1PR2U05hMC6yAcwQpt3A4gv96ol05XwYtEUIGw2XAfETkQUf0RMOc11joGN
Tu+hQTXbqUahgZoWHYfXF2xxDmf5B7x45hfI/CnnG8gmvEoidQhpQRo3VndzNQLdEEPQGeMUXDe2
gCV1cLsgVQk8yNwSIcwhyu89QupyDOVBch6c2Gy4WxgxSIXBKuRMXmyNZfqAw5x5aRzXG4u1Vn0g
lZW9lR3Hw88qomxwi7Zsn1PC5Oj5+gd+nQ18H2rzeHDO8hsiHl1T4mwaBnyfORqtyyXVAc6/r4JE
syavlKQ1yOmCPSTGdRnb2AYw0hbudmuKLanSpDGs0N91g6b88WDCyr4tGvIk6321AuD76o9mBjxQ
5ACSg65q4dF0fa6+btLL3xJiOuSL1MiMdczVo/aW7s2X6z+/4Nouf19wbWB4iSE2hd9XwTL+I71J
wr3TuOgJK58ZVNvXets/r+TLS+LSnrAWBqNaB+bKETBOiBfcZM1WeaHmj6HeDoCO2vppkAKldeV9
SRNPLqE3MDzWyXulr7X0LzQCXH6J4Nem0jTictDQbBsHWndj/jTLWxXZueon3UCiXs4NEEE63f3P
lRmfK47XZkDwBY6qSxNKOWPYOd/Lyq/TXTNtWLRB6fol/pVtr5tb2vtoZJzhrMqcjxBeNxqHUAVr
8ikkqYpifEFGQK2je4dUkcvVYo2UdHE/aTjZCMZm1l+R8YJAtBuk38UUdprqm+QjBdv2U7R/nZRd
x23wEBN7c32ES6fNBOULyI+BqMCb5NK3jg7UyLVenvBKMJsNlWm5Ga12LW81/4q4audWhHmsMieJ
hp5PoV0XXq1E26LcdregAHCjG9uhK5Ht7KG/WIOMiGzgJY+bXjiVWZvlFKJIU+jYMbuT8Wxws9aq
9orUaNtGL0JOabH/F/N4ZlM4mVyp+x7uGjZlToEZKoctqwp792+soCKP/BiArV9a1hB6t1ZLUAxW
9fYWasPfe0CXVowsbfqZa9CZRcygHC8MZUghQN3JqDir7RDfxoq1USPtlFl27o/E0FcmbslFw9sD
foUHnYF228sNiGymVEQlk8MJEoVub3ftL0xzfmfkXRVcn72F7Cn4zZBYnNkNQahoCxsj5vqkN5E9
hUBBavthyCEakDaFB0b40ctTOf7GW5QhrR7KFFUNmVard8yVuGlxdlFK1xDH4D9i3DT3qShWj1TG
hDTqgaaQuiZaN/opEileMtnv18e8eL6hIY/nKrQLLEdYzClV2WBFYFmz+NBsJqbIrl2XkvfPraCt
AHwrFpAL4M+7XESDSWpl9IkcFlb/mKdp5XZOd/r/2RB9iNNJFsmw91MmKS7hbexxZ620uVA5B6QN
UY4Bj4iEtymMxEqt3NbYACtI6B/QfNvcWPbo7KNhbE+djDxdajdQz4lB9p3pNeCm8Wi6ShSPQQXc
d2AQydn0DcRflGqc/E4yyVNc6pmXZCNZaexaOjqghEGJA52AUCYV7kJU1qvcYaoMOGgU+Smup5C3
4H/qaJaG1yd/2RTE0IBvUoDMEExJVM3jJnXksJG60VOzhD8Xja27xghgyHVTSzsWRUxwFc4yqyDk
v9xLg2EQkjUa9pLcxXcTpVOgq638b3bTmRXBFbQ1g9wAPDZIaTt9k3RlsTezTl+JHxanDYKxkH7G
CxuJo8ux2Go28NSMlRBEFyDk5IASlpNK75ChMleO4ELvDXbuH1si5W6pA5NDJVsOGRIMKAjZdc6P
Cujv+12sTXJ35CPRIDvcTLz2Nadi404jjty4EKluUMHPjA4Zs0w3XZkYTey2tYFO6EKn6Fu4vsLL
s2KBiVW2kMQTX6lgXe+kVolk9Mul5UFpLeP7KPfNY9QVzkoFZp5gMRSAOiFwfXi/ADAt7Fsg5Kyy
dVIFYEf1eZiMt7pST4kRxgr6QRA9z1CTdiWkWhoeuKfmOwbCUJCmuVz0OtGnamhgs6/LBITTEL8p
pSTZAEsRr5hainRscGsZqFiA1VK8qkeEA1wpSiVMKPitb1rTH6IAapR1vxITLB3Kc0Pz3589waMo
SlVqF/NGzh9YQrwsZit5qIWLEdcTcBxIf4FdVuQ67vX50T3viriJD3nbbCnIPlyjZ8C5PF/fgEtx
Ngq2s5gzzoKF3XE5nJHXiTNwDEfuksFTY+6bbaJvyFAPd7ZeS15Liv7Y1joK/YZ9a3b2+MIkrVyZ
1YVGECROUBJArIq9ooj55DJDKzWEOxWgJkw3LrLbQUervvqttkGLripeddBb8P3Eqt+XyQ0bzbsm
64Iu4/esKPZSHg8rR3PhvFx8kHD9lXXhSL06n5fEM3WyUbPiJsIsdGPvphABrMajvoYJXthbsAl+
OAvuAG8s4bzYQwmpIdLAZsx8nT7I+Vrr+PKo/ljQLpd7wJPLaWtY0Osk2mQo8DlD2PXkueY1khnk
sRyiY+X0K++QpVTSxciEbTYhy1tmdauEY/5upi/SHWjf3WIan6isbwtKkCTyy5F4jlYFaLC9SwuX
OCt8rAtFE0wulGxVQKAB2dKFADufcsTUEnwEQFoaYCul1HupZXh5rwC7mTOkIaMDNdtNpAymm1Pt
qA1r0qPzthHc8MU3CNvKanCjOCPuwbpPu5+yJOPll3PevQwckdIE7u9jn3LVn1j+f6Rd127luLL9
oStAObxS0k6Wc9tt94vQwa0cKCp//V3ynDvWpnU30X0mAYMGdolksUhWrVpLJKW7GVZWw+eOYHOw
SyVZhm+hOUGyf+L26urWjzkXpZW3g8qHJf4Apg1NIyCYESMfcwhLQ/n5Bmns9Jl+GW71HyIalY1T
BlMKkixUozRclrhd04RJEvdpozyabaBrjxLb6ZMgE7dxupyZ4LZN36t5Pg0U0cn8iRGBdFAtvkeD
jePseDkgby/Sx2C4jdIWgzGYJjZKMbsADB0MuyCVWd3mo+BCtnW/PxsTdyHAnXOCFAtCQYdMLc2O
TbEzme5q+puKsqUUD56iuFKq3UGacjfa+7rH4iVeo0+7qTe/6oX2ZiTyr8vD34xPq7Vcpmd1uip4
mymFgYm2ldc48eSwJjo0rZNvTLotlVstFlyxtx7CKEMjxWqCpnnR1j43WHZpkiJHgXtDTxr4qgbS
hO/mr0IlNoBL9QMToWK3o9DKIheFimqWp3GZdxaHfk2hoTI7+xoSiVO016XvVRYMnbqvK7kirH82
WkEo3jxjVua5ANQVdILUYbcgMB1IMNpKSlhEU//yOm7dwTGvgDCBHH+Bx3J+bFUj+PNKmDFtV306
6tj9Mxi7ApUgWwOuDVf0jNncoiuDnDtDniRBzQwbR+9nMuUN6WzVl5TXoo69dn65PLzNkLMyxnlN
1LV1MjtYw7qqv7EuL107VRRS5HkmeMxsboiVJc5bBmuyhmmEpdlo/cK4z2y/0Q7MDJzJrevZRTJK
YHEzAq0scg7iFEORDhYsWn25t8PD1L+wAj10/e7yHC6/8+kkXNnhjiO9UZXceF+wpiDx45Du5VYn
kR6RLKGeUnSCC51gzfiMIfrs06w1MK7RPDJINOhhSWZZcHUXGeGe7IVSJeGUwAvVwfEBzMmcmYTy
0+WZ+39CyL+bi8/eqVI8pcNym5Lv2ffSo/uH8Fdz+Jne0MwNHy4b23AH1P41dcmb4eXOP0aKwdG6
EOINj1XTGIGDdoqHsDLkHzE0Vb1ocIw/zwoukAc0WuHt4wDJfh6Q9VSzW+h9K4+9tZ+MqxG0Q5Ja
7ibJOlwe2FboP7PE3RsGR64apB8VEMj4Zn6kDjpsoKnl6fSV5bfAvSGPLfDBjd2MDKRlQLRzeQ/z
9AS66ShjpU2IG+U8HOWmzh+AGC93Dl61ftvJMzSB9EgBqWmsHqNRF+ltbN3MQNAMAQrM7aLZvvjv
6nxVoSTZIt2E68Vz+osyMn4xboaX4k4O2ptS9ITa2AxnxrgoKfV5a1aw9siSGkj4xs/bDAi81hcs
pMgOFyMLx6pqrYIdgCo8I45uO2p7kT2fqHaqW8XNwARnFIZE0K17Ww/O0c6ykxxn+wzPSWX606Zg
AIPRQ71SR+K+R5uprqZFCMmn7gWN6q7SANpoKfWVijx3VcjACzFPdypSJg82e4insPEuTwkXWz99
AR/DI5q04HOoAmT0oFKYZUZMMhP1WKu4gky6N0v7ywa5JfiPQYCxkX8FPS/fdaHLLRCzIYas56jP
hW5cHEJbpJbEhaJ3I2CdA64c3P5oLOFu4eNclvbYp1UwGr+08SqsItD/kcgQjIXfJP/YWQYCFgWU
l3hkotxHMQieIBPmRLlnqy+OmyuVqxhEcR11r/7oq8c2TgShgc+AvFuFPXR1oHsGTWLceShPet2g
olsF0bMkndIAlN/pF9ncFegT0vaTMhL6K0x2lO7p5I66x4SUdotfrk7k/3wB8OZINy8Jfy4gyrNe
h5pkQdrydEuJQ5Z/tZ1DXiqyU4GDO9Xfkxf69bLnbLkqRHEgAQCeBaR/uCChdaM2KBaU6XK8hNv8
NsFmzevKLZK9ql3XkaiTd8senldQyUYrL5yJc6JiYEYvRVod2GP7VDVPepVcl/lLiQSlJTmHkbX3
lwe4tTVw34b8HmpcKFdys6rURl05VUwDtbH7m0GdumM+WKe8mZTDZUvvYjr8AqJKuajlItULnPp5
dFcyFP0aK6HBsm7RoT1Gh+jQHAdIskeMhHvgQ4/2Kbpqj9kB+bxDE19HeSB74KcMYhFFB3++vrvT
+mu4mVaaOSvtPKWBVr1WUuqG9ksaXqehtWemtKupcYLMFOnp0+VZ2NxIa7vc04Pp9hyC/ocG4zju
9MLrC9sF1Vc4PmGNlcy1qeQ50UuU75SHHjwD1W0TtW4n2k4buwmNnsDtKCifgVZj8YvVUdubaVjW
Az4jcwYvta7TZiTK2BHNiFy9EhTA3uuK3NIrgCUB6QYxbQ16QOfWnMhqdcmsaXBlLTv3GcTvHpD7
u+pg4P+//VDIgrKP/Hj3z9+Z+wb8uIv+Tz8kkWu4sqe4oz9Bx1kmmuBOx19YF1fQUPtxUJzDYxAX
1/Ovy6YeeL8Rc6F3M4G6LASvktfZGO+YNR/lVELr1TUAj8chm/zJyA8ttQQTtLEaGsoCi9IB2jU/
FZszPS8LeyhY0A0QG4POJWmmY6zcpkj7Xfa/jQCDfY74gq4r4OB4YodEj+V5QHNlMNg3LVh4tPya
ya1bzqdmBEnq8bK1jTMR1kyw4qNZA7UCbpOl1qDWfT+zgOVE3c/IG5JCpKvzeSfDh3GTs6HRacHF
LC5GG6yKM4aHdJBH39S897KDbbtO3nm5ahE81vq6vglFtPTcXRmSMDAKbDuA9AYKZAZ3HiZSVjpG
O8QBABiZP/dqGUggOPCtvsmuy0KtXAY+ArfTGFS85kTwkPvkL1AaWVTYlQUNvFSvzj02zkNzrsY5
DqYcqn4DIAxupheh70Dd7xQNUBXOpq4QXNuWyHS2iUEtsIhLL3ATNI++9zyuQkaK/L+dl1ocVKrs
0lB5HRn4py87zCf3XGyoQFXBYeCk/Hkb6qwbVQs24tgvDR8dgZazC3d6/i0SFXU25vDM1PLnq+Fo
mW3Pdm3GAVzlMdEoMac7o3+QqH6nlA+XhyWyxa1XpXZFpxl6HJQ9iepH9SX6FfZQrRXM3tZWWESm
0Hq7tHzjCXc+pr6TJ9soFfhF+rXpTKg931h0n19FmZdfFe18GOu3yyPjAYbLRjgzyZ1naByVtMJY
vKIeH4AUvcpxXCWj4ZlT69oRpLqTFoKh4708RgRKH7P+VmTZ/vJXbM7vatzc+dKzFqQiEsZdWV7F
dtmhuLYktPxetrL8yqcNsKTwwWiENku+GtmzdK4nFR7DYnAgIAWeWPdzNosWURWY4QYzZW1ZAvsC
x2R7YBf3yVwRR5P2SnKfeNfo6yurh2YmQoqNT8F6WcnV8Lg4WqnFIDkh7MbqW2zP/jzq7pCgyaQV
RK/PB+67JUtd+PxQ1eWr/c6MXrFyTpIgs/XIT2odfRTKiPraXD0qqZK4RVa+osr8s2pBwAF6oNqd
4vKLho4bwdm/NWbgu1DR1HE6Af9xvmGyJh7LiWLMmVqfjMS37R6sFzORBHa2YifUANFUhjI2rl3c
3HYOTUxW2XFgZDXbd5X61Rp0KgjQW8FzbYSLaGlRKak2GRhMk72Zg1v9rPXMjRSwTCSgU6271L28
ITZnDwR3C1AFSr38jb5jmZaMKkblyHfZ9OpYNXhi3VZ9vGzm85MX/qKquJ2BtAm3JJk7bG0jMu0U
ZCRB1UM0b6+0ppum4F1DEzUggpAjcKU7ELYINuLWdKpomnDQO4FnPe+lkZ6UpdGM8FL5EI+7pHKt
H03oovIxVCIRky3/WNvi/GPo4hA9CLAFlIg7FPi3FgQvkQXOOaJwVKdxggVQyoKTvSF592e1m/eT
AI0zlqajlQY8E1xu1MZlT83ZnATo3PdElcet2Lv+8SVork7rvJ9SwPvgAjJt3NH8ZoB2tGTfBI62
bHc+wq+tcOenrRhxafbLEFDt/pr4/eGnvct9kxwuGxKNZlms1WhktTEkWcJixNETdCL2VKbE1kTV
/O0l/1gQ7iDJQycvJ31KgjkzSNLdF/p/ueKc14a6WdlphelC16pbxvdMyQV7UDQEzmu1pgVIfMIQ
OmgXTJCJbRMB8mwrhqF8gCunhTMd1+rzpZAUJUbPAJaCQs+Ognq4TG3fYd9o7V9e881wsmTPUD5A
zwyP7+iNnkElvsQWt/WjkSbPjnbLtAecTXjdK9d9NgmcbPOYVVcWly9aedms6tSoI1iM7yRkVfSc
1I/51eQZFlFcUHv3leA82HTrlUFuLgcZDfkmUlaBYj1FWeFTiKmaIiM8h857nEEOAehfEE8sKNfz
YWVNyRrK5CRQ701Aeq/knOhPkW/uOz+7Kr4Z9/ouJ8OX9Lt1SiNypOnOFPgMXz/+5xNUHboeSz4D
XZnnn8CoVIwqM5Mgn3bD/fyz8Ex65YSnub43cj2YtGeGLNat9DOKa2L9oaLlJ+vcBLA4j4YJsNhA
Zt81tJskrezK9Noe3orpbw4mpM3x1kQXtYNel/OROnEVG2WoL1vcdMii9uSB4UmEydna5rh9Iccq
m3B/nr/QCBdaOyhSB8CyHRwnPU2gQri8/bb2OcD8aHEFvHTJ0p8PBEDFDvg+G6Ed/LB6tYtezOl5
HAXp1MXD+QPEABUeANjgmQHg+9zKYGuJ2kYhrIB6oyS4Xu5avXNbdLaA/GWeeleLRfw9m6++tVFu
aJmGba6bMFpM31C3GUKZNHvjq6m8mdG0M7v4GPbPl2dza5yQtwYRNwAU+qde4RYckWaYOkmAW5eE
ZG7kz4F9R4vdXw1uyU+iJAnQNK6a5zOaGaFdVSxOA2sc8RTaA81gTQkxkY+X4vt41EiaQI1QlB/l
AUjvmwxlSKgwIEeKTA938lSMUROSzUmg4dRJdAYB8QIyCAZoLiOXRjfTV0m5BZ3XSQ3vofGt/oC4
GN01b6n5xdJEBJd8p/0/X/NevwLds6nzHACS7eQMba5JMPnjo/5c3ts/5l33EN0PD+YRVbQDJgYs
Jf19A12RHyhQXF5udble8X6NXhiUnf6xzx0liQ0YkKTBfl6R8NrwjJ/jHXoqyHDfAtD8TdnPV44v
+cVA+vAmcsFyd8wP5tPlr9h0utVHcMeLysA3L1P4uTo8URMdlJpNmtltioNq7WLUEHKQ8l42uXVo
L2RtCE2g1MQj4Nz76ijNIJORpkE+aydTdTuru+6BaYidXXRX/LhsbHGpz5P8YYy7TjnJ4MRRBmPT
KTmkj52KrSUKg5tvKRN9DgC8LlPJX0MSpeukCkqwQb+gtgvwspnt7yjsyaSjHp3Ru+VaqjnZdRS+
JmgvuDzE7W2FAiIgA6hC4z/nE1rVURMyqDEGk4v4mN1XqVc+pi9zS4b9cNdEu+RWdp3X6lF6lV4H
xxOYX94gn6YYnGNAr4OED0npc/OW2ilzhPbcwLwfj0nmhc9ZRuhLeBcSWr78Eljb3DXYu0txATRn
BvciilmdSSMIUIKmHQ/ycD9c2z+TjqiVTaThqW1cw3sSkWFsbhI4KuRxULcEAQo3QqSd6xJc5UH3
3Tp0T5kLdGbiojtKMJWbO2NlhxsbWjrLuk+HNDCMZ2dGtc72SifQ9e/SsW9GQfzZPOKWN/j/jWqZ
6dVV1lThtEkJa633G2mpL6HXBfMNCpbCFOriAZ88xFrA9fCOxUvOLRVz64SZhPmroHYyxjsKdIZL
40Ni++axfx61fZ6R6plZ1yrKpKEoAb51TUGLyL/muWOnhEJnWGcY6G78oe1bBPPLPrntHh+/zwXy
zHLC2Ujw++q1PhFnETIqry3rC148aBUnVGDu/1m4D3tczE5HG7wdgEUEJdPe0tTal3VxbO27sDLR
soF2vZtIA+mg6LElWEW+pNcro6yaBcxquyw4mf7lSdw+Dj9Wiaf3q8okDRnFLPa7yQ+/tzsdfYRH
9iy9OJ69j05xTnKZTD/DV+ubrhD5etqBXlSl+8vfIRoltyvUvq/nnuEzIjSgy9K3vr9tqCgnstwe
P20IXJtRclKQveSnUkpjhMxl681edHq1DpNrXLVfEze8au6TR+qngkFtBpaVPS6wyHol22DPTYOs
2hf6/bywQrIHbbg2ptsKZB6Xp3D7PFyZ4+bQkJoe9TWYQz8PSXuwX+r7ufZoYGWuUd81wmaT5Qlw
aT6XP1+Fsrpz0FUSYT4Ht/Cne1wkTiz4Bb4SMvrs+IctNf9cHFfDW1Z3Za3SzB5nxLu1OlBdHVJw
/W/D/X15Fjej1srK4qgrK1pnRWAKGtOgONh3k6dfCXHpIgvLn68sgPSpLGMNFrrv4xXu4tfjVeHX
fgrwUbaDLpYHEvoHCKBfHtc7nvPSYnHhGH0ueBYDzxroe6UHdYgOmnPmAaoGXEJ2cnxWg/hh8mLv
q7SXD9pr7NJ9dZCvkIo4GB5oE9xp94cY+U9LyoXweaBmmdtY0lAvYMcAWhjlRRFQYGvb484CVMT7
PYkvcLM6BvIpltIgAaNOHNbIMAg2+ubkAlXlAO+JoiU6ls/XFCke1CcSB0+7XS/h/qefhhPd97/y
fR6Mj9FVGTjI5DC3ObCg3re/qxe2L76ADtfvjp1X30Q/670wtbPsd37F1x/FHVhaqCZRPuKjpNtm
p/q1x1x0/vvgf3drV99d9q/N6unKGs9xNalJzXK8pHGQ6G4CyQJKfpakcEuwsqAHWHBn07Ziz9oc
F1tnFeVLs8DgOnAkD4fx5Zeyi+HQ8e3wXbuVfajLfW384mTslUN4W+PYSq9x3VEJepP37ZNNxoO0
LwDbuTwN7+xaFyadLySBLqDTQhnf5cnX0q10RKPPUetccPM0FZm/JBBdmZ61Q/kdj76TeQV8jHUf
+1BHfTNrwvAM/RL91FwZQOGUhDexwFH5/sD3HbeeNi5ksxnw3CrDKmlAKz3T5R/LfZ2J4p7ehOIS
AgfkmcjsqM6pnsKYfHJIQrT97gXatiT1v4veglvXh/WwuKhtGBFgGMv+y/W3Lr/T6t+FKFX5Ge6G
xN3aBhe3O0lOdbC4wcERNeNbifQE2hi7aRd5I4Q5kL3ZP/++7E2bb8y1TS5oQ6FcMhwGm5E97equ
dpMSULMw37fRdKjD+SR17JAM7f2Ydbe2E9/0UOaoczAYztNeU6gfKfbT3N1KomqGcDa4iDdOXeqw
CV/mPGYAwE2+duggfpmTypXc3pe86aU81YJdv3kHX88HF9K6YaDxMGOd5X3yMB8AybjXvWJHvVZw
V9x6XKwM8dV0UBeFptxheINvBPOVTpx96g8kvr+8wJt+C9431NMXala+HMwyJk9SEWVBljReo0CJ
s3JTUQfi++nzKSZ9WHmf1dWNQ4fcmFFJcRYozTFJfytjfLDsg4NX0zj1d2NSk9h0IABYu2nZub02
HGLFLcLJbQFxy+fiyyBZpOzavRZWO/DVosinHzIq+VHa+K2l3S50zCHNH50MJFVMRKKzbCzu84G8
A5kF8umoOPF5gFoZgOot2jjQ0YdVt+gogsixGj2Vg2A1ttwLsozI6SA7CGw9XyIo2hEiUZkFKFxL
D5Wd37Jml2S+I+/V7Ak0kayPwEQiyj9sOAGuDhZkgE0bgnCf7idoosMLjyVBBPBb04M33sTtuRKJ
MQrM8PmqKdIz1hUtEp/tCX283qTEbivngi26ZQUQxoV+E3RHgEye34SwkNCh1ZF4Y/Afv5PfhKXa
DXcAQvLDwvIFK2+mklO1OkMhNZ/Lq6EyToU97ppmep47eXd5ey5BjPM8G/sSIi4odQKduHzKylTY
zHSeVFSF1dzP+sSzJ0Xz8xEkO6k/mizf97EtQBQtEf2zSUNT0ZcFZKLFJb2SoU/xeMX8DaNfqhBT
yAZIUZskd8oD8A7u5QFurhaklv7PGneLUiw2WkoFLII+eK35PQt/hKIbkWhA3KsUWE6bdZKaBK01
j/sQLEaeVIBT2yjGt86I0a6u66Ik/6ZNtKgvvQ7g9jA4J1TihklSjlKfAhGS+HrXWXs670pRRXHj
kEBd7MMM54ms1ms1qlA7pY36UA7gW4lCV2qlwzgrPq2lZMH2SKNIF31zA+gLcQl6y8Aowi1arkJX
22AGwBDp8HM05r2jxt6Q5ZWboY3lsoNs7gBkuIFWQvSF0Mz5DgAZlTrQFkNMlCN1NaBlNRfyHXQX
1vv/zhI3Kkk3J42VqMughUqJnpqIqFqQ+lN7VQosbXrHakycR6Itoa06BfXTpVmr9Flysks3zJ6G
8G9i4coQd9kGI2Wj29liKJX3aXWCYI9fUAEaagsbYUMl7d8l4px9oL0jZTOWKNa7faIau+p73O9N
O1C0b3mxLy2U08yYRGxyWSOYyuW3P0UrE/3nYHJ+56/l3ENPJdOgKEJo89sc3Y+iHhPR73NOYWkh
a3v0SQdR8tuQvwnPkq3fB0kLKLctCPyo5uIqqwDf28xyprbAaVWD8jrW5tOoOqIG7K39ujbCXZVb
o8gro07f9xDwXhk6gFL9zu5+X95AW7EcLYELuBAJiE/lMH1qh8RUsiRonOsse2tUkcLy1r5BAhGs
e6iXm4bOjWMybAYpd0wWcldmM+3lSCKIDkQpThL0wC6PZuulitvQhzXuqh9nFtqhMyBw0ngYMvDd
gblmiiO00eStQ7JO7f1CztovVcruZwsKYNjXw03XlQb4tQvmDeXwZGdzLgiImx7z8Vk85Yo9N5UV
Dwv2KYkkd9BlfZc1skive3MtkbACJxUAXUgqnftlw+jU9iYFYFMbXYRC8WJunV1oz/vXArez+q4c
27aDBWCWHysIxUhjSBJ1ICbEpHWd1Kp+av9QCWfJPoAEU0PVX3vnZuWMKm2sLKV5nFwmCK/67Iqx
+q7rZFdpl16hODpcdqKNaTyzx0V6yy5GSinswY8INMPQjnQ90b84j8+scGE+jnM8UBRYqZ1rfbzO
u995ct2Zghfp5lgQZdFSCe5cwMXOXQKsPFomg1Y5gELAIYemOBrI/pCa95/1AeGiYang70R/6pmN
y3O/lRB0wEH4749xk98B+GZmOs4llnbproySI5Pi6I61lT+lCfg0s7LaVVb1O+uzLEhNCtyZFn2d
Gm0+srETtWrzTNb/GZy16AlZC4fl+eD+x4yMRC9ynMaRk1+VJj3J0fc6C78mSbZzYpOYNRLwGlo3
Z5JC1RAZF2LnuypT91aWXeX68Cqn5o/Lk7QRUvEuV4DMBsMsOHa5RdUipy1yDXMkSV4y+8YV7b8g
cxWLUnEiO1wwTUNag2YWl6u4rk7QLjzIc09obByVSrlq0mp/eVgbJ956WPyLXc7Nwhg6II6gZw6Y
XR96YXiiTPB4EVnhFpRZ0PmcYixoQeTw7iWznkNNEEC2TehQhkVj3IJ3PdsQ/6OkRhuODeZNBXXa
MJ4GL9detP7+b6brw8qyeqtbCI2tOOtzWEksMkLtN3AyXxilNg4urAnelAvxH96yvBGm62k3A31G
bbsj6WhY7pSNInjX4rDchfDMCufQwMnYpa5KyyXkZNmDq4P/OpzvmJwSA8LfrYiQdtuxP0bFObZm
sRT5gARFeaO9Ss36Kcu/1fmdbDKguEVk6RcHB3JP7lQulAZczguEKtVUolgZSfKcyC9ddZuBjV+Y
jtqM+Aba55cGSbRmcnOJZJGF1BDGNtQuzkn2OqRPlx1PX7bIp+VCjx1uwNAhA1rj3PN63R4rkMgh
i9tGiZ8WFgWfR1y5E80kMvVl+qUrZYPoXZb7NKXZLrLpy6ixgTgQISBKzUIXt5eU6C39DfqkiECc
SHPnpC9c7B3Hncfhu5GzjrRK+RzHU+ZZRRqC4FixQb6iRSAhmsAQ6MzJ9Ox0dej2ShTfzkOkeFWF
rtOa5jYpad/4SIqANns0x0CJQRmhy6XlK9EgkVJvTFA1aNru8uRsT//H3HDTH9s0m+s0SoMaFG11
3HtSJHi6bUYXNI4B3IROvE+coIg6doe0LLLZxr0SBdp0yOWeGKJb11ZaE+fLh51lpKv4Yna5lVYy
7JinwvHBqycZbqjjrnxKfkpHrRJM3GakWZnjgmY1p6hEWHCq+I50AoJA0ZRxDgv+/VYNFfx2BcSo
ftuc5tfLqy4ywK262beNWU2YqygNwQD21AyWG0GIKX3+7+xwgauEyn3dUtgJ81Pb7G0ggtm1rAo2
uGA0DhexuqqTlULDdIVP3Y19l3wZBX0zmyHxY625G+P/WBIUWiiQnijDKglhMvpkD/GPofUd0YRt
RvqVJe46CeyCps4FLCn5Dm2kHfjZIoJ2S1nUTb297//dLTx/vRppE0rnMAR9N2tMSB9fY/OQy8u/
ORqUMox32j6oYJ1vSZ0NHVZ/Wf7mwQHASjI77EqbWG+miLJiczzLcx1/Ic/B32GYFJVVOZYAfsh7
XH+JNhaEinBkm+OxQK295PwNVGvOx5ODzUBKDJoG9uBpaPwrmUUKKyZo/qOm4Lq06XNIfiJrDdJ8
PDDObTkUOp1VhaQQK/w08cd+BwReVaCx1q9FGKfNWLaytWywVehEOn5IpQ62oKwNZFosOAFEP8+F
M3Xui1AfAGHuOmSFWKZbXheJ5Js2HWA1Bi6kQUqpaCwZYyjHm9Z4M6pTnYgkmzbXH4QjC5mcrQJe
fj5PEUoMeLUiMYSMezyj5TBXSJPHpJKDIRes/+Z5pkLczdQBDIbMGbcoUd1J3YxrS6CiWOJP/Xxj
DVTeR6xUvGjqEhfNade6Pene1I01GW2lFkTvrSldSrZoGAbcB0n48+FCcXwhLagwpfOvNPoy/kWP
KHT5Pn6fOx1MO67LrAHcmkatV2YmscofVHu6HIO2er8gqYTV0pDYR18yt2gaBVdLrKEiWA9XuUyp
i2x10LZ3YwfpbJWS0krAhA4ECxY0K+7Tzt4NEAAbjTsrEQlNbc0obopovXqX2ZS5GYXKoxmOMb5F
gSaYh5wQdas8v+2Z6Cm8aWghWQFkH8SAPC8Vq5xQtaGMEfSz+jaHpeNridR5Cfadf3l+l0XiL9dQ
YNBUkPJAaoav6yZVO8a11aHhrMqe+roL6um2lI/xrLqMvVRoZZwLwZN4KzRiBsFoDqlBREhuFo2x
y8aGjXhJZtGuODSQYY1Td4pUqMdHJBTRH2xdL9bmODeNi7ZSG0VBfi2xjopTfMnrAiADhZJGTo5/
MZsfQ+MRGdC+AiNAj6HZ1TPa9Uk8NKQE6+f4oKn3Wjx7sqj/YAtQC/IRPI5Q/QI1De+TZUuTdE7Q
nlmOO0PJriqwJeUPNoRJbQdSpakXX5nJLU0GweVg61Sw0O5qgELdWFgCzqNLqahmb+pIbMQ0iX4j
Hw8B+6FS/iKGra1wVxA5dWacbhid0aeHWsMTJ93Nbb27vGxbLrK2wl3bityZ5C6HFUudvqmM4BJ3
Ai2Zm+gimMvWxkY3DoivcP9Amo87SxmcI9ZlPJfBoiofQKX7A43KspvE41/UAMBvhWcb+jtxseH1
S0dqF324vBHM2QZZ8JzFXs6oSMFs0ws+rPBIAHWCCqKmI2EjaW863uSghRH42WZKFMgTEJcA72KD
Q+jc0doSzY9ai8qUQX0HaP92Vz3J0g2NCGQ1nfatG4/TL3TDG9NLGpVuPrtFdVTZ3WUX2bo72OiJ
RK8pWmaB0j3/Cm2WutaiNZqAs2MyRLu4OtLkpjennRaL2nO33HFR+IHinQZ8Cr90ktU0bd0A0dGH
xb5n7muRR24CjdjLQ9qKwysz/NrFil3UlrzgKp66jJgDsX/Jr2F6m4mafLbOmLUhbhOPvWbQvsNp
lv1uXmEqG8nDLPlm6InaC7a2F8rMiEqmjMrAeyPJ6iZsQy4DVyHE+tvmEQRyfw57cda/ztVQGmAM
8tDArxfAuMxyAIGerEG9xnhtwsPltdkaCMj7DKTdcVlF0++5uxVSAZa1pUO7HJsHkxoPcdUeDOnt
L6yg0oCWOcPQwbd5bmWK8astCICCok1BnUr04dGaeoGbbdZYUPMF2gr876Ay5c77bshkNuYA14yN
T1G00GjnGc6XDGTwRQm5sOngFHsz3oPlhJTaSZKt3eVhbu0nkCyb+EcDAoHnnMjkJlX7CZNpNWmH
JnFnVwOb5WVF2ZBIiuI/Tv8g7Ypu9PcefnS1cbM6d1JY1A6eMu1I3b4F0SMdDkvixKgF143PA4Ml
HFxwSluFRuDiRSt3nzvHimiDtis8ABMwzIBmRk4aH3I9SJ3tL0/iZ488t8V55MyUjtUpbBXPZk5m
LKMqsLA9Glyvl/ZzcKRygb6wpbpkBp5n2QC0Z6po6aGsCkZ6M3GIbWX2f2mP284zFCAM1nfAhUjo
cHF+a+Vv7DAh48n2xCE5DjIqPActzv3bhkZVr094nUv1d2BX70qW30hRLuJP2sDYQL8bVet3fU/U
6ZYjbOUNYWkXdhlhPEpeEpB7u1YhExNvExqluMa3xHTSQ87QWsK+d/WxrS3/sotsLeD6A7iRSoU6
mPOMB2HqPCnGdSZda/4gguptXHgxTLyKUP9FTzG0Xs6HKZdMlxge1UGe+G1TE5RA4wHs87RAZEEL
kB67vVESnfqGCHu7tZQr0/ydF/J0dsiWXrISvXj5HuANRZRs2Xjvoqyt4ta2kPZC+InbBZACLeR6
bDGJneQbzcF+rdEHj0oHiEG8ePo5Th41ehe83RpWtMtANgadokL9enktN1D959/B7Q4zrwfaMHxH
9vzGXPPUeEbwI3yNd/Wzc6I76WTeFY/Wl8gT2F2i4/mD9Nwu996ndFImo4QTRc9R6Ze6u+A86kW7
WT3JrY+es1KU59zI1cAm8kEgvVhIYWXOpuwU1RBC/SWIyhZd+LrLIEU/Zv6ChTPDU9dTonVBPAse
whv9Ced2F39b7VizaaHqo2COKyJV5LY397Gn39EnoDFx22sfqE3MiMQZGb5OPwTzvPjRp3kGlSTy
YSYYWvi+lzrJQMMhIdrqkkHk5qfTxX4cj3vVGXddXF2nbXmXQ+lM6THw/JtRTqJr4RKPPn0BxHpx
uV+wvTzVSFP3IU1jGfmjabiRG7R/OewH7lhfKZOuWa+/Cka86VlIxgKGCPVjiDqfz3Y3F3R2shn0
AHLlAel+SqQBKjS1/WA82anL5K/NeDTA6UoyWTDbW5ERvmUuPAg4B3g2nMaiKGp3KkqYt/Dl8lYr
/VxQ5NiczZUJzpcs3GPC0FIQ/WPPLjJSNuCfMomUdC4VgQU/v/rgtytb3F2gMGctmiwdye3O/tk6
OoHazsPl1VoW45NzQMtPA+IE68Xn6qey6ZHsgnNA/5horeSj+FT14FVT3hLp2pY6UolOlq3ormGF
TGhTghyJz9hq5jzJ8WziNmVg+5vfwPGkqJ0gvm0u08rI8uerLZ82VQ1mfQsP5sKp/NQx/5e079qR
HEmW/SIC1OI1KFOUTJbqF6Kru4qaDGrx9ddYe85uZiRvErMH1RjMTAPlDOXh4W5uFtq9wZO5SRNC
tTYidZVHGzZXdx86RX54MZB0Y+7lOtFxf+RKchzF14KPiJ6+auOvEiDE22u2NjYQNOOJBQWthc3h
cmwxiOOoWOOAjRiJBdxkf5wCpbfkuY9NcUj/gu1B2LC56ruXwjR40JbY4yoGDqJ+yg3cyYN6qN7G
6VGFYFkdh6ZUGOaY7fXqKdc2ztrahMrAAIJUH9sEu/NyoGmR9L2k4zhHoGPizCBBCpp7hFLnxgWx
OqFndpjNMqfqqGQq7PRj/cmXpyaNXOMN5JVQwAkMcnv15JUTB5JdoC2XdDACkMtBVTMtU66N06P2
JoBeYYs3fNlk7IE+//XM5pCoKI7FkKfHav41hAGhYMCn3Knj9mIbmdP4dXs0a4f53ByzRBTRE8Cv
BdrJBoWUw5MOqrZNks81J3VuhFmfxoA4UVYvwMDeAE/VYzBkljA+KaNl6HYaAvK1CaRf0qq3ppE5
ywXXjmMNKfFjWLpF7SXhK0h1SY8cM1e/QR1WUN6TWX66PZmr+/1sazA3JwW15Zi3WYrEB/i4hGd0
5BBBeJiRy7ltaDUiQuJG02RoNuOpzmSVu0ZMg3aG7F3Mu7UK3rE2I9CVgvhIFz1MXOzGimqPQ2nW
6a7nA0fIZ7s8KaAKm/nywAfdxglc20aghIRy3dJghVru5aEYhaxVOKVOjxN/p8kveCJutg+sTe5P
ShGlNEgVs0OG8p4cj5mSHpGTIEL/vTBdh41KRGFrdte2K0ppSIBBzQZvC+aE82JhcNWspscSFI7R
LuyFQ1uEh2zp+y720pz6fb0BCF5zKqgPIDeBBC7orplXRK9JE99IcnqspZEkeJNuAtBWMPgL/e0S
KgCEBnfMOJa6NoIhrlAU1MMHdNubCXe3dIkO1pD/mg8CRXeVhNIEXqS83QxOp/7j8jjsI274UQdY
mv4ut0gVcSPNl0dh2umFE1HupTCCf57YvDTCnEA5giAk+PHwKgwKR6pTUmujuc3/urbdz8byc9me
RSdhUxmtLuEhlDWL5NgTcpPe9j5ctQKQ5UJIjo4WNraj1Bj0BfFzTGY0ahQCALhVIfzmjG6L3mnt
0kEqCc2yIEleGu0u14YaHQqfOiIfymXmkBku9K0hIgraYQIv5HZNyEMgIHq47cVWTzSY1kHjie2o
8IzVMFZQouKX8KDeQaruUKH5o8NyVf/V8BbxBtBRQjrtJyN0tlwSlqsuluEBdO8lkuaBQ0tJ8LiJ
JScvJ+gRbIVbq0t3ZpE5zzzaZqNSQYxcpdNOqtxugmSLshFera6ahgcGms0husGydCh1JQVtj/2R
qu/onWkcJdgJw2tFcfnUG3WdVQe1VJYkZKh1uMXLHdJGWZ2j7IOUjja0j2Eucg9lXnX27R2xOiId
0Hk8O7EZ2ZSwopYaUFqIrTpkGZf6B3TD77sGHDq37awuz5kd8XI0fKOl8aSjiV60P3iycReubms0
kSw0pLimWBhdr4RdWUU68toiuizF2WxHGTJZj2W+EW5IaxcVuH4llO2X9h+V3WU4tbOIR8tRbwb9
o+VSxZqC0TCBnYn2wdKsmswh0gbhfEyqRDRBrBERWe7UA+05G7l31eKzXPaqUXiJOAEiSIWYOdRI
sp0wSeiVD+hsNXXSvMXtqDjgqeCJHiNDWs7QYMzrgWhph1RMJNKHPsF3hGMnQLCExt6YDbFZqoDc
8aU62UD/pG5f5tEhxG8mUgJwFBSP1I2pXzwGG/Ut2lF4doMiD3HR5bqC5LnSS2VOjyOXnqZWPiGV
oT5lqZRZFQ2jj4irlQ2Tq/cqEM6AaeBxBeki5sqpQ5WqsTQiLplIbQkgRTGNN8HX3tIv/k/+V9Cs
pDaBoLu9g9dH+m+rbFEyzoWUlxJYpVZpNPtR+wjrL04Kd4PyctvS2skHybuBlkoUUUCocDmnqYJ+
76bEnMoVAIc1n/p1UG1N4lq4jrLxDxUAiCHY+BE5rlrouClFQ5Toje1batSPPOBJxuhWhpcXA+Gz
inSxf3tsKzU33GtndpnFi/Fbud5A3BWVHCUDn77MQlw9UCXgD/kYFk9hESZoexkma9AVbheIwnsR
CpI1TjndATIQbazr6jv97ItYXjsdKLiKQ3sYNJQIPWqfoeCIf/rfPOlKS282rK25KtTfoLuJGjDe
6MzwuaYR2i6CsTBBy169y3I0/+Z2h7m+PdHrhoD4QRIApQi2ZhVH8pQa8LpHSO3wqD4IbUu031ui
9quHAphF0H1A/gpykJdbtZkasH/W8EMa+QShnLnP3NvDWD/sZxbESwtTV3d9AWAWqnsSNGieWg8s
Jp5k/43IZHGWDv6g/6NFxsdnipYm/dCDRFn7U9tI8mVy98EVrSdEHqDTSF1O+p3Sl0SCPoCWkb7Y
Uv5Zu5QXJOj/zirjVLOwU6ZxmVWQV1igU92lbuxHWzvkJ6185bvPzCx39lmQNnFVHiQNzIzwokSB
8iK0r9yYhL+Q4idOc0TDVmy9IQ9oowxgVbvwobdfvmZ7C+q3Nl4k3VCQRkCDtg1mvL3Ug7BEDHCr
VrOZgDWnBps4rV4n2c4bFS+zcuNwrEUjCIGRJAMTPF6dTGyFNGEsC3mSoQ0ZihgGH/9Fg+V9nm6l
yVbtKIgTgO1Gezx7O041YAQAmMBO8zTSvazvQK96e7uumFhohTFr6pIOYLOMWjNnWVUO0Me0lbfs
EG0x7q6ccAERvAJFWzTF4za63CQoeXU0LsdsyXvIQA14VQ+NSFMM/vmSXNhhlqSRe61QjT475vQb
GGvQIWyi0VdcIuAk6InHQNAJzArmhnGa6pw6ZUeaac7U3y1tqw3/tYmwXl0S1VjAzQbAdGyTexQa
HJ91anYcBFdp7obEBhDnv1j1MxOM3w31TIewOUwAudIUe5gAB/5tE2tV+wXjBViMuNBHsU0WyPG2
XNYBgxO4yiFwEgfXNWnNyfv7spX/WYsKLmwxXh5p9F6KGthKkhdt2EsDWMEBEjWkkvCRVagWqKvr
0h6yZyn7s5XCkFY3xtlIGY8fh13BVctIuYgYf/SMTIfwvj/yL7ODFK2ZHT4Fr7XGQ2vHTmd1p8TM
vMoqXzoXmseHyZG92kYhIV6IW09gmtv01CvB2sX0MA6yUGsq5cv0vAoWb49k3omwppkqqc3Aeisf
edC8vBoksm/vgdWdfDYxzOGH6M6cUMRnx2wI3FqxB1509dm5bWTVw5wZYU7+2EG/WqUwolAf4XXO
PfPjm2BOxsaG/kFTMffdxSwuH3J2342xXsrKMhrB6kh13+0FR9+ppoT3Q2lGZrITvPSeOrOlHVSr
MoX7X82+3kVg5HMlC9TpFm/JDijczO4E7S/RyZ4EaNNG3kRUzLxEUit2tjkxl7Vlv3opNS6pZ9yP
bBaRGsFUiQuQFTritTfN1u3ZX0OtAMqHSxdpRgUUwMzRiwK+0zIOYgoUDf0SmXMnSNF53L42mR1W
hGZEU/OHXNu4t9bO3LlZ5syJKtdkSoxhaYnmtCOaXdJRPApq91vtoy3F0pUAA2OEmvaSvV8I3S9X
XsU2DiUFY0xFdZc0LrJsQhE6mWcoTqNthKxr+xlvUyT1EGFALILxzXIcBApd+lKbujYTvjggt203
5VPMj+Cx/ucZqaVf4d/GmNXLMyg3BD1g21I03Stacxd2H6rWW3FdEV5InUHeEhNbXTgoRYMyY8FG
6IxP0EPk/GiBpqukAbRvohVIl1X0KxW1LJAEvSHe7Q26bg8JWQViFQD0M6fWSEBFZvRoVwqF3a9d
kiBeG+nWa3jZbewhQwoDxRTUaZFIYnwQH4+h2CwdSVR45Sl1eqRtxPgkVu+RvBu6XShGJEPrr5Z+
VbKX12+3x7jmZ8/NM2Ocinias4BCQyFQAdstkb0K5lNY1c+37Syvy+thogK+pJ2R7WEOHQX3UQhk
LVq/pA+ZVw5S0np1fhL135XwmCW53bdbNBPrQ/uPSebohUALAwAC1BT6JRoLFGtfcguMX65WG2Nb
O3YoRfx7bMy+DKWcm4UcSzgltduqhkWn/qnVaWRKakU4aAzcnss1v3xuj9kyc8wFaApb9iWYjGL5
udP/3jawNXPMpuCHzhCCxQD1lS4yaXmSlQ0nvLUfFr95diNWCVo0+gr7ruggT5aBDrbDLcc/gnhP
SjPoKn1LwHjdHtbqOgloMcFR5qEWyqzThOwmJ0oAIdPHEVFMaKaDl0qkpb9v21mdPiQIkQ7Gy+iK
xTCo+DSYFwhb0mifU9CnZiAEd+O4Rdm5ug8kvCcWErelJ/lyDpUqU/SiXeBq44vaeZxy+i/GAXoJ
XtahuQDZ7cvfH0ddiZQY8EYDqKZyBcgV4Er5fot2YK3Ajc6o/9hZ9srZXgj4KeXUAbUNToCpwMlT
ME2ief8baTh30ETAZirZzGr9A91VLSmaRyUFqlscjzkWM0R37O1xr/l9Ec4YWWVxQV0z45a4sZrS
YamQIVeo7JDOn1OibwkBrVtB9AkBM9DwsTpAHDSFOWXGqIEMbuhniyehPDzK6UbsuboZQS33v2YY
Z5GH6tCCVgmFIzAmQuA4HdEPlG3hFpnjjMc/fDpq9aBnMlQ0NTBThm5U0H8MinBqwtkP5b1Qzndx
WpmTIB3iDODRgre5pLH/0UJdWWU2DoSxCkgaw+qQdU6rhk4QxFZaiE7bTxummGlkTbFV4JErE0Mb
BOHUgi5hkOd3rbmfZW3rvcU+R6/sMCFcDz0jVG0xJD7/zrX3vs72naCTWSjtuBRJlXFe1MqEV2en
5GQCAK+pplvSNRur+fM+PzuQSlP2ZdjLwolDRiwelD2e/Pdyoh6UtreUqttlGfijpa05Zt/9/zP4
hYcIfENIvC2LcGY3rFKZ02JOONGPsUXemPRkNve9WzxR4H1J/3F7+7APkCt7zNmoElD1IQGBRY10
j0LvkcaSXea9OVJ0BMh4YyHrmoNwaQSBamPEzob91U2FfnEof//0NTMhtGGkSlv1unAqOpTXpuRu
mCCULfX3M3KPvTG4yoQn36QemhlIGFS5Egg4xp7KzaSTNgr0q2t+9i1MgFaPQjuCNks4SZkz8ID+
giXI0iYbFZEZ6YV0o8bMeL9/TT3okTC7AJfiHXG51KCgrDK0kwqnafwANe0wOwKETbb0oH86A87C
ziszzKjQ+tYUg1aKpyIDJTigFSA1ozUgpTKfQPCjo+iQMpOhMUjTJIGZK4BCNC0dbEkvDavR53Qv
NmPgRh032r04fcTaWB00UPvvoXci27OICqmWlrMFiHx/H+Y02d3eJMwl/zMCMH/h6chDpURgyzZD
aODSk0PxlAbVQ1uXp7DTt/pJ1/YhyjXgUV3yk9DTvFyMWE+6HjBpzJI6TV4shdpObwR0rgaQibs9
nFUHh9veWOIWKKkrzE1RDpOMdBIVT1oq/UoT1VEzdxDvRQlEY5AkiEUr439HVWxmaWMrI1IPRWnY
tz+CCQQRzaDcDAYBRIH4g+N3OV5tpHMQa03jo/0MAU1m4uVsBdI3VUMrFJ9vG1sGdLEFwUSOhjS8
7hDSQkOeMcbF3CQLXN/4fUpPXCU+xSOkX2nbEcrPO26m2Pf8wLu3rbI9M8sY4VSWhtkl84DWscsx
hiBVnXNpbPxmnhy97V2aHev0CQeNa2annd5rZKN5P2ztXujdodnNUL9RWuv2Z7ByLz+fgSoB2vAR
gQgA/lx+RtqABXbSjcaf45f5oZBMoASy3tU6EqC30p7ckLO1AhiQcmk7OMSqkwt290SpHSn7doJk
IamOkeDGEkG5KChBWmt14wEq3x330Jy2nghsZepf3ytKoN0CWBvxDOOXIq2SmrQKGp/utM/8C/rr
ZgWRrNkLrPbAP9a2hPuo8WqndQavO0Kp5jQcWmt+4O8nL9nYp8KVU15Y7M++hnFfXCmnnB5j9kQo
SyOVY3Z2SDgzsXAPmAH58zVZCfkOLe/2qq2cDxG0lmiUB08LBA+Xvz+7h/NurkKj4FtfiK0R6tmd
+LaozgolPCZ8521j1x4BXOwQA8ULAGyN2LTMFqmaaQjaFjs16amnFbVfpB9GTd00aiGXEh7LVLBm
AZzf6vDdcl+d/jZkWxiu69Bj+Qh5wVggsYQf5pQmQSv2HFUbPwXFfanWAHIlT+GTUlqJLJpTa5Vc
SCqjt4NqWJphhPeNWViZczwZ0cuPkhoYCnVmzoO4iHm9iFtfTt4CaEpyY/7SSHeG2hCNPtA02o2v
Tb0b6B3NQq+OWrORLCV8jwWQ7YnyRjTAFr+XcyAJSAzJeDqg+YPlqucGUemqXGp9qQEhkHQsa5ML
3RGR6JiQ0lCssfuOR1dNHit+JOiat1NJ3OgtX+ac8ZzoOVlSY+DAwj+Ya0kdiroIcDf5YVkhwWcA
TKQP4laZ8ToKxFCRL1VRj5V4aLozM9/X0QTyzb7z0SXZhGae2qn+Gkv3WuVkgx+UFlqjuu7vxnov
juRycItOyQL3BMMXHCNr1QCGik8i5aTPHjLf0/00mvIIFkHlYEwE0QBS++PozZsvmevzhvog+qN1
kOjg2QnoxOXp5kAhKmqVqJ8sznN2n7GNpj4imKZ62HAj186fscQcqkxUWkWoYWly6bHeFdZIvgoC
WXLUPWQTtOCmI0CJqfV61DJ6O3Z1S4Umk2DHVrTPHf4QOvPjVkfOTxffxcwzX7VEQ2ferVSkTlHg
A06dOZmjlfzV98WugPwZGNGJdBC8zMms0vwCEgElTgugaZRfVIdzRUdzRTJBFy11qJttYKavfD3z
WcxjZM4kvlkaUU6DCQ5NU7MLQoF92BKtYZtYoVhzufzMxhNApFSWyY+d8hVCxxh0Yfkh+fP2uyYB
aY4B4cnGbmfFw/9lFMkw5FMACUIZ/HLODZ4bcqVQ9NPsDJhzyVO82YtNYZ/cT1ZuoVphLsJc1h7z
6t4+act4mOVeOMsRf6AsDvIxxnQhVq04xr1xikpfF+8qSGol9UdM7zIUEW6bWllC5HLQAyXi3sTp
Wv7+bGcNUq9GdYIOnngiZWUCkxmiZ4EiZoHMtcVvqWotX86M7NwcSzY/C9GMrVxxJw01gir5zJt/
PHVLgQdU8+DmkfBIY6ZOqUZJqIGI8aWWEklpiE4dNM+aCB5MIdzqK7leqAV4CKbDRbAE0hTMAZA5
yFQj+QFrQNoFErhsPsQ3uTlMW7qSq4Z+tKJwyrEzlr8/W6ZMnvqyaKXYF/UKVUc796mOXnmvijdu
0ev9gDkDkBLcDbwBd8tcYN1YArrKxYmvnTIVlVo5s8ugJRVnQsM+5kUbZBi3d+D1gxfwYHXhvhCA
81OulkxP05ImaZj4LWSBu7tPeT+Z3xxJHnITXUNuCom3D95qXYqfyN7KabKIRpxzmAeJGaDjYKyE
o7mcWl1u+XaUssRXXypztqBp5zWO2b1tjPLqwcqYYa6wQaiSOonyxM8BHVMAIJvsikTm50zEXW2H
rkyi+86qgSHLUGT/eKFmaG3dI+JVCoP5COZ0ZAhYtCbGR9D30OMINDXMnnRw3TM0E2VrtB9nyGiC
gphQVydwrmhEeOBJsbHka7v5fMqZ60xNciFUeUy5RibhQdJMGeqG9JDWp9uTfvWOxXAXeQH0VGiI
xlhn0MiTqhZpm/gKkoJ6EUEVVeZFoglPww4CnbeN/bwLL33bpTVmVFXXxeAfaBK/+Z3amdk7BsF2
MnVbNEVTc1AvJJ1DbYGM1mx9PgOb6apAgcZueYQWGxATLWk+VNLteFK7kIFzO/O7JonHWYkJNWdr
tFqL2+kba8HieX72v7ZQYfFocsFdx3x2lCR9nYpy4veOZPWH3UxCTyPd0wwdVxFYxsnk961Fd5Wb
OOHTc+cMjkrKHe9IGe7e37lV7MeRnGKLe9ySEF1dP9xO8A5QsQcz3uXRHIcWt0W8fFpnoFrutd1s
tZXgqYgzEonk/PPtJVw7HovuHw9uSLQryIw9UU+NnOurFM0q6q6YM7MMdiqnHbmtJN91AI+deW6J
8QZ1V+FBN8ISPxHJCSun6pxAO2SVK1sc8grvfLn7v42NOfpRbVCJKyjG1kF0Inrsxvs+Hkm7AbFg
K2PYToBrL5cvmEpBfsfKTMZ5WgjoQE58UbPq7pBnfohgdN4Bxk0kIFU7GfHofOg5b3DTk4B2+a9m
y6dfryO+AbIDCykF4igWBcTPQ6QIXJz66uTV2kMQH4LqThQ+b8/o6lCh0/CD5UZB02Bip1Ec8erm
09QfHeNB+qjs/Js+Jpa4S23NBVbABmN/SaqNNPSG2avkw4AujxC04anfHjtXfiqfGqtzDHvedw7v
0L1mwfM8iBuDvXbZCBBxCpccHXK7LBw0y8IhS8Ux9SPOCe7k+yb1pgDpBWGjkMkKiC77B5EHTp+q
glfxqquQj/HupSGf+fOxeXrXSEUQ6EMvwAH9Jnl2H4/HN/fr8esreB8e0geOkn6LHnZlqMgrgycb
uWtwmvy0NZ3FWjmUnsExUxV+8KtwuN+CDdFZa2PrXIdZqDuiVw0VcAkdvGzYPVGhCvp6LPxpL792
v6KH8Fd0QvHE456nv609nII3ONa7lCcltZKtM7p4l8ubCtYXChP0VIDzk02e14PU5lUkFT61xiMq
AofQBYYQ4ge46bO7LUzST972ljnGrQoTFEdSRYW5Xe7lTyMEX01+Z9zXB3UHwThPsqoX5b5xwOTu
tm58Kl4MP7B5r3vTEqLfcx/Zy+YCbE0B44B5I044aizfBIwodVQo0EcOMJuWaJVOcL+lA7i63mcz
znhfSvu4jkut8DmuJbP+JGV3yvQgd6ZRv0iDCX7X2xvsOtq8XGHmUqdcr42gCix8PrgX+8ySqkMs
/0PW0OWoogkSjbEKCovIhDLrGqvhJGk1H/kNaC2EN7qV5loZBPqKEbZB9Q+PYIkZRF8YYFwThchX
tL9j+8gVbhx05PZErRx2RP1g+UMLM+JEltVwVHJjlNUy8R8kS7afRdJsPKiuqxp4W5xbYG4JpCUL
LqCwIITPaA0gevIoZHf85JbKX110Sl8OD6BxMftnA0omqODeHuBK8uTc/tV1gXpULooT7Mu/wsoc
XtMvxZkP2edghXdE8qbElncx3dEXiahbmq8rFzHmVQRnDbYJ+C+ZPLlcFFIn1RUePTkZ8Nzx6id1
C8exHJ1z77II8iwdI9iMUB6AdNJlkNjMQ9yoZVj64cSRVLnXkRPdmEL29LImmNNbdIHWhjlMFMfh
m/uD4bxWr+LvfB+dYryWlD20qOfv7D5/HHx+IyN5leb/l3E0xWAmMUY2x9DXQ13qUwLjvnSgb5EZ
ndRjZnOPOA4R2bob2DPHWlvOy9nll5ZjRcfFGnporbE95sFMsngjS87G9YsRRL8QuV9qxVc4ItCs
zFUn8yWcr6461Uuam+OMPoItptertz1raNmfZ6OphjbPaTWXvkQgER0eypfsIOzpve5tXXKbppiJ
U2ee6iLYS3zuENzRXfYQuuExek7IFkPY2gqdT94yuedjMlI4XhWGNAVv9uBvBZB26m7s+MV1s4cK
hR20kiy0blA+uDQiqJyUBoJQ+sNeBp8c6T/pm/EC3skX7VFJSL6xIa7eQ1gopDuhCoVUJFJ3MrNQ
Ne4augQlvvQgZmR4bp70B8SaB+k7fthySiu778IWs1ItOKDDiMsqPz3E+5YEXuV0b1ssZMsvYSbw
wgizSpGqjyDDhpFolz1KHv8gHre23Oo4QMcCvTi8JlH2ulyjGChNMaVV5c9/ht/SffQp1UR8C37f
3go/nUvMSHDJo6QL0Sg0zrHlcFFJM2A5y8rP3iNzPDy7jjMeCGLF+4C8mU9eQjrvtsmVuYNFXeDh
7ZZqLnPvgwYs7UK+qfz8OayI+NC62HYb7L4rp2ihisdbBpttaRa5nLyw4NKq5Lja54W7JDMID/Rm
GG5cHGtGUKAD7RCwGzxE1C6NoK8/F3oaNT4UrRNgw8D7pQNGcHu2ru8/PJiW/D3KgXgzsZBXJTPq
ilYFkCEaRckxA+F92WWZ/X+zwgyF7zg0loK0FRXHEyeWpBynjXFcBUqYJgzEgA9A8QNPIuYiV0o9
TpoAJjphP8u/ec5wVNFUVSSkHulEJqc1+9I0wj0ngWhmVxQbW2J1ImVQdWPv4WHEVl2EVE0VKcwb
f+yh+gt9utzs6knYGua6GfB1gqwE1VQW5aJEXTBNIcA1NdrTFPDemuVsFr0JwQIAJMV3Pv3Vz78A
LYcMnLBFB8EGZMscA2OzOHb0KQK2eLkjZy4HsC8AOoNOtafwb4EK2XPxFbKpG8O83vqXhpiQSQCA
bUoGrfFBTWXmaHbpKSDQ7u1NeVUXZYezfMXZXcgpQqlGJSAQCkFPvdPcjZ/hVwGe213hAaOEqmBs
UdfTBjI6tfUkkn1EOqJYS/49RKr91OE/b3/T2vJCgAV8BQv/9VWpOppLJc9BV+U3Whw9CwZvWPMc
NRsu8qpo8jNyINxxiYCSy2C9sjZPc6TrXItygr4XDvmz5fBm4QgHDbknIFAzTz2g6itaprHbuKx/
4F+XNwLW9sw24zu7qucBhoVtNLq/3aEcbVKr3qn7/qFxkBN2yt3v0smtVx6EA5l9+nt7gn80t26Z
Fy8XPeupJHRh2PkAYDq6Sx8UJIl4l+6CjCDL7iju6Gnm4KCM8Swex/tiv1X3vkIJsLPPHqMhHwde
wgyEulm2n9rb2OwD7b2NHO0tkU0hwjOvcdKKNIJbcLObt5D+sfji7ySBv7A8gnFP1Uoo53BW2SRo
1jVVzsoN/N/5uQvdcvxSQOA/gDG69AzeuT2BK6EqkgNAvuNSAs0nKp+XE6gMiRrFHdAjITVjemxC
W+UOnNe8FXfGcesyXzsPuPnAmYKE1+J7Lo3RTuDriuM7n+9+9zLE1YfYuj2eNZ+GsASlCyBv0L/C
xI5xEsvamKSdj8apbD+2ZbEDnVZt8p1hEADgqw17K8EqgF9A4AD7JUPbmQXcNVOKHtAs7/B8Uchd
clLuvBMAbd+3h/VTbWD3+bkZdpNpmVZwCcxMLnrQ9spJ+SMcHOdOsNTH2guOrvKLuIQ89+R5Z9jJ
b5vbPT3xJPr11AHxcaLmRL43hi4tZ+vWNy2rfeZw+bqZFaPDN6kTSfVDogFY9sxHjoE6BuqJyCU+
5S+oa1F/VpzuHRzf4AABHluzKm8CFVNjty9SchC+W2HXiJ+GJSqkPgaTFW1lwK5qncsZPZ8+5m6o
86Yt2ibrfBHa7/2dRE30Hn+HTmEaljmQ4YD/Auc8SezErl1TfLaeMmHjqP3gGW7NF7M3xbHnOTEo
O3/I3Sl1AUsv+U8gtsLaNDzOeGqUvZE/5cNDRWciDYeM7mL+k6qZmWkEFZM8NyXufdbN9E6rLUO1
JuO5B9o9tWU8mOX9IDr5AFrEb7qrB7TpEoFz6/ShTO1RNyHtLHT3Eb0fg8ekAW9qA2kudMEPJIMc
w1eau91Rp/asOtIu/pOE8UEPgWgm4bjJV3GdQRE1cG/iD8pqS5n9ct80RtODk7lr/PdfD5+AzXCk
3UH07ZEjn5DyRPF5KUAjv8+hXz8Ej8vyU5r4d/xPDrCi+/u9vefJ/nfmvUg2iMNwtZ/AdA7Y1YSk
9b9+Bq8wcQZuH8OV/As+Hacc5BTgYoJoweWnd3Wd56M2ISzUdhnP/4nV7k5+S35rnKcaTlG3Ptd5
PFCtSb21e64PG2oD4tL5h15zPIkuLUtlnAVI3LX+oPQzaebql5wY73wS3hnxzG8c7bVbAWR9YF9G
/Qg5XbYOLCV1XHTqAtyVskM++Y3SWJSXLQ3pafU9kR7ynjTVVnpyLZi4MMuckEqq+Fpc8MLGAzgZ
6KNckeyU7sMX1RoAXpNswRQJt+MtAZk2bteAu6Hyon9aEYGzQE1nyTIvIJsrGv1Bi6nMgSPOF/l9
TAzdEZPQal+mE8igRgkoBRtvxAeZbgSwi7tk3ANKaiJEIgAigigis8L5lORyzSOU4ZS7UgxJI24B
h66gkz8jOzPBzC8XVUhLjUHrV4JLsZTo5u/FyO1DJ+X21CwpIuDhs3fD4fX2wVlJHGBOzywz+QmV
JqKRRxgc3jFOvQNtKw7zV0/+/AHIAcspmDXuqdAy8LMFxrgqkrLDZsIOUQ6LuYsiIGTv5H1/ogXc
SriP4FYAiBff0ZwF6jZn2uK9u0INsnaZd/KgBXWoc5juxq6B14hM1RSAG0yPCmDwUo43SUBKp3hK
LQPoF3GjenqFgWbMs88CIw/CvgTtJrKQ9Mjda/fG8/im3Wt3o9t9Go/R3Vbm7v+zysjiLlTEInIp
l06qDsVeDUecnGAk+Wv6TE+RM3uGWf6JMPiI5OBW/5D8U2PzIcmt4F63b++zVQeN2vS/v4BZal4C
rCCXsdRUsrXMDFwI8+ReCoa8hAQiCR74yuaHvxtW1240dKmggLq024G96HLcOscHhdQgEhL+jDtV
Ba6dyL94W5acONyhfZp/FKajjvflSc78rgEsVjTbdGO9F/9w7T/+8xFMODY0SsZHKiZfz7rBjgT4
6iGWUEtS6dvt8a56qkXFFM8FHVyujCUjHA2xpAr6K+Yvsbzj69a8bWBZpauhnBlgXKEh0Q7kJnzr
j0fuXfEUvIUO84u6MWGrt9yPGuv/jINxh8JcF5o0CK2ffkt/uPf0y3jRj/KpeijKjQGt78uzETEn
Y54KOscSTM0dEX9Baiu/yyKzAmb4wB/HOwP8UB+351BYfiU7iWDkQCUMKrtI1jLeR+NB6gCeutan
oML8AHjpI98rCpjpxlcIUzQHzc/fwgJqUhtJj9Vb5swwK6kkNzyHsMJAKwje4fVRdY134wDhDbwK
vnMnftxS1l1zO0sWC5cm4iJsSmYdkwJtqIWIR19b3eFdHam1qyQvtfxSV7PXjnaJ4hLo5jMgVycy
8p4sm3UhEWhbduW+zgOzSAuvLJxyi8JjbSouvoxZ9m6oJSGY8O6QE0+sDgpaUPrHSPwoUiho3Aec
U320d/M+Sz5vL/6VQxLQOAck8iIziHD1J7169jSr9WhoO4RTT2hIM4D2V01cgs/d9FgFtf3/SPuy
5kZ1bu1fRBWz4JbBdhJnIN1JunND9RQEYhSDgF9/HrLf73ttmWOq99ld1Tfe1QvN0lrPoInYh6/H
1rBf7D8AVi7CnBgBBwo3shpomrQmqud1G1HlMZmi2FWC0XwsO8B2+O30RqEXZR+rfmdAINUNsmmv
9n+ut/oyEYZPADYA1LdFZQeIr/N9uKodSlO3a6OegHfsKdBcU99zvQtppe40S/FtgufWQzrd5M0N
oUFTPOnKxzxN4G41jy7cF34nCtQp/V7ZGJCLHW35MtCQFqkEHEJyYXq2up6DONpGRkuDwTw2ykfX
fhXTN+itHAwcl9d7Ym0sYFMODVxAJQGAl94pXVUokHAUbWQnDJLhdy6UE+x2C3y2HGtnO8zSqJMo
utTdllPkkz22kSg+SDd4XQel5KEJWhVJJPWZsV2mH8q48Jv+UM4vUMve2FbXB/zkC5YvPJnnak8t
KwH/OeobP6PlnihdmDUlrFumm3auAi31TVZ7M6qU7Pv3sTma7L3rXjqrDWMaxNWtSVrPzZ5AQNOS
8vAvBgH5WExIFQqT8v2r0ks1tbMZSvFAIfTJYYxbPx9u/j4I8l1gfgExD4NU6THdO07KOxK30eAo
P9s25QdG5nyPsvqWtsNlohPDDeF9vNiXxQUc9Xlnt0ZPIUCkddGgdu92GofJeD+ngCqbez1pfchJ
LPQj41AWQWs8D/2zMd5a/SF9au6yGBSqojvO+Req7yAVQt9TPwsFCLFF/Dg0N9Wwr4gnNB+iG02z
BdpYnSfL1WxBgUKDXJaaqUY4k84u6SKmaHfQRgkVMXgTnZ5TMFxMWM0XzpPSfixGg7TF1ZT8xDvc
a9MnkQJeDDMNlu/0bz3eJ10d5KYawA90Yy5fXhHQvS48uAiYPijGfOawTuayOU1ZU1iiixoRQOSf
4UQ6gkYehwP3mi/kN3CcU3B98qwcE2chpf2y07LEsjlCwl+xuO8BOVJgaz5FAx4q5Q+xSRpcJqO8
YSyQYJSoUW015XJXig0SSaekj/qPrgM73vbc5yJ+np7EyD3cUw+ptcFKW9kIodIA0wFwShYupvQe
GA1AVUtLjBESOnNQ1AKkkURncIYjWzaPyy1DatyyuyONDu4xqAbSrVitXE61aR4jwK6CWofxi5v4
VXPokw3tqdU2nQRafj+ZKNqgJ7zu1DEauj3Ja6/LbvtJ3zhBLu74uECctka6UzltizO2RWsEe0uy
n3X8en3qXSbOpQDS3JtizU6zBAEszdPIYeh9Ou3AjUDlExqS88PwOmzc9y8HCEIGyw6m6iiOo3Hn
/Wbqfc5ITMeoqtJqT62a3XUCyTpnnirA0/UtPezLMx8VDrBokLADARgulOfx5tjKgMrgY5Sk5NA9
5mbixXEbFlMfzAwTPsm2aOCXgwYMA+AZOsIifSeTsAfTmDTU48Yod1xkTlNwvllJtqJcviwghfD5
sIA9MTYt+SCYcqiqOamFjhwacsPzwtkByqD7Qq1Z0POiPoyKwg45x9uincqPwemnMB3J4CUQqg9V
yhIPPJNhB5ReEjpszPdGwrfyzEv3nq9HfCVs+Ywlk+eAnX/e/elgpW4DccfIrYXnuqmvAnioCSdw
xC5zt2QA1rr+NJo02K3rtpY+4d47NFWQtNbBbMsN9Ohag3Qd/FOw2xf1bWn+wonP7IXJpsgA3it+
SS1Mo3vbeFW15+trU7+82GF3xkIxQefH3UV2F2R5nFpm0U8Rrasdzd9VvoPTsZd1/vjIn0gCjoPz
Rh0RwI0Dy/Y9zZ6LZJ+5d5A6qEFAHn5Z38uUeM4iyjH+vP51l9sfhDg+C+oWMuGoJJyPq4Cbrjs1
YooalhxTC2gQt5m8hpZb6sZrQwpIvIOHJVKyWMLngeyqJ7pQuimane4hMflBL+jL9bashgCJEt2M
kgICnYcgCmQDTYG2UI3iyVJq0Ohs1E1T2uUiLi+FBQ6LQ2lhw8rosKmytYbb1hRVMST3Y+wL+4Ro
XcCtqvNp70xvVtoOh1Kh3C+mqQ1hUljcdpy3Pmzk9eB6o9cGEO8zeD3jxY6FuXztyfmV56KqeaZN
kdWSRwsTJ++LR+gb7a+HWdnuF+NKzYYcF4rbMqorzwnmhq1OUSrocwlZDDaXIec/pi25sbV1acN1
BIfLUkeX7/mz1dp6Y7A5aofsD2duUOIvD6WiQJ/dr03XbpVnLq9teNOfBJRWQNfpieGIBAH7bi+0
zNfqX2b5NVeB3fZ055cxhNe7cuVuioioPkFUBdB7bPrnQzZnhlMUwCpFRXar9Uaga7exnUPSrPMS
PKsT8/fUm7tpTh6Jmt20ZbLxlFpbJ2AkuviDzBHuyefxRaY1RsX5HAFGOfvcSOo9pDC3RLsvE/Y4
2AggZ9j4XIIXlbQcJ06VokkJkheEHbQ6GKaAp57eBXFhe9kXg+zBXIYM175W3H3dN4Ex63eQ9mlR
nU3Zu7APWdHc8s74stH/lxdnfBjIOfDdg24wVvJ5+wu97Xhp4cNG5dEGkkU3fKqEevOovRj1LrXe
xVaOd22RoiOAKQI6G/Qn6V2pm6iWM9OYsXqSUImNHWAVN2W+9QJZW6QLLRe2UAZ0puWilw7/wjFX
5zkaxyEHwzyDhIXTcM+mUFAS9Pf1fly5keHyDTEnZKgwkWUTqo7WzB27RI20qlP3VcpenFyxfDUx
AG4vs2JfcI2EgzlusVdWViwCw5Yb1qLIxsp3ESCeHXNqKQJ/0W/5V7HXhT+Xt92H1n+/3sSVcTuL
JN1DCrUwtDpDE92ivGks6H5AW5JO5Ol6mLUGodixKKEtpEp5QzCLfHa7spoi5z73sUaa1+fK8g3q
V6p3PdLamJ1Gkk6LqYT6TVwhEmc71/4DJKHP1YiBxK06X9stG+y1dgE4hEkP7PmltFpCa1VkLp8i
ouYhoQmwWFpgOMHkwPlVfS5rFEjjr3/fQjxKFjQmdHEuqFOwV4YdaqGjhSAlmNEEXjek40ooVO6G
bAOvt9abp7GkhFmeOE6cuzh7VV99qADlh1aFfldtRFnbSMEWAJxaV6GnAKGg8/3K7CpSOI05RZML
DGJfPVaiDKwx28WZfcPyY6aEHCAU8WSlYl/O3auCjEP827UfVAuS0D6PJud3P/+63tErm83ZV0kv
glHRhKKkuAaNCWjPznCjZ1DHgUAYgzb69VCr/XzSAdIyjB0sQrVHKiXRzdxrS1R99AQGa3iJYOZm
AkO85Ry5cg1ByRUmz+DIY5OR7ztTmbAsn1Ps2J0axcm+jtXQpTdD/hP+utdbt7bJLEqLEH3HyQCC
7PnwxtrMBm5UcwR8XX8QsTPtFBNPwcyYm5vroS6R4HjOwsQBgcD/w/YpzdhqsrFvzvUcsfwL118L
9icnv7pHJwvS+aHjr7nyVtZ3XREAVgkpu2x/Pf5aU3HxAFgRJFngMqRzUHWUVtB8Qq+aI9sXZfsL
roJJCHP3fGPKrG09nx47OCIcnIfS7NSh3edOGk5cMfrFs/Glmh6Nu1lPoXKwS+jWBF1t1+Lo859o
0gTl41wnSmXPkdWg9jgAJ+ykYdMnG2/WS+Tdko3AwQ5WBV6UIHGcT5VuwgU9MZU5MocALsgq0u11
5LrfS157RQusVx1m1mFQuC+y37wNYmRH2FNseBm7bdqbRs88aGTnta/PD9b4Na0djwlyb5cbj5K1
BYvsK0Bp4K+CBCKNczw25uhY8RwBtK16Bjee+oyBZMC45rs0HYK2ULlfOd2/yBKBZoCMDfKicBeQ
077N1NYtgXheRL5BFdzU28BJgBK/KZoxKN7+ejLjloWSN+6SgKPL9EEGstOEx58aUSgJhhotNK/u
qjTkfV4frof6zEZIb06UueBii0cRkm720uEnr7wsc4WwidAihyRf7VwtgirGzTkfNRh7TxymWwq4
yCNXwOafbUhUWrO267laHBJsZM88HUuYxabcm3ub3Tm4/e7IMIidkaaJx3O3v890swycXOMQOq+c
sOQ9LFdmO9a+GcPYh8g2GyGwEMVTPqn0eaSJA2fGoQpyUL42dqmVkwUCF8uDFiknlMSkWV73XZPR
vjSiqj8WHb8vpienRcnAcTam6dp2eBpJ3o8KmlbNPORGVJAd8AvAkM64CfGQltVBSx9IDnkwOCox
6lVmssvep/iuLyePjMr36wNsYvyk8V1kaPEmhAU4slLL7yfj26P2x10XH6JqZdCaSLBvAeIucVtY
Fqchlj3sJESnFPPolsyImHVnVw+Eg2OAu4To9T0Zj2P7QIAERFI1n46dPfk6JIqy0ADqJ3v+N23F
cwgnOg49mValsZa1nd0YkaUqR0MZfHjybj3xlif0ZX/+N4Y0hTLeq1rX1UY0+aUR5Pa+8KvcJ3t+
y3jYxEH+7f/UJnki6QMYVnmBNqVIvVtAZgGFfT3CJb4G2CCwUrAkoNkDNprUJGPk9eyUihm1481o
f7TmW+eZ058eFgm/Gj1UdtfjXR5pCAfWGMovy66jSgdo2+kzp1DpizAzd2n5OBYHNW83glxOezgf
qnCBsbFFovAqXX1gA9XaDFKekaBgr09lB1luVJU2lvnSM+eTAfoD2DyXWhL+sqV8i9IWJKkU24q6
nd1AR34+Kr6SRtz69qJlW/jIlX4DsxI0EJCwke0k0lUgZ0PSsjSxIrspjg2gY0pQGsNfo2rh6kSQ
PFoMY3HKyfONj0QVBmnRpLjmO5i58mcr6yAFC/uMYznSNLTN2dk1TGgHURPovfWEPhCjq/aNnlQH
YbFsYyyXhsm9DOIdEko49HEkSkcUnzPIEw21FbWhQ74pqteYvwTgZsr++sRcJt55HFDsMDNs5NCg
p3chJdXNNjTJWy2aaWCphlf9ssedNW2xHC7H0QRCHG+uxYAA9BqpOXTRQJoKW8MLssn30FSD1Ro3
3BD5NH643qILnWkUmBBrWdcG6oCA2qDJJ1uziyNUtVpLi7T5rRbwWc0DTscbY8zC+afS7xhTA9GG
A0n9vvk61M+OtgOHsXNmgLD25VAHLuQrc+jpmF5V3aTK71R7mJqQmwGjgUJfm42rz6dAiDwIEJ6A
TvyCkwAB6fyLGxuK8CmqWpGAxlYXewW/E0q1U/BFTvGrbr6ZPuHpXuPjYeg0v0F2swTwEELrPkRo
PX0GV+WRit9j+qdN0Kod7x9586ZnyAikv2HJvLenh+bYAG5SG+kdq+9Rh/Rp5f6ArtX13r/cHQCv
MtHv2FxROJD3IG0QgkM8UY805ZYUlSemCq4yvsPprppfR8Wrp43D4pJnh/HGxVEFhgITDKfyee+N
Iim1DL9ExXOtfF+8oYo8KC1AqOYXd1Z/IiVTD8+lODK8ylQAr9TM8YYH7bl8tVpY/dXjDRWhamV+
PJCbavKzLEj6LSTgZ9rpfJChogQ54oVhBilkeaU5TcUGMVEzEjx2Q52wYtfEGkZ0atqoMmvVqysl
Bi7NHLzYqeyDAmw4SK9i+Lg+RCsZc3wJNhaYkENNEnZN5x3GeFvYiZKaEdFGz6IhUb53oHu3TuZp
ECzOH9BFdw2sQUl4PfLl5DgPLN3L1I4RozXRBcytIWE5VaDXFHgz+4V7q7Cnlm688FZbioQZktKL
ia4qJ81jR9EAt+J2RI8V/dpPAlrjeyXKkOxUsIa60rOE17rGTq03wB0raSYoUGNjhbfEQp+WcdfM
KGIlGXo7MkjqpYXhuea7iAGXwe6jUviK5lC13PE6NFov+UVar+JhDe/CuD5M5n2a3SRJHrrOuPFd
l+fK8lk4ViDTAgsmGQmiO2lXZqawI8XSD0Z7UydQ4J61oKysXfz3cFvNMuBVboL3b2KqyTK6A9VM
YVgTiXrwbZsjhyzrkrfMpl2WfZmANH7k4r4yb2g23RFt69p6ebZZBgA9KnI0GP+LRHAvShRj3IFE
nREKqGra8ZcBnlD9l3z4nTfP5HWEOnc5Zvt5IZ29ASM2jRtc/eVckxb92SdIVzIVpG8+poJEdu1r
yk5nr0C5Ik1773R3GSTJr6+vy1P2vMHSwjYcbS4VZSYRHtq2L2q4Q5F6AmrFqbZSA5fwYQwtSlG4
ceI+i7StdA0UZTfTrjBJNFIwOOtXiiKffafNQI2bVXeDPEgGiAcJ8vie9U/X27k6sCexpV6FjVAG
MVyDRC7Zp/VTFT8n8GXe2Dw+V6g0dsCQGFgm0GgEjXzp7ZN7BMASVtnmRvZsKipmSJPHZhokJB4g
ulC2WYNrgoaSddcYQI+kHeSB75tWG9/SOqkbLwPtOj6Mapv+aOCN86a4LgxsUM4pH7JihHTEUE2w
RXLxPydBqeZggAwpLeNDxzLV8es5nx34cgA1HAyJIH/Ag05rH+LAVeGno8ZfHEsU30w6KT+qeck7
YBXMZJ8ZBW4HlpiJfQt1Elx3TLNGQlJLgT70ldJc/lFYQPuCdfmPbm5hgwR5EWijGjEcmXIOyJNN
2fgm1D4WQZnaAzihhlb4ZWaAF1R1DSl9ZhfVt4yMPd5+VqU8FVAPgyQZSrGWP6Xx5DyNHK+EP1BE
NzAJxIhcCbDm009eiLb0xiK2yocZe91b3/Y5NOtBEDkyDabnfs3jIoDQmYCaYe/kI/S4OuU4q0YC
nyrk8trARt+wQFiz+GnbtC38thhQ5ul1vXL3ymyZyY/CrbHjqL1VNbu0MiHnORXVYLxMrZkfpxhY
uI2qwsrKc3DpgZXQoq+JnNL5XMEJ1FK9yNJnCAY/ZUhXJuyHQsbf1+f95QMPtvMW/n2Y3thA7kpr
rrCKxmWJmz0rlvUG8taDI1J7Yw9ZWVsomwFYY4OojqW9/H4y62NDGxJzVJDlKjJ/oHeFuHXcMeDD
1+ttWY2DSPCpgrYEqJXncRSQv6DymrPnLkOqLaE7J70zY0Df042hkbZgQMCwfoGuwxnwKYEqbRZ5
buf/sRwkH4U++E4++PMrGaHLi6QvYBD+XzXsP/EWq5Pl3EPU84ZN7YhErE7gjcpeoOCCk+7WAWq4
d6LrcaQp908cHC7IYANKApHE8zhJ2saJM7mwdjQ/qOIEoCV5na6E/yIK2KZQPkcxU7WkK1tiMtEN
XcmOVQspyP5PAmPnZP5zPYh0KfmnKSdBlqaezLmpKZqmn2EJieXtT82HWsEj7WmGsqjgwfVQ0hK6
CCVNbwUgirEd0R6UBwPn2MOA5HoA6Y57EUAalhLpil7NKna0hfGmUdUr7D4cuXkDOKxPVfPGiccw
zchWiU1aTxdxpfUUj5U7JiUalrTx744wz0rH3zMEM7B1bknhy9nPf4It9irAFUHuWp7jHFKbJHEQ
bOhCk0bq6Kv2U1nsnOGxTH44eFU68z0h1Kvt+0T9loCSXSlwp8j/sgR28SHSjmjVri5MgQ+pU0CN
9BfdZl49768P6eqcWTR2bWIBqPaJOT2Zni6rK5EMmJ5akgSkoB7N7Y1Zszp6JyGk0ZvgRWMrA2ZN
0tIHwOECwtsdJebvAnaF11uzum+chFom8Elr4qYyxbC0Jm0/4Irt1fTP5kNvPQZyhMBAAokhg+mt
2tSEKjp25GrpO8of7sCUYUudfyuINPa52xV1j/V2dOZIiRnc5u6HiWz01urWBNDV/2uJdHoIQA5N
sP7ZUS/AFYa1g/JVq+BDAIWvKvn+b0bmU+MViAs4pJ2PjK4OUwIbQvSahncif6mJ6fGtPMRqr+Hl
Bz9KAJCRXDwPAgqyGGgNwzfSxksaSQwHZ6ziXQf80cak3gq1/H4y00SVa1pcoe/i8rXsi0A00cS2
isWrixM67gCo4r4CM8fzINOiBhEbgh1bTl7E7PxR2nhjDsiFrX92GfdTHlYDaeqTfXTSkIJQ2ywg
p3NE6ruHOh6SR2ZxVyLNlHT9Li26pw7LVB+ye6VmfjOEdpmkYZvSgBnJUdjxRsJ6tWNPvkcaQ11j
Q0ztcWkz3HAE1Fn+1Oz1+mRc2ZEWwzSkrADXRzpPOsd4OaCdPeZJ2fd4xjjZ3tbrKqA5mTyhbtHz
5efk0sVn4aQNsNahoZyMGEbwYCBWgu1C/NRm9cVRxVvJYbuR3zByo7QGxAmKsKzLIN2S+Fi5KOIZ
C7gbiE7wWr4w7xpj0y6nAVedDBbYLYyFlB54rjmkOnvKxoiOf3+unAWUhpHZVJ1cPrNjB2iQNzaw
hDXj0tmIsrKDnUWRFkiLB6FZmmjWVH3gIViDbLoXduLVLLw+Y+Rs2z9jeNKB0v6Fe0afdRXGcOqf
qR3VqQh64x6iEtYTw1oxKy/m9x2syvqtxMf/EhrlNVTzFzCjcb4LmGruqAxQ12Nqf2E4nZN6h7Sb
yvZMS0PHmnyrQs5leh5t/QE3wI0308p6RBeDtqMjG+IacgYaKSR1KiFyepyHImAdHt5QA8qfr3fv
ysUSBRhiobhH4Dggy/07dQ5RHKfPjukHEL88is27HM6N+XxELhm3zD/Xw31mAk/SH/+M5n/jmdI7
pmmrhKswzT7SYocqCj2yA0UeL+jFo8qZl1MU7t9b/etU5rCvDBPzD29/a9ZjnPulFSTCq8dQe1T2
mrbxoNv8Mungh/Gf1jELPWEDU6F7xvd4j6MsPdCj+6X+miAVsHcijYYK5FIbHyw05LhV9Wlh+x6g
r/LdvbneVStH0KIsj+rZkt2/IG+NJOuQZZxgam9+jPZ75WwMxeoKNvEfTJ/AxJCByErWY/JRNTua
o3ZHxWs6eDoNEuvDcfWNpJeswv7PqKPgSGBugSShLG5a64nW6amVHTXNY8qbKALNfNU7iHgBFGkU
X3VDA8mUHJFRhHrHrhwfqbVreB8ouP7b9vu4kepb/yC8bqE9hAIPRJ/OV3aKD6Wjiw/q1Vt3gGJb
wB7A0dgl+ntfPuf5XUNcb3CCst6n5ose1P37bB5ongHNuAWDWx3oxb8QIwEXNdlYkoAdNk/pnB0X
51bL+u6mG4fu6ho/CSCdgjMkGQA6x0yK21dQX/aiQd3SubWaX9x0vo/GK0R0/83edRJy+aSTu42W
YR7UA0KW+YuZ3iYZcpm5EVxfITLc4p9ptXiRw8UMIgxyLhV7ZqVlhYModVaFOarOIUOea6erFGet
23U7uLRCQFcdWZCaSrwftHTYOAhXOxc1dZBuUP+4AC4UtmgEpQo20PqH8YZZFOLdWqoMFInZd8hG
emb1NoF1hNSxDQ9eGYc6qEacFLBYPU6m9YjdKhiR7W3FwRrKW/Y0qjCpvt7Hq5PzJKC0UGK1otwY
kQ8auvtkxgMCRs7XI6x2IPQ4F6CE7UBx/XyqsLTWLOakDDAjBgHnH0Xva61f/rRZGJe1j6Tkvwq4
mNgjmWZjpZ8HzGoI7QBTkx2JRbGPm8dsnEMzy8OkgFOzFZhqSM0tMWy5UPvPXMXzCEAdNNSUMSdN
B7hcllB2pJ3IocMBoQbYmttBr+fxvuhH14Pd1xwoOQBQlgvxFDLx58lN0o35unar0IBiBsIXqgYX
xp5G6XYp6/EdhbfIgvn62/XhlPGvnw09DbB8wMnSTwxFaCOYJpDBMYLiRxKKvfatOJAd/dWp3v5r
5WdzOB2tPX0GfwJi1iF7yG4AImgft5RqVzeI02+R7o6gNLR5RvEtixn1XqvUUDM+BkvsCh7x/l2L
jzTf2GxXL42nMZdz96T94zwoZayhg++n3Ku/3c88mOawTAOB9xy2Bfjw/SUV9z9dbi9Pb+SSAFI5
DylitzNHNUfOghGPNh+6/f36oMrKahcRpEVaccWw2dKRIK3vxps+6JivHY10l96mB6j7HtrYS7cV
dtZ2H+BX/tMwgN3OG9ZNas+dliERN3iZWf7QRTjeqf3wvayGm7Fb3BKS8TUpXxJoes4qRPbsjQ13
fTgX0o+xoIjxUD//BBPFt6xAGuNod/UfNpS1RyZtl2eVr3TjY07yfQIhXJTeleTQJvqtXuqHjc5f
bp7ynXnROgFDB10Bauf5J0xZPtZJi9y/otFXkLbgVIO9cVb8wtYPOgexRQfiouR+nym70fw3++Vp
eGl25YOKDnBwBKCG5Jtx7TcWfAl+a9T0VcNXeWCQvwR2/TPdTlosTTcty6xmrJdDtf8BWjWA1Ayn
+Jbm/vKvXPQrNuRP2ALUXaSdKi27Sp20GGj7Ofc6dQA+POTim5G8q9WxsJqdYfKNHMvqjgTkBrzk
oMqCa+0y4092B8ZcZtFWxY4EcEZrfOtGyD9m39IiDuZy9vGUjQVUhAexkW1aW0lglJhQ/XCgDyDH
JXTQm4kQpIKZ7TkjbrVbz9VlL5V701xEf+AntdSopIUyCG1qmYJNqHbvDQX6Q+lrPzbemHxcXw7L
bL8WR3qnFVTvqJIgOV+aY5B3ceobOUT/LL3HsYITFu8JJjauDGvXrtO26eej1s01V50aOdSZ7Zzm
dfztVO99oC9awsOWhNraSOF6gCIpePhIG0n9mPDCACOPY6utPpS48Wzr79RUPhcX3j34s6jYo+h7
3hh3BAWBzEijz1+y9l4ZYQXQbWF0ZKDSP0Fc8IccbJogTEqbRqaWSeLmSF50aacfUhCmgimtugC0
dMVvFUM7TCKB3nGZur4x5H1ABDCI3Gos8Ll5/Z4PDHguJ6iSOPYpEcttaeLhWHHHj1ul8N08MTbW
yNrVCJci3Anx1Ytgz3nHsN6gWaoquBp1o8/aG8fx7GGrEr4aBKRmFH6wRlDXPw+iuBaAA6zJj1DD
rgs8dd/N7un6ClmbQYua75JnXfjj0gpJ+9h0wODJj2CKeNrwUVZbAOq19YBXPHYSMNMxRaUTaWzb
2qQqGoFcka/g7VFA1bu177Fd9zpqZWJj21zttJN40myCk5o7OkgJHRM94oW5Gyrhb+am1xqFmz+m
LsoywMtKC49ag1XqpAVXU7e9iWFL0ebQUsfQhRpIX2UQONnySVobqdOQ0khZg9JWMCDOj3XyA3nq
QHX+VofzcyGehpAmtavmVsdjkR/7Bpw3aF/pfqpScec2TbIv8bKD/0I372uVVLdKWiP5YmC6FDTX
oqZz1S37qa0WS+/JfM6VnlhoMcVrjzlA32whGNZOdWiVQW4DaGHgEaVT3XIEiJlVlx+7KsLxEwda
dg8ZxiNo7/GGvtLatMSVEP4OECqA2pr0vOhsUIuLoc6P1nCnA5zcg1qsvFxfzGvHKoH7LGoHEHq8
cPFm1OI81pbxq1x/KAUgYDe95gaba2y133DoLN6oKFbIu1/PjXoaSiCZsET8eZz3pvqeWe+0tG5j
CrmoiYR0kwK6er3GMQE0Je4NcHFa5svJfQgaUopSayQ/6i2gVcKKqlIAxWreVsZXMcyhMb0VhPkk
Q52UiiB2IUl+vYPX7hOA9QPvgucT8MvShoxjaAC9N17aTYEzxDKED0mZ+d3o3E6kDJX2L5mXy5Jc
NLmgKAVPALAWpN1sNkVV6WOBiqwyA3Z/R6C7YT5OM/Pt/B3SFn/dvkVIZJHRx9iCBHnew3HZN1Tk
GFeqH3X2Vo6/+I+6epi3Snsr/QibLwCiQHtdKAdSq1jJCMrANiCTJSBXYDJaj1Pbvlj97EGx9cf1
Rq2lUxaJG2h6fkKhZZNr5qYOGZZoLSl0bx6gXVK3ELphPIMSDXO/5m4x3IqcdH4F/qKvUhOO2zn/
S6bL51hieUKcBiQpXHOkVje1xlWtL4qjwht/qH/NfeDgNtpvKdmvrE4bAlio1XxyLm1plnZwFS/H
sS6O3ESSU3TA1d80N4brAxtrmn9KtnWdXx3O/waU372iasuGakvAJkirEBX2+U3tbrUta7W1VLyN
WYMtTgNeD1PhfH5ircMLOkYPttkB7E4dLuKxGXTUd3Qvf06Qanib9+OHnXqWf4BV8FYtYGWDPYsv
HZB1lhZjCteqI3yBPEP9otRpoLnQds3mjZ1m5YKBBCcu3SiBgBj22RMne52RaIKUAzCpVRwqarZj
mQ6qgE13onIPJbQwkbPWtxbKcqBKzyUbhyDoS7iqgSIibbCw3wUNOO6KI9FE9jC26ncttgGecGPq
eiKvat+pQRqJc8d66JO53uvOWL6MrKRAIos5hN0UHt/XV+/KuQlTJDAGFl4S6ovSkJsiLnUnZsWx
TIYC6kJ576cUGxIZ9C04z9o0xiX1c/MDlENGWXEG4S2aufmRzH9sPt0OKvTA8ZjbD8oWMGUNv4Yz
BIoNoMDgUiDrUdSakWpDWhZHjXPxMFAShzHoosAe0iS0dC2FwClo2ykQAf6kCWA+cEqEo+jrMBe8
DTVRDoBCqOJunMtxp7ZNtdHxq72xMCxdgM8XP93ztdYZZaFOEy9Qfa2qPatqY2+V1N2xys7BRzfT
JzOOy5vro722wAD0XIB9YPtfpDzaLjXmDmjM40z6h4QYT9P0jcPC1VMhhns91MrtcrESgRWy8cnW
k+5+Wg7IOjgExbHmt5Yd5dXWEl5pC4GY5sJE+5SvW34/WcKgfjjdnGCIa+t5SJ+V2BMaqHPm4Xo7
Vsbpk58K8bqlKC8jIbs0QSJFmzBOFOep85CDs2eB5jbpMA4af10PttJpkAjGrW5x0QThW1qNWlm4
iU01rMbyMevui3JL0GgtgIH9btFNQa1VRqCNbQkT1QytaaFXHjJDA0Gr7cj+ejPWhgYk5UUrDG9e
VFnOh4bZUMUfYkR5B5LOLSA26uVmcD3G2ricxpCG3y7rNGnGpSVACy0S22FR+i1wAH9pc7xcKxbG
9f9vjLRQJ0xjiOgjUI+SgTHOvja+IIG5sVy2miNdXtR2mIq4QhSl34/1LYeJh3MzV35a/R0/7KI5
0u0l1u1GESYCiWk/q77xUb+LKbC3VufqRAOUBSx1zUZaYvn9ZHWC8wgh+tIpjq6JSj3HIzFEFW1L
KHhtoi16+wZ0noDak0n+LXg2Fcr11VFt4x9u/BRTAksy5wDNlo0pvXJOApaDbCqeCWAMfTJ8T9rT
GTw1mtnE+NQNueNm23qEmsUhNRMjvD6zVxoFBAJCLKh/5KWkd3nDnZGWilscHSUPpualLj6MNoNo
7cZrZO3Bh2KvDmNjmHotpojnY2QVZU1YrRfHJe/4rJivvf2Tz8fSUj2h3Dn+bPiie1K6jZW7lngH
R9zA5g0iMdoo7XJ0jJfbhVEc1aqDGR8s5IZntxR3Anoa9pjcx7XmO+o9gRXl3/cs8N0Ar2P7AxVe
P2/w/5B2XTty5Mryiwoob15Zpv34kUbzUpAblvf+629w9pyrbnahidXBLqCHATqLZDKZTEZG0N4J
8YQFp2Q33E7XCC2/TROR1de/sAP9WgMEwKAg4u9fldSYU61gBWkNycGJlO2+b06FCI+35pOfvdho
QkGM4o8m2gKaXfVxcczUj3o8OdO7IuIVXzcBjANENVCM4Lkf+wX5qmzlxXGS3gvrPQIubMweb8/W
SqiwoRWCA4/xE+BoulyVKJ/sKDFBOI9hGHhGbPO/WY4zA1wELyt5akwoMxwb5wSE97KkpG5OwteQ
tX3LXrCwpwBCAfPI5TgqqlRooauKY62cgNnVLA83tFAUiNasoIYAkjUNuIErdbxCnofGVJLiqAyH
yo6Jnv4Y6Ftcvt1elFUzKPOiBo+qMrBil4ORZhVqqX1fHIEe3uR+i+a8Wu1cobADz+fNziPQ4/+/
oc9gcRZYZytNG6kc4GG9A/rNzofBIEvjRySN7XBg9554hBSf8YI2sjhYqHm0W2e/TGAm+S07L/96
2IDzfKbHwDEhEbscNmigqrmL8HJWFO/68C00nyTzITb+/WFyYYU77GnVj6WC5rhj5ox7xzfSmSyV
iKh3LcwybW9dwckIr+RbFtFZpsaWjtcrIC5KCMyNG8xlLctumEGLCRKgJlE1kXb5SsBgFOE2i3xA
RX1yd5wtZ5JXSp2oACPH8iZiXbLSg9IJDq4V30SDO1pBkWaZeDRjAeXMBp5rLavoZ7R46bM3jNSd
yzJI0XAVgr7jtj8wN+eu7Bem2HDPTDkN4Om1DVOzfDKT4RBnHZKZHWpeaLX9HbXFlir+bZPMxW6Z
ZKM/MxlqhdxOHbD/9vRao23/AFkB0hqLp8yVIOkUjY7z9qhZZBVNrHgnNvzwy1yXD4l5KPr3xnyo
02+hUwlmc61UCEJO9FkwdSgIcXAHMDZF2MwgcDwuLTgaVNJIEZmr2l90zZujiOgxRKld1cKFIa/t
f/9EcGGcy6vAKJMraoW1VIuPUYXwg/ZoClVG2Aj41TsfIeebVhcZkW2zEaJ+lnjmd0lxLQguygRk
p45MZokU2aY2RHqP7Hdv2eUcFZdkOo8FBqeAZG6oeo+atWD+WFS6ZYJzzLlbQiqHwEu0kTtuAEA0
3dZrd6IHftFIOKeExAlwYlRJj+M+EJFjrP82OqtxA4aIAf/AgA7KtgwdzBJqtOpRdHisnWXwsP//
eV4PqWzNQQnZS3u2m1/1Tf473ztu9gwEy33j70vJnX1n10Ek+HbEEIzK4RIPKHO31aijkih1TXvX
Uuh8hIpk7W5bWT1PzkfHbd7caTPIbWB0wImTzptIRkpXJ5kv0j5YC0sMv8t0/FCL4xufpULuFJoa
qIye8OAjHSIJEAAPz/+ovgimTmSKO4nxTKOBuhGmRrUkmjO6NLI9pUHZWX1ru13aPxXgN7o9kSKb
7O9nAV6SZ2gb1LBZ4i27GQOA2kiTBO0MoTLn0Mu/HWl32+Kqg/yZ0KuLghpJCMo6Rqls0m6DRt3b
v79WbgUMGokGLiK2csVRCKWONixCdOdYmuscn6pDupd860e5aclPrSbdE3QPg9i7bXUt1Tg3ys2j
XYxSP1gw2njUfxLJgK4dw6D3AdEY+AtM9EFfrpIa4+Ys6Q7Ahuo3BTqjsrw181dcfrJEgBFZS2fO
LXE+GFqRokQJsC5W7ZXxRH7UiK16HtyerVWvOxsPN1u4YA04GkJ2ME3uOFbuZByW9kDTV7VQ0LfF
cBaiota13zEORuT3uN/hLmpwIytUGtuSAfRLC8BDoCgjqLFkkRusJBXMCmqzMhRGrnXRzTmrJy3L
MjyPQdQrk4JkcGvN2KiDQlr6c+7RBTvFh+FLaAj21fXKwTLK6J/FVEDYuTlFfm32dgHszaA4JICe
gKslnkgSXGDkE951Fi7MtoqRTwPZoKunEQyruLq22muoC3A9Kz2wF4PhH/+yKZazRQWwJ6vlbUnf
kr7C5TL1U8BKm+6rWr8qqJo40xGClflmKCzgHxRwWUmVoP1r1WtQ0cObvIxeq6s+OKnRTOg4ZUcz
v9Pw+Ggsr7e3gsAA3/im5U5T1VkJHIdVk7B4T0R9nytHJeaSkYMwiCd7Fr8MHqmt9XljYS7VSN+m
rRFU7UMhn4biIZl7AjKebJIJnUXcfNcZGswy3DnK7oz6i9tvs+GwDGSC2czHFaz5pYK5J879TrY9
IXZxdRYhZMEgI2z7cVnHBG6kdJiYscgilvSAy7TgoLwO8BgOe3xBoxqulJ9KUWeen4SGGi0RLKSR
iQx6Jj36IMtSpC0pMsMGemYGBTTAPJmZHBArRpjQFqfZ6P9qMAy5akNOBSXISytJg/7oPlzwhpSD
Cm58RDulRAW1/ZUma2hxwuXAwod6HXplOSMZnj11GRoH+Z2eEzQ9OC2ujXdJv9HVd6PVXBpCc2lO
wU9CAVUX7KvVEHJunptJ0B8qcZhjY9mzizv6XW4+q9BdRS1XyhSSD54EEsS8f7cTw+/UemuVYIiT
0G8CxqfN7T1+fXwzVVJU7FHBAjUdr39nt6Ud5jp2oL6pm580btBO/jtBZ7l40hkY8fJedGmK23UT
zQwpqTHqpCk2YR1E9G6O06AcZzePvRLiHcroFj9vj29t952Pj4swVWh2wzznGSvMWvprOYjObvYD
16MCSRTwdCDHuELTNHIpywvQgbKMFbT8On6i9JXqW3MzvUqSYHesRS4NAlYQWULbGdqfLx03W+Sq
0GdYi+kQBUoF9o1wlmYYbtOd2VsZGXo06EOBybs9jwLDPLbGarTCsCkM5+y9Y0tHL1N+TsbGSJ8j
oEBvG1tdtD+j5EOm3ahVYqYwBtJWOz+Fs+D311KFs1nk4eRJBiBpm7N8pLSJob9Sg4IluiBKIUgm
1wMNEzJipT4mrXC5XhbYaywZqknHGVXEsfvIaXdXRaf2ZyntVejZaxtVC30ZhHaDtjdFWN3VRYNE
DngcUAlH1ejSOkPt5X2PiK2hl5XuUExRniAF7Nbj79sLthpFzgxxwxwSSa9SA4jPZvo96K55TAq/
7UmGFvT/zRAXQ5J8nvqlw4iSbxEUk8jsxWhCEVzT1g46gDFQNsVDJgiZmXueHXRqbSWVVmE0U/6O
Nva4PRXRx+1xrHogHi0ZpB4HEE/TYJfRVEFOCBm/L5HcVVxRirO6ImcGuDEMAMukkwoD1U7xoOnp
QlpTkH9+tsdchb4zG9xRLclWNpUabJR7k7zqJN0DqL1/cPxq+xs0/25IwKXrN+6vArdb17XdNy2o
/Q99Kwm+ZHXBzj6E83N5SbJEm/EhmrFLujt5DOT6+faCfd5Rbg2Wc3FQXzVJW8JGc4RscHuoD+n3
6Kf20U5k8sFYGwyu0ZDqSXq2t7XXC+gIeF1v+CIOz7Mhco7P+C9zZYH53rcC+L27kHwPUoIc/MEH
nUjEcssAiDlKki+V35AYG6PxlPs4UDbF9+WL+iP/ofjKTsVfbs/MapABBIfRAADCwHMB9HmqJb2k
IVh/1zwDkMejsjXBXrj938xwE2AmMlVpDTNpts+jkzZ+NKCKKbZa/Quo2r+JAGdj4o7ZZWrsJWTA
cmOiBDzkICR1R03wPLPqtdBLglYj+MHBZXIZZvTQySS7hxErekXbHjGlL20j0kpbAS/Acc6scH6r
5GjbTlSg1S2sTdx7fbjV9ONofBusdzy91p3tghYvBWwVBKu3l2w1yIHZElIPAFiDauBygBqETGOo
EiJZUfppQxdNJ7PdKJ6SN3VBalsTAYBXen4xWDzB4zb8ed5yUU+3aQcxeBt3c33x+hqdRCTz0t4z
tNNY9QTZp9sg2TceU4rHmxQoCl3gOau74ewLuJiogCQNXLP4Atkdja8NRJSTYpPtAd6wElEyuD6/
f0bLOZBjRiNuEiFC0gKOkuj3lD5LIThAki+313EtxQXRh8JIfRgehN8NlgFsX5fkR+Mtqnel5bXW
1yKeHwx6r0IiXq1FIiErDflgY8epyMpU0H7gpTUm1QBPUhYBgOI0+r4dwbfbaV3ixxAXAp1YmoMf
ylwCXPHjXT+XkY/mPWnrdG1/P6aV5jLFiP3YhdJL6YTfCyvv8VyOirUBJSe3QF8pKUDs4A95j/6i
orf3adTowChNzslWYucAGCvd3Z7EtcWC6gPoigBqhloa16qVQSqkBYQ0O0p2G6AaC1Gn2O3k1G/s
f89kgtmDTtVnjw9uuerlvoOm9piaYHs9Gjic1ManRU0kObg9ntXaDUNGsi4f0PjzJBisKTBsIwSW
6Wf/jt76coMHygkZJjhlW0GoXJ28P7Z4XqmyS/Q4VbGrUJgv6r1R7g1lJxui0t7aDRW8QsjJcJ9D
0zrn6LK+mBZluPqFqqG7jDP1Knv4phdL7Drl+D1J+yxQmszV9RyElMPsC+aURUQ+yTj7gKtxVkOH
vhCgzCsPZRz0v7yorvN1+EEHIo3e8DcVHVAbQTsWymbACXDBSoX6Y0mhuH7Msy0QqHNgOKIRrU4p
MNTgY0FbLZ7FLn0x1s2qrUcJMarxwOi2QAQwyPRTpD3aX9OCDN9uz+Ba2ssg2/81x512yZTFwHMj
JOKR/leTvSrhsKFq5Zt54nWdIClj7nC1WvB8vLyZENniSQ4mKEE1DuQrQAMDodhA+pm1011i7ww7
uQdK9esEKYG/GB6TE4F/MsgwF0Tm0KqHNhryY5p3Hq0PZo/2MrSA4PUvSgUnGVv8q9EBcIRWI9Bz
XLG+N32qzkoKDHxZN0EtVb5cOvuyEp3Zqyt2ZoZzEGtBVSpPemYGHUJltBnAcwJkkaeGyz6Gqrvg
Brn6DMIQS6xp0GJPVpceKUchuD4tdAmp5Zep2yYgsGyKZqtDbtSQ3aYoN3i8iuq3rtUFptdyg3PL
/HbLIjyhmmV+HKgHnncPcnsGnTZdK+2xMK4zPt72lrUVBB+bitdhJERQHLocqZJJiVrraJ1Q2sfC
jN0iPkGYTuAma+t3boSbTnOC5IUVwk0yaxuVCkmS0ht710k3fS7C9K0OCMcnxPvQuQpoHzcgsyn1
PjKA+DVz3R2UuXAXCfSXUDwRDWvVFNS2WI8nRsDTv1lLq1j9MMIttcE8JMoye6Vs71QA9gV7mjk4
v8/QxsA6EHETwEPt5aBKbTaXuQqB8rUrSOdNXh99kUFBllb+v3cHOD3GAl9A1OLcoSqyqEdnU36c
030JQl0o0f/NUM4scL7Q9UVnzxqA0lF7KlN/aNw83BWi6v3aNjofB1u6s/JMksoDqCExjtgIpAUC
CMOTrJP61Q4L3+6Hl9uztro8Z2Nifz+zFoERvrcYoB1XwclfYg2Nkr3lTpUVBbqFC9VtcyuDgx9A
sFdBcy8UNzhzZjIakKXBmdJGE5mX/Wj+AMml2u2L+i5PBQFiZWwo+gO/+Y8ODk/C5JR9WY09C0j1
dm6P6AePzNAd7H/veHjJwekPfOVnNLqcwhTtD7QAquwooxvasN263xuSaMOuxKELI9zE4XFhMjTW
DZAWft+483AC1XZRg3JFEMXXDOGdDSLOjL4P0eFyNNpsLLOTYr/i5TCiui9N76aUkd58B9pY4A1r
CwSQLQDfeNwDYJpzdVWdcykJJTShKJsw9ZNyD4LHRST7J7LCTZ1VGanSLrCSK3ujAK0QUevHRJRs
roBf0D8K5kog/VEnwgX9cuJ6qQZXSpMWx1zFo672YtuoWPU6Tn2rPDqtftTaDwmAMxlv2VS3P1JZ
30SbEE8akXLQCtEjwFplBFwywFuAXIiRLnDXpK6Yu0JHAyPeo/xoiohtA0YqNSelpCSiD3rmao7X
D2/UKSBfqvy+vdE/6WS4uA/zwOUCBwzBUoMLlrrUzRNtAegu0hg64Ptx3NXSoYkkPPkNjzh1AtrO
qM+0bjP1smsUr6NcQz3gNJkgVTgY0u/QCvp0M/Z3BTC9I4R0tN8FihqSeojVTd5Bvlxw1q9Q5IDO
gYEN0BkpA1PMTVmTy1IfLS2g+9AzivF2YtJt5uguGnwi1/qVG6Sisy8pi2tJA8FXDTIp47t0PClT
QlrI8uC6ej+2ohsvm6uruVQ1vOejLRtUUZxryZM54M4LkLakltSfkCRvKr3uBM/GKzvfllGvB8Gx
xho92N/PjgI66U3kVDEAadleBrGx9h33Jcd6ED2Br/SXA+ePwhm7xzD+bc5Qr4StbjRgW3Ceo3E/
RD+t4lsBYpxSS9xM9ppxOUwtvXe+J81v6MZB+fq5VxuCs8+S0y1a0wXrvhIg2EMIWpIBHkJbF/c9
I1zBApSc8fGnbpf1H/2ibpbEehorURhfMwWGRyZFi+4xTMLlHA9hvIQ10zLI49Szo51qJKScEtcp
RKiJdUu42KBhB0t6RVqlL7GtV4D9v3XOZqzvKvNtFgGf1l4NwNj5xwiX3OEJVyrGvgbMX7WhAOa4
UvZDsgvXoMYdVJHaTWKgmjAPga11z1HYehF0r7QhoKgHYzmBBJOO3b8H0kF7lHW14mmLta1wy5lI
tgnRXwACl+ZNCYN43JvVt0nUvrayJy+scHuykCujQ48gWgI21VbgkOwLuf0OoUtgadCOh0IT3yJv
KEO7dCEgtl27RyNovjecQ2MfPm6HaHa68lbAXoHWc5wReG7nFm8GvRLe9kFAh3dAe6kIsFwkfPoL
GzgOHTzu2EBac0m52QDpD70a1MjVF2M55hRdwKJ2gjVPZ92l/7XBnTSznOVh3cAGirsATOpukgbY
62C/dLzbo1lbc7gVslcguoCr4jwLgWKozAhg0Li802Pwj1MR9e5KfmyfW+C8KnSA389zWJiXrTwB
UOUEYIFC2wAaIwxDMJzViUNbNpQu0NSKPprLYARtbEzcAJhQ/GTE/qyjmLqPBMnxmiuDZQC/z6rd
IPi9tAFUT6POIWwob5b9A2KM/WtN0fEpyFpX5+3MDFfatApcPa2eIe3eJaA9IQEJNnj5RbaeWlGW
sFIWQ44A4SOGuwHmk3O3Ui2ovUCWF0Ta7b2lt88Ole8yE+8vdmK+KJK8Qe8+GljySbBfV5brwjCX
LUtgBsniChFHpZPX6irq+y0BVSvR5UYQgNbGiDRWZRoEgHLzlWIKhUEqDeA3XZAzLsrOGX9V90xd
8FWTWzcz1eD2xlppmQD3xR+D/K2jSVI8IGpouFM77dj007LtUwWNEiHknlIDTx6tU6PfYInyPW3s
mcRVCXU36KJt40E2XLuzoCMoOUWeBPjTz4XG2hYE5dNO8J1sS3Ax8+I7+S0D1lXNhjLf0c61Y+S8
RnX8kEDmVwsPsUNaPNokOfX6aSa28Xjb9trys5gDTwYa60oXIkVLYqpGyJoMXAE7ZSaD8sOW8a5q
SoKgrbKofDVKJJqMQR1xweF2U1gUtVWpyFK0FtzCtW8nHZkM2wNLKrRkD1p+oBChw2Og29rFJomI
YgVF/bOIt13oeHK1cUy3nFA3Bjv53JHEqd60XrTl1y44TNzoP195RcvZzS3NwrJHI0ruD+03lMrI
PN8PWh9IYMcFAvxrNC5vRbNrhzutTx9uL8dKxAGY/VMyFMQDuJtfBjZ1qaQ6SpFfZYwy7NEMC1eC
9uswExpqHvCs/6M9zvOyakylZcSadPERzUVEG/UddXZVl5MBr37SX5kDDA/U6Hi8/7ztnl0GYimy
p9TC5IKblEj2q6S1xLRGIkHtQ1JfetoKDqNPYPmV030ynrC+fBzolxNaIYoVxgxVGWPEc++QohcR
8uyR1u0byfQq8OxpxXYuXpuk2WajHMSh5dqQ/s7ncBcqT/lyrDQNbMjJfVcGpRNQzf5ye8nXdqCG
ehIyALxOQFTr8gtts6aQZ0f/jDoMAGZI6OhXrS6o1Nk3F20W9NmtxWBMPZt+5NgAn1xaiyqrV0vo
JBzTsvT1TIOGFzY7msk0+lC3Bmlb9fdSmNvbY1xJCtmaA5nMmBqxDpdWu64ADROgwWBMepGsgizT
1lrebttYnUf067LGLoDi+UpJKddoxK+ReFrJ964zWSsD4yiNRdIMa3ZwAwAXHAOIACV4OZYwp80/
7LFqsq+cmUBb1i36wKSiOhb7Id51zw1x8VJSW62gJjLQNuqDvKYvk/0I6ZJB7zZTE/paSze3Z3Al
qwKZFVBTaFJnyHvON4BqKYfuE/Ybvk5UPxX6SR7cyrb2uSriuVu1BfpVPIWDYQmsZZezWMrjQDsF
fRh2rIPcfez9EjyllXPXpfEWkl0iouK1FyxWffh/g5wLNmGXzbkJIHWc/1qkIIv0V0X+AakGr+zd
iT4uie6F2OagIf6LWTXx9sh4KKBewl1WiswZWkgdo6G88DKia+4cebnoDrGGmXVw7UIVB812ICrl
1g4czEab6MB4NpZDt4PE8PBtvXjW0ut4V7KlTWGG2aFIa3owzXryE3t4jBTqPMe1apwUkCIIQu/a
nodoLqvDAkuFjpHLFW6tIXLqbARIvkVzhfNhN48TFaWUq8uKdzpWxcI/6HS7tFJ3ljn0mgLokD7e
jVAiLCfLM4Z8Dyll/Ntt1NjxWknfG/1j2i3B7bVdn3bQ6LDGC0RTvpu0WLTCmkYLNwSaQfItVAev
nuPMl6sIt8axHlyEvs7V0yL0kn6y0ew0FW5n4sY69JV0lBdoCt/+ptV5B3gNxSUTxW/+OinnU5nF
BgOQQcQ6TSyyzO9pL6K3Xtu/WFlbAdMgU/nj9q/tFG1fjoxttK29BagPX04qh4Rxn2zqPr9r88fb
w1oziOoW/Ijxt+Ikv1xoxwRL8TCgEa9NzFM+flNk9Dyf9KXZm3EqSMjZx/OR99wW51SLY4bTwjqs
2ogpwqqh5NNZtwSH4qrvQhASdxBc/HFdZifNWTZU6nY2Ugd7NnHqKgBTTeJHkR0GIIODhOs8TltD
7mdfm5TCN7PFUUhRhM1xtnNzc3ty144a1gsF4QA8N2E9L79EK5vZHNCAfdSXCgS8A5CGFIzYwUDT
yc20qIN2gfMyxt0gCBJrhynSQDBfoQnWwi3k0nBB60hPQsz0oH00qNQ7+qntE8/+C7AzCl8OzKAo
YV5JQFRq2k56iAECK4Qkx9bTLR4Iaq+bqegmvzoklNhMYAxl0ENy8X4ecAi0FU42QwOut+lOqQbN
3/QD935B9Fnb6aiSAoPEdKkQ9S8nT6/0cGxZp0LePKE7n8SQ91Lz+S/iCRSbNFD+wjNQZL60gl5y
MMQOeFwtkaWfcF147bTI2i4ODcltL1ybOeSIKGKrn1g8bourZeRQw8bLasLCeU2s8m7KfhrRvwe+
o3z7xwy3u+elGOLMBrcjnm7V+IOOBnFEz+2rQ2Hlf7z6QGGAbzkCwj/tPoGLTvMYhZUHvj0LgnJR
/v32lK26wB87/H0Rr3RFYxc4/uK2YQrWEVQ/qlQQHdbCIa7seL9l/OcGT0+HwFSlOEgQDhUNHEm5
F8LZbo9jfb7+mGB/PwuF4ywVUlcAfVmFmyK0PV19QAeh/BfocVwM/pjhfNlG/teoDUaSAWKhvPbO
rgl/3x6JaLK4UDo1TV9StJIdlcgmUl27VLYEQXN90f+Mgtv3ISApkl4zTmzFAoljE3k2usxAGP83
AcZBcoMj10SvIy/uAdi5Q60Qhno9DTT1u5aiMcb+uD1ha0uPzBzEZqByRLsVm9CzpS/NqKDpCCwU
tqNjvbeGRNDn401JJ3BjNi38qc7oxnD5dQCR5sNlbFZzuDhgBjSRGWaP8fAdjfUlJEYi6WszUV+Z
/nXKAgA4oFBAzOH/KyBCnQLeYY3YnOmE3o75YbFbIlOA+NV0Nzbf/u00omMN3S6fXJVADHB+l041
mEYKAAXaAgqXH3N5rMZ3CpKs22auMwVwOaNUwYiFFawWFzylTF0WtUGBSt3EPpzbr3zFzQR76Hql
YATpPPofIF6j87BvubRyx2kAFRlB7GHKni3nQTNUOOBm8B2ZLk4QyCvP29tDW8nHGE81KBzBx2qh
bMztK0Mb5zGPUIMHZ20SbwztQxvDhADV5krgvkn1lExx6abLfJTDf72nYRuFR+xqTC3atS93QZzJ
qAJleKLB4bqrNPBDjxN6RkV74HqzXZrh4qxexp1uV+wyisJ3kgcdiv2m8mTawe25ZIH0cq9d2uEC
rWnUSrGg+/poj7mf1sDdjqdR69xpfhllkT7odTxkxpjMIRwGuQOXcSn1kiTSGCHjKu6z7F5pO9Af
HG8PiG8/txnrHGP2ZK9NrLzELVBYaS3KZeH4Ym8M9IP5gFH2hftNJfsE/UFfR2L7tiDz4jtz/mMT
kiPg5weA0+Y2Ww4wJy6OsDm6Vu+GH2hGir6l/kP2vagOuZf5z7cHya3alT1uIudITsMhgr3O+IWy
7Gv1Dqmy4dXpaoEh/t58ZYkL+hG6I9JiiKaXtx8UBU/3Qfe+Zdtx225FtP+iMXHr5hRxEtmJM754
xtcYGuJPodsKIC58V8fVaLhdhWS21DuZTi/yR/oadaQgstcfqCf9ur0+fIS6MsRtqzxpIKY8Y9ri
jzcwUwc7MMfPnkoOgmi0PiI80UBbhzke32Y3yzL60MJyemGCyXR7b7lf85eECCIuX53/ZzxnZrjx
DBrVu8SGmd4AhZ1rZIFEyo358jX91fn5WysR84h+djJspP0HMPv1QSTtwx01V1/AHZvD0qi0MfAF
SQnKuYm0aP20yXcqmlB2dzkLiFd2uLMlSWjV2XXFJjRykyB8QI67+5Y9jlvRk45gRPyjp2KniRa2
sARV9bvIfQq36Q7slYLYJLLC3dWWMkuSvoEV7Tl6Md3Eqz05WD4+BA7P4sCNaeMjIPoOkmpJYSb8
rd2XkGbPfzu+7YWB9Jj51Wkv4gdcD0x/PJKHlpR51VIzh8EhsMh9eeq2dKPt72bi7A7K7vboRHPI
Bn+W+cqpPCo9hS1ni7ZoOJ/hH/U3ESu/yAoXAI0YHAsW28rqSeqJQyiRn62TTUqBi3On8KeHAxcN
dnHwErGT+HI0o9K1mj6n80snDxqIncLGG+K43AzV6AiSUB7r9x9boCFCUw8QjHymVhjLkMngdn6x
CD0MD9U92EQTTyfWRvHLkITEDCJysKEo+C7SNFkNjahq/9c2305kAXqs6xlsB9l9dB9GD4Pff5Ud
z/bD0r/tIKsJwLktbpcZ5hy3TgVbfXnQl/csJFnszf0u8+3QS+UHE7CJdNd6KnafvvkfjXPZRxei
AgpaRgSSj/B08EzwclJ0zGdo3ccLlO8Ibks81JlfVD6Nm+UkG/Qc9hoPt7G32JdceWc8FocsdBv/
G3U/ytAVsX2s5nUMywhAIwih8Ep56ba1zUrWGTuCnk5BDJEl98kk8eCq3vPzh4gjft15zqxxmUIM
zVKkp7AG8v27KnXbDd2EZL/MopSEpWp84DwfFneyNiVNUtMsphcPYuONrxKVbLcfoW/eCYG3zA9u
meI2fiWDfipuMaa34miR9E7/ruWeTQZf5CCiMbFIdxYvUzOOEGVg6BBE7vDVOsS77n3rhS5AUn9x
vJ1NH8/iBlFTECLPMEW/0Jq0R8nzhPO2FpjPbXCbe26jLM5G2Pgyum+H9O5d84LIi18NP6+I+/zc
ky+3d/SnIOiNldK5HQ1kk5n1A8LJ4b51U//Hj5rsTsG7FvkvupfMfn8E38kz9bbudHK3hfto7H6J
hCFFG05nq3y2iiHARlqosFU8VUFKXboDrsndbmnwazuIWGlWM+bzSebO2KZutKZfMOTZfbNIdm96
JmHEMZYneoIVLScXSIww6+S6hqWUePGd7tGdTX5pgpOPb4D4J0haJkh2WHVE51uD7bHKsrpRsK/1
7919pvr9t+EHep2OuIA+acT0t95ze//sjoeIpOA8GQnmVVBAX1/Cs4/ggks3NUoJYlF4rndqjtGD
EgT995oMu6evee5S0UvyalJmntnjIkxaDmCESmCv8r684YXVrX/eue6jaFzsZ662B/DzKHg6IBfh
5zaf51arcgNzi8TCH3cRcUWl2/WpO7PBTV2VJvFcou3qxcu/55Y/bB3f9I7K674nh1OZuKLr7+dD
7K1BcXPndE4zyTEMyu/vFlH3KQ0oeXp6Wgiqd/t8c797ibwaPfv7+vlj+1j+eNxGvvvq+tPH4FP3
des+PyL2iRyZjfPWZ3GxPEttFLBrHYcGKN8O8+52pONRfP9skz/T/HkOnwWZLCoNK6/w8+jwoBv9
eb/fPj4+CjLe1R1/ZoQL4PlgKdDTgREvr13dA0mKC6+8PRIWn/h5gqwvHsTQ4YiHMW6e5EYBxtFc
4PrRk5YqXpWqgqOOpRxXFgDURqVagyos7/W0TCs9mfL5pRiTAOIRrlGDqdoECEd44q0tuqVaEIBE
/wF6AzhfTNBKa2eDhEU/vMsAcwJ857uPjvdRoYTsbefN7blbPe/O7XGTF8pa2Q5aiAV6m308LuNm
8GU8Zd7uafdkuQ/+128Wjh7Dzbb7bjOTvCBber+1/V+C72CozasphlIq602F8hrPBVOmYW0W9ji/
vL2V5G3xNK91X5ZtCtli8JiRI/G/JwQiTJvnyq02H9Sj3kgOAk/6vJjc+Aq+qg4Cl741DXzF6Ydm
bmJidST//YTnj8Dx9YfNxvWf5a8fzXv60202if8BzSQIrvq/BLvms+Pr1ndw26bvoqGvB1SC37xT
SWpyn+5BsqQTfIoku2TjNuQZyg347yM7jWQafNFUrFw1TPSmQEkHrW/I/PkcZIQE6KCH3fgCiQhg
d/bDEeQ4CakO8bHzHVxugBvaAm0t2GrXAePSLNvsZ1EpNJthGQ2YNUiIBbB3RwCKfVEi8ilRcjnB
MIO4hCMTMsAGj4RU0Cqohf08vpgbqG2Fe1r4Dime4XeZ6xDnRwIBDk93q2PheCaour7TnwUlTUv0
+jR8SUS6CCvB+PJ7uG0odUsH9ucEF8nUMQavtGpnp/TG+FHJlQ5GXMWaStIodf3izIMNJjrNiok8
9mpMQr0EXHTU80J0APHNATgi2FeZAM0hsDKll8vFyK1EDdG4OL5opCSSAyK+Bg0xd+p96919FO7r
cHpOTuXX26HgOsW4NMolv7KGFtXQUsYXdVO/tkF4/4xEdHvbxpqXfapigjGfHYQchtxR7VECEJZ5
2eynfuQZG6jYEJGbraTW5j/qm/+xw+3jLO/itq5gp3e7IP6yBM1X5S7fVaRzRWU5/bq4dGmLWywl
naEMXsLWuC+OL1B9vK/dEkk8KMK03RvCx/5AiQH6xB7Scp1n7tXcm/3yabehkZd8X3w9WFw/Pjp+
EnrW43icCSBWHmLuyRNWiK7P7MuP5Ra5n1I9m+Hf8KxsV/unF9uzfHVnkn21CV1BOF3zqPPV5mJK
Iy9GBnQQW212spy+F65wQGx2+YByboO72oRJvziSjtln6wwuMTz7dlvLlU7SvnL/fWX5cva4Eklt
QUZ3HD9nryT33SEMfDC/CK4w10nPpRGWqZxH4tosAUiAkfqkbFxrJ2qCW9+DFnTzUJ208EuXv5/R
sRtBQzC+wFPpb//7R3sQXOZFFrhp6ttJmtMJFizs8sSrtjbJkTcIwyRz1uu1/zMSbqbm3rQaycab
oBHcv2UuEpjA/j/Svqu3cWXp9hcJoBhE8rUZFW2FsWW/EONEMWdS5K+/q/Wds033cNS4+2CwgZmH
zVJ1V1euVS/tU2JzQyOqL+5RYrxD37so5TW+cfQQOKGZGPDHUqNzuSmI6Qf6zRNjkCpBCCUdm0pP
lRWeCoJQqCPycUGM3Agd3yzWvGHSibwflbd/KLJJY2xFzpVQxyk+VfvC+ByMXfLgmxz3YtLQjqkw
Gjm8yFGrL1CHxBJ3++1iCi/eZm78CnBXEceQcTliNHKwSC+CR28rIY1lox7+sZuZjfvvTo7uOoC7
RmGZGGW6EGZ+pYgBjf1f/T3sc07QV4XkN1H//0v8uKQRKUaVdulVLaL5jRRyRXZmXJ7RtW3Pdv7S
SJ2kMgqOpZ42oSOKjJqoFoBnzVPUc8Pl1XyLttfVYFyQsdnzQq9JbTEixGgL1avSSo6QWy+sMwaA
SWQCqGN53++gmuCP9zuiwWqKWVsGoR5d0a1wjvGa4hXnuHhMMApCydC65+XIaa/j5eC2JFqiLsfD
3bnN79xjg1EOc2lQmlmDo0rPpd0br5fjtjJaeAmqmRBhJRjzJVYqmRnJlwMRP+QX1VgQ2dZs62XR
4C+V2T9Gy5Wy7Hxy/4Apf3d+GZvUaOaLS1YUkJatvBqQ1qA43rydVbeEwj0ijA7Rr3VTJzKIPLUp
2b56RgyfRQEs8lZ79GTzagjkYu1WB6JbgSOczPQzdriPnnPTN0U3Ms+lGnhxpN8UmU6E7RZVS/Th
uy/JcvfLyADBtTjwPPMJkhRQGMMzFFhGY3MTenytgJbcdKfzYKO8ULuVmR05XsdE9g/VPDgWcAgA
6wMUDdzwiC8VmAWBR5uIsLbBRjLHbtewBcbMia0L+fKMj/sCwyJp0BgH0C4ghnY6usGaucwiSuVZ
n0KW19XCSBBybu2MtCYcUh9jrfbcSMzU0Q5JTYTDfdI3WDlGjn6QZlidiWmgpDKUafGFUSQkG68b
jHrTX3C+bKHLCyMgs11B8JeLqRqdLT7Kx6vxOzped/LaMLLNSl9SyfPt2FEfOd7TRAX558kwZkVU
2hKYpTgZwSiMOUIHQADtFKsLSWMftZ2183bKklfwn+h3oVQxao3hAIw9sFNvqVIBxDmABpNAEaDk
qJbZMRaMAaJGNVC+Xh2xTmo1MwEJhIiNJw0Tbs8P6oy1URIE2qWHCoXgiM5WtOYuvHjrusqJ+po6
2XPGE3d6x6wMYLsvmojgBdMOvZ/iHnl523gy2FVICUT9xkHcQJTVbEVtHC9uEKkN+4MahqYp9CYM
ucIo7jJurm2korCEkEtd27ZkiyuVhA/lOjDC3czJLcvdp86FWMZLTwAfTu6L/OTrplPb//kBLLtw
KrNLTStbNWLPOTyHxMGyOqxrJjsg0WG2mqD6+i98PvTlK5giwtA6AEeZJ34dFskllzTkOMUVZoVs
G4m93SNqyv77ffYmSk+LH5SYF12hcTYMaDY1cq/oxIlhAge7QAJT8klg+KeURI+D8RhY1uw1NHxT
9ElCQsNVT/NHbmfElGiN2Wber9ILfSq3ZX9S5pfEvsrp76JV1Cc5KmSiVP3VmavqJhbmwC/XK89u
haR05DyXXa+LBs4diH/md3+eDOM4Yl4taP0CdyAdQ30ZY8CvJdjo0dqNYsaK7SHNbGikiY38KTF1
TOXZgD0QoNza5f07mlT442NhnngjSmrcNCrqV4U528hXI5McNXPlyFiYwnW1DS9G3+9UfxnU69gQ
HcHo31TJ5PyKCU/wh6Qw3mZZixg4nOtwVCCR5sJsLbLxsFCjNRZreBJ7XpFrynaPuWY8zzQp5VDD
ICYeXgbP6PmlRTafx9SE9/WDKcb7TJG3RXQApiSRYG5enOeka61gWakGdmElSUTk4XGuPzf6R9ja
i+AQ1CdBMIt6nyi8zRYTOfSfEsfougiDZ0qc0lc/ZGSbkKExXoNduNymy3BZfviWauWqGSxVpzFT
8oJ9haalJYbJy3NMiz5qORjBBcab8sc8gFcLnhL4/enpen7Vtq/oYNB/x87OJPCKqWccoJTxb8Rr
RJN5+7kXqq0QgqawV6Bg5sdt4MoW4O4fL2btdrieXYm0FC9tMOUay+qILvPMZ13/H7FWga+mVu5M
d9Wjmr4CCk0GAm1po3+1RauqnURGEa+11JY0Uoq/pPlqFhIpeV6gf7uy9Y4Iw1rNK1LU2zpa5qXh
H+8f0eQDpEPJ2NOnUzS8n4a3EhaosBRBf5Js2ZgZ+mrHy9bwKDCvYcgr1PG6S39K3NDEHuKdoX/c
52HKnANF6h8eGBGfY/RVF0rKA5HejKvDE6NJpfHP99H79fOMvFDIxLoHB+aAQ8ofavJieG/3ebg5
dIxPgiFQWsDFkC+gnRh9HBeo0SAg6E/VSnRkSwGlAxAKjc8FmhTbPdcFmbiWH/QYzTvItSKLM9DT
jzQrjyx5hd7cxdJ3Olt3gCRpC2hKOd3nckIzAnQDCxrQaIOQ41ZpGUU10RzwrmWPgl4j7tNZRWJ9
J5dz0tRu6iPPnnP2Gkxc3A9yjOgVlZ/pdQhyEp7hTFOJnO5RWDbCeUb05NnTGyMPnu6zOJVa+0GU
kUZ/XiwuaLzpkYbKnhqn2SYIEd+rjfQrQOfnfWJUj7BCMzrPm84dnWc/qxM9jlCovfjlKcouZtlf
3P+NBOM1yk0vYvUTSCQNIM7LtzBe/gsC2L+0wBA08p4sLoOuZpXfUJnQIjikagaUevM+Bfp0/jil
EQXGCmizQA0Cr+9PPkYGLmbHebq8z9NLGl1CLGmNdJXAQADwNzEydRjaQOU92Kn3Oh8xweiHatbk
vkrvQYkx9d6kRPQAFprqho7B54qzekGaFKwRNUY7xPNYDYZk3p/W6+2t9I7c9yl+P2UGWZL3TWtt
og156cydkVqrY7lNjXT7gdwxx4DzjpaxTt5MvGZhgJ8hDC2ppPcO+yXrghcP8phl1EQVK+miiIX+
hJ51VAb9zr4uRI6Q3LbC3BNCRi2EeoBNOohF0My4tbtDgM1JPtF3VxIeDwepQly0ScmKHIOUJA/H
L+3wtdZPH2tep8tUNl75lqM/UMvUWY11uQmkVdhfHq/L5NA+zN3kw0eynIeQNnmuQDSmHYjAj7od
yehhyEHSCKKI2/PKlGjSx6XhOlqTBmVEgnnaSqgFi6QHCbhUKM5vH4blKbVP1zVygI5jbTozRz9z
jVD+qC+/Pji6flI8R9SZl3/BMLISqrhTvTwrxXOaWknl3Nddkwzi9JAIRN8Vtib9VC7XPlSuQRsM
J4CVv4thYDb61fCv1UdTCLU1jwD77GHD632ik3xhpeUCOQq6c555dnKBdrshiIZTWWy9aFfWj3NA
6f1vNBjGmqyeB1kVD6dQe8ualujiaubz1jTyGGEenazHXizoIVRX2RqStGzzuVXA/b/PyqTvBtRq
jG4D2Qc4HuLPSxrUfGjmQzbcqmlrzZmROZkZnp2SmZOZwDTiEJxKYNGNdjc0GERSLEoaEhO9ql3z
AR7vtkU6B1vJNuVJfHp7yPY2KcyNWpKX8pA8lqRfHlPD3d/neCrD8+MHMPZBVq51kcTVcFqfrwHx
4ck99tb2LbftxDgERmFajZkXRvrbWolmiUpV8IDiLC+3cyuO/6FUR+fACGolD/5CAnjV6elpm29e
K/LWZ4ZPnJnhYLTSf9yJaJWLzAuam0OEBZznP/k2R9QZEdaG2QzQ8eVwavO97B87rEMQ8l+eklti
C6fWm1ucU6eneo9dRpyvgu71Qg1212jh6K3XB91+q7ZXsvwMDMcKkYsujex43M/MPc8SS5NP6ZtZ
Fj9EaaImEXVKe33WnNfw41X+NcCfWhLHaq3OfFn9Pq4692slEOOltaxfIeEVRSbtyQ0OEruZ6GL5
n8+sljv/kvQpzlv8zGaHUj7dP1/e9+kRjOyVH3TyDCufoZKS10j7teBBC019X8TKdaopMEDE1ljK
UKzm13oxnNRFdpYu5VnPrv9CcwOxguLIoKkPGE0/WeiidhiKizCcvCIger9slKesN+8f01Q/HM7/
mwjlc3ROg6xXYagMeHWKvTCEGOOw5fH0nIim/1hbnY2uzCYh6olDlv52Vvop/CXK+7IO1AXmsQtq
mIhZA1vfhddZaHQ6uvAN39frDPhpcuERVciBmyFnWiSTpIv70Fn0ur4NwjkWd9dX9HGSJshju4gz
bHS8/+tEquOZXwdwKqzGpBs4MG7P/Lpg0ZUpGirmsAEz0bigocsutsn2NKCuMPuFAmxIVvqqJOXK
dRv3yb1PfirqREM2NtsAPw9/YSFLJC1IEj8c5mhg3spYEwzcZGv1tedovKk2hDEZdn9AoUWlpgzg
srASgg6f5BX7D1/4fTdUk/1xmt/ssE/FU+JLn3SgM3Ph1W0f3q4EfdiDY0HFkePe5VmSKROOxhE0
dVCzBnRj5uFIvl/0baHMT2gizcjlYelApW4E21pxXuifRkOFdGAmFD36WIwiMI9HA3h1ETQYfjXt
ivQvG2PgOT0TLv5PEowe87Q+vXZlDBd/NayJtVntjj1H3CcE4ScNxgHwi2CYAUIVM7yoExfGkmx6
0+Ic1YRQ/yTCvCkxgJNxARrnaT0j8ssODQWGiYYXnm3jHhhjyGcCWhbhiyI1vZUwM5QeeCgJvEtn
DLfX11nelPTSq31/Pi4OHJXM+f6NwZFG1rGgZRgyfL9CQJkSo3aOHP1C5f/ng/xxFTd5GFEIpBb9
AS0oKISiEgTGxXXdD95N8PigSnZExc+HBMU5XET0W/8d2F+8OZyJwutPNiibIwKXENDcA3qEEYUr
bubgqFaQqp7sXc6NTLTW/6TEvHMlzJCVlkFpeNieG+N8fr0Y7kNmvD1s7RyDVVdMvj7AV+N45rw3
w+aRhdwvK4U+/vn59bElZGNZIfnFeZl/qmfKHGYiAPJGN+gwDyYNF3XglRkGRNCaAcWMMIMML/dF
jkWBR374JxHm0Qx6Ic6qeXrTlL8OD6fQvLqHg79tavOw2UeDqeeEDsAgt8uhzGFPZhL+l5ZiEoig
fNk0B3TAbKqCXOzAqV0NRzo/bMizlS0xKv0LXafqy5ePbdgYAZG472GiaPbjDG69MyN5zWeiqpcC
DvpJ+/W0hcWwl+RRNTal9WztDJ7Q/kUR/nOv7NhvpVW6f0lBrihQ40BBbr03OQ9j+ol/k2Be4FVe
YMqQpsfNgkSZ8WykRsjbITdR3P55bMzj02ts/uuwgey0NW3b/hQfnceNRUfuQuMp4fSucO+IMbdX
9aKqfY5DQ2ZvsB/sOS7JKd3U3aByk6MflI/39Gcw9pM/xvq2Qlx2OSopp2Hd2IZ+ui//f9GS33fE
2F2lTbEPLqnA0TnabTEBfkKBllzcfGdyu1L+jGl/ssKokgiddqGY4fTM7RXIHKGNEQiDWMcA/Wa6
yTMAE+Xwn+QYpZKFcuUJMiRjvU6IucV1LZePreF81u4B3uUKw946xj14hu0v/tI/R8qO2vRChcmk
GdhMfEN5XUEUNbSNVS5HGDmvi+3xybBgTcHIPPKhGRGWiwfT7XjtDSKt+PzpCnyzwhjpPumDUr9Q
eTfPdmWgtxUZl4VJLMs45g6mZ3lBB48pRmUo/aWL+qLoT4tfCmJNe5kYn7LpYCTuBePHvCPkXhWj
PKTFvFYzBSKSZiQ0/W11XgHpYL/nXNVEY+EPUWQRjecXKfd9SgdiCJ2BagD6ZB3LsFx9ic2IvGwV
z54qjNII1WLQhTiHLUnQrnuzJadP8o4sOWIqw/VN84OjR/7sdvrJIaNH9IssBwsfFCOyNbttZcOm
PJgcIhxjzW7FCD0kZJsc0nE20dF2Iktk/jFejTnutWbx3vFE5vUnS4z+qKJK7OYaWFqD3CvoXewD
+fRsx0rRLYh3/bX/+BA4qzgm1b0oalhKIgAn/xa8jrwAjFRV8O8hKWpDsrNHON7c9IsefZ+xYHnX
px6WsdEGiifMM7y+PiyR1pMJWoI0HKXr8l40fbF/qJARQUYUr0BwmCP9jyeGIhgQ42hgb9iaxdtX
T5/qPTqMAMYKoPjbBgenuLLZPXMkj/7f977OmK58USYqtmLRYzO13xiM3sxXkrFy9ceOcF3BSSU4
OjJG8Bq1rxZY1oAidoy0AUqFvMTEtD76psA2E/iNP8vUEOzkyCE9QK1/UnWE5AHgXXi6b1IzjGgx
XQWt1KMV0sPF6Hb4kLuoeV7I/oPnXHDezS1nN3o3dfzf65eOAGl17l//RA0EqmDEA2OW/Epom5g6
y0/r/+tvfY1c+1Q4Swfp+M1gdKa12yVmYruI8nisTeQbf1JnrJSq9XUt6jjBNVqYh2U8x0x6iVF4
uzaM6g3Qle6He/wlrLkDQhypZwcWk7jEilIaHIWNEXsvNSmx9Eq0LxJH6XEE/qaJR5enp7M08jNo
WvVBWyrImnJkcNpvH90fZXREoJwPs6jO6AmaqGjAy31AbFWjnNGZxqp3edWLibT5zxtj1EXZpoIf
RaBXAzBwa9v/p2RNSzFW5r/KAox4Y7SFoqeymmoUqgMzA6oxd16M1X5fv9x/AtPx4jcZdlixBDpy
HtEjDLBXGqLQAT0SE/GiyonIJ3B9fpzdDb9jdFedXvxH6NamYCmut3oozr/aVww1cS38pHs74olx
b6/BPJsnBRWLhDwVpN7YygZehYp0MMC2rOi84obd9JN3DAmbfO7j2gOuOm4LWSliVuS6Lo86NirR
TZKcG6MXf48UozaqQmwSJcSrQvRDg59PIMvBebEM92u95+ELTCfBRmfJOBaCFg6i4oExE7WCrZ1Y
aCBaHirTeVlZq54cXYQn64/7LE77uchKAUBF1rDAlrEtYntd1Pkc0asEDMuH/HhaIj4Rl8TC9bkY
Ev766m4ZPw7ZaWPzTZaRm/wizXJNvJE9nx+AWWOIgEUiuqHsqFNvfKGbN0e3ueCiLMMrLU7UL+gD
+abOGKMArfyxWNYojhn1Jjy9bpfkaoD+abfjIaX9xV38psXIUIiNFb4ygNb6aV2btD8sIPbBqVFq
gO604HjfP9rpdM6IOUaMCl8uhJIGzzTihNoEJO7CdJD/2i92HFpc6WFcUynRK4DGU6suOGdM+G2p
M+zZz461+23BG7ZMl8Md/eKfT/L7OBk71GptGF6p9w1LThKIDBo4nN+l43JV27Se+abEWKAiEbBu
ZgbV9lS/q0TC61g6qTvA03/eoLpmyDYgvDjs/cXMfhNlTJF6qf6TTK2s2lxf0KeibYiDydfGMD6U
5d43P554fWGc54Bq+0/bXtcXudWpL1ua5lkwtqr7gG7qyrw6DYe/v5j1//KnsvvUxIuaJAmNZV71
B89cEhk5d+MWUfPazaRp5f1NilExddAB+OBCg0/TNh+oi35IHDtYvyLJiQwM+NtsLHduGEfXBOad
G5j7+BcvhTadHfznNarsnD1UupqUKjWQePv2KSDIx5BhhfwB92ynbfE3w4ymaWfqTFJLKrDAKcDY
ZeoiwNZ2HIux4JFh9Ism+VJXdiCjRUS/YBbt3BvSe0JqMw7wLzoIi/G1iixTDT9j+e44m5fVCnHR
0bLI8mJ75vv7M8ZYzuiK1ffZxvjwEDSvVhbCZ+yd5YTr0wmq0QUwKmq28KrQo9ltExCH+RIzzzO4
DXuOWpoO0b7PnlFLAWYyrx5NOmQYwDVmr4Jt7F0exBfVOH/XfSq7Tkydp5nm0xB6WBamRyju7H02
phM2o8Ni1E/ri7VYXcFGRJA83J/RsUJxDA+YNSM1nurOMoJHwHwe92suYvB0muOfI2TLsmGuYKE6
jRC3oFoZuiW8Gyu/5vh0fwkFv8kwDk+kVVGIzUt4JcgkwseCt+q0FCvOKo0jICJ4JRyOSsc6uJ/a
NeuviHxDpNzWrwUdzIaDdXhcAM9JJF8r7Lk4hs79W+SJ/C0+GPn/TX5FU9OtFrhYeR2Z76EHlA7x
hvk/EmI0Tn0R8r6mYXXmeC8w99g04R65gnHfV1TZIm2ItbqadIVgPK1zIKLoO+ElOMbG/uYb3ufo
Fo/feWI3hLvR0bUz0Q+UGZWOp+12DpOfAD/eiYzURW34aLjSi8oTEI6dYnuhIkXr5nqKQ1xf0Nhr
VKZ/2vPU032vCatWfsqgj60CdZSAra0ZuEh9PCTnr+IZi04QUnChiCWq7O4dIqNFLrXUpfMUEn+1
zdc1pie3D6flIdh+nuKHA3qTeol8fhJiVGg0B66Yvlkfo2PvuryT5bjCKpukCytEpyl9eqW5Pr8+
2KfHNsE9IsWkLmOD4wzznt0tEhjJTi8FQ1xQtmeunV+I5wKFk+IEcy6TYwXYPJ0ShNghSavcgCVu
TXmr5WSITYH3tnlkmBgpbLz/FFxsW3FRSNeNAzF+r1DDx9vjuaCcN3ALjUdHN/j/VSTrLSrd3iPg
4+4/bJ7jySbi2hpZnmqBV9Y7JhJKD8vQrtfv0Pp03IHX8c3RWGw27hrnyqBdIQnB6hMD4x8cXnhX
wzgbSo6t4gWtoZto4qbmBE3kjkVvBpW3Jw4xzmO+JXZHV3O5xh2sJXgBLsHrCXlTb7O5lTnWyRsv
5vpL5uof48zC8va5Hkg5le0mMQWFYGF6qLjxdRPrR6mArBeyk9aHHmNvvPWinDNlk3NpG82Fdg42
192X+FLuvjivdmLKeZxzUNmkXNMEcZhStzn5vUUPemQ4S3srOzZE8eA7KD+TnYVxpo58ocGKI/1c
4owPks/QAV1W4C6zzihXnF5tcy1v54XZGUNuec1eezD6Z3Pvfh3jbZhBba3/R+3Ipu3qJlwMGjol
aP0HANnwktHuEeMPh9e/pFn/kaHbtN5IYMtUml8rmd5k8BttZKohntG1xqHCExcmCEJUF2ZYWofe
n8zI3QXJTj2vc5yjEyUmcOkvqhYIEdpWEJUHK9VxeVqKF/ff7PjopOapHip+BQrnbbITjFeSIycF
cHZntuQoEY5CZFvgGkmumwWFFekMbCHZ+CRyDs7jrjygcs8hRf33O87HLS0wYsqPmqjrYE5Optkt
yIAecvIbmcwLx8nmCIDM5EziWdHUwQCOEExmALlFsCJzajqc7BoglX96bdIMLfpxjyRpZwDmxny4
YEqHfCKeJpgl3YW3NoQKK/J4gP3TIYuE7Xi6glE67SY4ozMU/bmn+lQN6+6THVmnhfmJRI2Fqj3N
lvB7iifd0xE95jV519mlClPcmULWV1f/Fb3dF4rpoG9EgHlLNQYkYsyZQ9IxC2S/viHoQ9UxJuRl
h1rZfv3vpHBEkDHRqaRGWuPREyTLpePZ6JointUf7vM1+axGVKiQju5Jy5P0mgXUrR9MoMbxVPZk
UmP0edaP9+P4ghXqeEqLfeDE5FYS4ChSnqyxPjq2e/wnWDivgdlFm+M/EY5vjNJwj8gM8XiazDJ8
88Q66d0gaZeOZscvmzdcjVoa5XoBRBfdnL9UvErcpAofEWPMriLoqSj+HzFzG9vCu2vy+JlUdyMS
jJseLyJdD25ZTtmYH56R5UeAynPPb2HvH0p1REX+KWhN3FZJIOHUYvMVq5U+rwDDIgDpQQuPn1v3
hZpLjNEGhd/1vaSBmHk+l5uErDtDRmeoLb8I2kOxdKvG5lCkP/8ee6x6KFIRoHqgGAE3P3MIssME
BRNXWfKknXddjF7A/jO40rShF0V0DOqgJcpRUHLeoFiCsFRfdhh/fbrPHU8IGSUxQ/NImtX0Fcsl
mUWYPeGWnHjnxygKKdDzVqdCmC6D7XWtG1f0D39R5y7EfxyRn87RfAsj66o3w3VR6DqoPW2R18cR
AlHWPAAGC39QeaI4C1gy0BABJen7Rzldoh2RZixyJEazsNchKCVASylsKRYmk87Qj/mDT/rH985u
V8NK2voRXGjXvU99elphRJ1VJ1GRtQntV12/Jp+VrUBC95r1xAPPmE5kjOgwOkUeel/MBhywRDwA
3O+SDouQVu4x4CVjpxM0I0qMXgnEWu9CmcrmlrYHAlc+wltYoa6GdSGc05v02Ea0GLUiJ1KiCBf4
AKV5biyUuWCYa4LFFBiTQwmIQ43z6v7w3jMfy3ip6jfR+vjmw3FbHlAIQetAbqy5+pljqVlPXlko
3qzuQa0xtgXxrbmDZUOcdzddyhodIKNIVDDUFDRz3qywE5r0X9JaSYiP5Yk77DP64vpQPKYYrXJt
PEEIVNC7zVDHpv46e7x/Szy/kPXih0iiTIGE/ZBYSHK15B0tvhrZIdW7d6XTfXIcmWD9eaDKpprk
UYawLGe+S8niwM2gUCm+Y8rYoZQm6HqxpoeGLjty+KSjCBa6la19yTGaPEKMksgWeqWqOQhtsU14
GXAwdXhfZxRDHkqipNGE9XoBdNNqef8ieJr0thdj5DjHop6nlYjPN0a3Mq9mXJP3YVUsjTXPRZ/W
OgtEUrJOl40zOjtQ0CFVhIjhtM/GNDITmx142y8nM3TSNwnmJrzZQsy0FCTs+Vp8jInIVS88Jpjb
qAbM+yYevBa0PG+3zWtoSoBteO5J6mArHrqhkC/i3NC0o/TNFKOtNS3qSqkHSfE1xkrnzaP1sjLc
+0SmYw8ZC7qALQsYXXbOZD5ol3mbN9TvS0hvbOGPoV+mJph/whwgzBDHf5hUACN6jPsw76SkpqOO
p+E9xuCOtILevM/StEUdkWDkTSrboGj1ll4VUAXQRvaAWYklso3It8GwRrxqxLQ3hm0/ki7pgF5m
EckACitnAwUJbYyEBBUZXAoqQr2y14upBWvvfXXEjEZgp1spXO95DWyTojkizwh/v/DStrmA/IO/
h4uCJV/3D3Q6CTMiwMj+7LLQ2rlH8UnJZbO9GA92aDa/luQgfKAT8OocMXwV/+KlYKazmCOyjPzj
sFW/HxbX09UcSPIrcNBnW9Xwajn8TYrkiM7iZ2SX6teZkGjYY/j0pOLWNLN/KJ7vHyGXFybooS2G
tVqAl7XpAbcI7S8oeysvHxwy9Cb+MH0jVqiojJQ6duWWF5nugCwOAVa3HG49jChZHXseQ/QR3aNE
D3VECeWqLlYTMBS2QCarK4PY0afv+MqSF1rdSkV/JyWyvVmiol2KxQDxW6MpdPEZiUC/lgOn9JE9
zy4Ee1wo5vfFFnYf5l4NMZu9VjgiMu34/XOwItu0lQZ1VfVzHKxpxjkhaPBLSXo4HrnLdziSIgqM
9sqByBLpHlY/rvN2jcpZAt3hqss9R1ImvYsRQ4zS6MK4m0XABjuFse2nPqnamIQA822XskDm81Vg
Sou1V59/zYbHWrI7jed/3BfVP3EtpPoypCG91a1g5C9VsIuBP9KryBF6lprz4tbp6ueIYUabDCgY
lnMd5yoHS01IyTwyGkd8L58ayRBkEmBjorMSP67rwVIu5wUvzpv0UEbkGSWjd6q36GTAKidfQUSC
x5XPM+XTdm9EgtExPpaDq1UIGcVcMcCeojVMOcFKG3X1W7KOJncoi8cSo2wiJfUFNaY3aHa/se+Z
psc782qVxDU4ik3k0WLUTetjhY4WgNaTSbc+ZBY2wZjZbvvaDIZ2JNlys8mtxl48KCXACyKTl3jg
0L+92pG6C8oFoLYrSE9q1m87C2bo/nvkMXhLSIwINEmRd3pEjdD57K2WgQX9bYtLFO5oisPM3LW7
WtiuYXJTHVTy7qhXtjnrCsjrIKMPw9zmH8srOTWfPrFz15MNAGy7yuk+p9OBx7eYsq1ZWhSiw+h6
o5eRzrpgS0a0Wdgp0mQcSvcNu8jWcPJAwQ5dquOoX9YbWAe8yd33mNCO293vDMvITY53O503GjHH
aJksW2S5HOCZZ9aT/FWv8pisuLNc9x0+8ZY9HslKrAdVIw9w+DABP3uXjesqabGj+/7pcQzETZ+O
iFxbbchD+rrtw9f9L0+3OIwOiVEcedPFRU6XGpRmo5p9YEQHVXZKz2oLkj/pWzRFNW7GQ8PjCh6j
Q7RilqVtjWO7XODkEQfqCr1fSOzxhmY4L4qt5zRSeb1G9H6i3+Fx+O3ePz6OKmLLN1K6CCShx8Vs
PcdW7YSjajnCxfZWaWpUBDI9JfT9RSjsvwCa7T4DHMm6hRsjyVL62dzPMzDgLTH9Ua3uf50TjQEG
9adnOm+btlc7+jrO225Fu7HrTRrYVWwAVhKtpvujYVgvu4OTKzyFMxmxfws222GFpUSirtRU4azO
2h6RUt6ZH7xZ2OmQfUSFit/o/OS8xfhXAgaBtTy3XynAgQNoZZRPsP3G4HYQ0vO6Yx9ulmtEDtAh
QRdE9Dxjs6yJIRKcI7LFKExy3WzeATKaYT7zMYc1g2ZoSoKN1skxd8OnwTteeDEfT1GzbVbRbFGX
DVVvpV1tPSQ7SocPRDGZvv2+KbZMI84zz5fozpQea5eei23REmPPJ8N5smxfVXqtRK0REYt1q+3C
0B4jo0X9DvNcvYmTW0uP3P5WXjzEItgKkSTEiQySqouMsUUwzeAavv3Ba9vi2Qq2Z0pXhHBe0SfV
KWaGpbq744fygYIarRP+jzER2zaldJIwFDWkL0JBK3hqsaOvNVssFuuB8VYSrV5Zgn1fW918kDuv
6wajOnpdURBlvheDpoR9QuYhJu81oJoAPcSxGhylyxZjskYS5VmIFUt6TQKPVDyl/pf4Cl0k2Nei
6TI75VMEbZuKOlanAC3ETO3ZIdq+GNgCtzoGtsnFX5wuWwDa87/kGC3fqJnWYN87LSTQicJ9tD5p
S/k9wOJC3XRXIXGP7p5jGv9yWd9EGe+uyYW5ntDVJMPD2l7aM2M4YLX9F1fD0+D7T6H4psNo+KpP
Wqmd0bNcA5zzYemZaBmniFQldrcBR49LkCYV7hGkPsdICmtAWeYXDwRLtEPS+TcMaFIATeopw67A
rGCc3uSI/rQj880lo+wFzCQ1kgaRfFqDpL3tOmzefPSOoikAVN/YF2veHtG/aP1vkowLWAhFfekE
XCAAZiqiPW4o1B1AvjicTZvMf8iw0eIFiHpDSQOPp3iz7Y3BRr4o2/YBXTrMHQflCMuN59Hd6dVM
UsRwRleE2fZrepJ/RxHx7N9ZY3H44j06NlT0I6FOZbqoCnND/lqxbYyeu0uyQq/B8deuWUrwDHjt
PdPO9PdZUvZH7M3yuSdrGaQkUU0Py6gvAYcrnuZiw0TVwyJqtaWqBJtXRXKWHVR2nzrNWdhIp5sc
K8OTDUaHZHrkdyi+QRGvMeoXPN8XvZutv/OS2diw9SQ/jZSbijLP4go7tbFy9I1Cbl0xcRIYNcbL
N8kSvT0x4LfM2MHc5/2fwD1PRpnktZwH0RUc5ptk95aa0CHVZvO8gTlweW21kyG+qmrYealh7Snr
7BdYuirmeYj+0Ar4ZdinYAPSBBng+yxNOlgjKsydxddOTjoRGJmz2ogVq8gsBavAwmWYr5OaI46T
jerKQlLpziPsWmOx+oFEUFwWPZ2WN6Gj2rfMAHwZ9L+++1yYj2hP9u1m7duL3YcPwFPN4lzf1Hsb
k2dsT6oUGupcII+Nqhk6sy6f989yspo0JsCIx9wLekCOowK43tpv9udiWbu0oRelzRTC+PE0s+8T
nMyojwkydmauJumiS1APBE7RWrZyN3h010/3iUxJyJgGY1iu11rWhQA0zmfbvAKfKiw4UfNk+mJE
ggXUj+qyCyV6Mettfgyfi3f0Z/iV8cFdkTxll8eEaJA20rhtM2+1gMI1YEzBW3nmIxqEYrKhPqm7
sDgHR8WJ1VdjYtQzGRHTrs1VCq4gVlkY17Z41mMyUFElRQH8/xz1bTZbMvebOWCnBdrmoGIie14T
DcBrJXjZz3KC0QsOP1OCMKbH8NOKaOPuAtCTAhI+x+SyT4GLel/YJp/QmAhjE/152V1bEUT+H2tX
ttyosmy/iAjm4bUYJVmWNdiW/UK0220QICYBAr7+rtI9Z5uu5qhu9Ln7ZT90hFNZZK3MymFl7R1X
iNZa9z1/O7ny28Uip0WjIel/hW5fQSjaiV9xiSFuXoT9atMfQJ3c5Ktdo+aka8IIkEiRX1l/VD7B
M1DyyegGgcRpUeJ+QwZ+L1dBQ2ED6kKYu3bA7a4faPJugJYc9JsN8Q1VRm1Z0g1FNumTfqKZIkvC
WF3p94NiR+lfIJg8kuGVhxm35/8fpziRxVy0AQMG5/ACWS8rg3jv5ZMRJJsetTinBl2bsw9dNAHu
bd0DTyCcGjePPH+wkx/AGGuaYoLuKuEHOMf3EDyIeGEEiIYNXswzd8mnh8rYqx6dC+VcQs4K3C/l
a7S/fx9m79xEDcYai1Tow77Gn8/wThIXreMGNZfjeS6XM9WBMcI2LgqQaUg4K3R7vS/Iye9s1Xl4
zTFNa7dEWlw5geJs6mMqkZ7qxBTHqCiqsIBEmo44ep7gXjyy33NnoHiaMQ65P6lXGXtiKMUT5r0t
SLGX6u7+J5r1XlNlGCesGkMvZchb06gGI5tYT68S+ZUDjLOh51QK44avpTRGaCCAlBLdySPM4Wzn
K999XgaRx4MKejv+uL6I0dA0ZZoYE2KE6UWOOStNgbCGLtFwJRQ+AwAi5+SoYd0RwyYRrdBKVFFS
IYb2Mx17x3hUCbrLUZv7q+P71ohNJF76TAvN0aAaeevcQS28tp9sEiOk/uz/D33582g7EcgAUBTL
qaxFMh3vwgjZ8UNxVCdD5+kXT7XZtnVjIomBoHMmJlaa4hRxlZBtiJ8uYDUY0UKyehJRuQa+nvbi
CnI/dZd3kTmGwuYVC7O8mGGlg2LfCZ9G/2G/DL60hWnzPh/1F/cshYEoMNBb6dhBzuq6tDyMBLyO
W8neamhZvG+T8wHI5DQZaDqd5PRSWTjNlxR5ejTYeT3mGS3b9/1H3LWvbWDa90VyTYVBqVJvir5K
YSpO7Wi3xr7eUxx5kb/IzpJ3krOQONGPQSslliMzbnARnI7yGCiPxVHQgPLcBm/e5WYwRB31Kk9M
YLyIpEO3EB6z1eXn49cVucuKuyWH99lUJrjpBKlMzj3OsHpXXjH3pSqkccmz65cI8BtQYQSm6m+R
aAfUVNwM8ayb/j5Utve77BP1JNWQ/nJxsVg8evTWra+cCTZPjds38XX7wus8nvc6E5EMvoSgBM1F
LBGmrWMAzd0bUPMLayBeuB+Sc8dVBl+yM2ZFq4uGo3UpvWvZEMFVX4PP+7dg7mk2QTFV/T0kQEuk
UIRX3LtK8U+NL2CeciG+Ws36vpjZeA392lg7hn2OmshcbwTGpjnKJjqP/fEx4I+Gzh/W999n7nLa
iLLe6fj7leuAP5ouy2i9wcEc6n095gPciSLMPT6BhKILLQhCk7vtpLtoGa1H0dZbUq+3qPw/aoee
07b/H4DqWznmShtdnSWSApkayLeJ6GKdM4rQP02yjCvy+cllFZi1CV2BGYsSzs1kDlPFOucupJZX
IzL9yDfnZw1zFQ1Ssc1zaUegseaPXFId/vA0umWa6OhH7u1GkDYJTWWMJTRWiC2jIFMA/7dAtCCW
bHnR11iQM5DUC7aZLYt/5QMmYpnrHNdjZ53kZESkijsmJfbrsx20q0DhArNG7+s9DZn7rDTYxSMn
EOXo7wVRvNzB8hFvhyGJ118osD65r2+DJ9kheV4ul+g4PdKnDUIYVL8+P8HlZj++4S21BdBwfO+8
fU0OgcGACAn/1Czwy9ZKoAHRHrFGEXQZ0oJzd+jfuXcCTDTRiqBZE+k3hmrrYi0rJFrYpf2lPBUr
3eUIm/WDE6UYxLmqnV7JGZRC5HnE1iMkEx4lHGBm89LTs6SIWNn2j+0y9yUc487UByoKLDimf1Sw
kyJK3fAhoMw+QWCD3LYh+hWD/hj1p3EhFkthvKNd4T3OzU/NQu3k17AIZcSRlolYnXt03seV0nqW
fXP/8bMaEe7E0i3UvPdRGXBqBKORZAXiaJV2dGJvsVvEGzO3kRU7JU4AUAxtUw5KsFLAjPdLunFq
+8KLiGdDgW+t2VymeFViKT3BtvAJru77BRvCwgfFx3Q96pt0j9fn3z2jJiJp8DyBrPGSmEM2QPMw
JV61FBMiIAbx3RO2dQTaW8vtJuB8WYMBqyiMMW4jQOBK9RF8SGfUXJbi6oQNVOCr+ORlk+bTBRMF
GcRSE+wLHTsqD23yyX7YBAHIPDnowwF+gwGftDz1hWZACAqoZ1CIokzLzT9zoNdggAepejlpm4gu
K155lqeJtgtHBt5XHicGD0oNBnVaAb5TuECbF8Sj2KnSkwg8/HTonXNstzTznXvHbsg+X40O3b0h
7Ry42smDgbkkoA4yttKjCOruy+Jri1JOaOsuNzLl4LjBIIwWthdRqHGcKZZ1OKetsqNzlxg/sXOB
/HcwbjDwkqh6hItNZdVkdVzLuS1+liixY4Up0Zy/exN+mzybrC3zvDHylDrp94ufPkdrEDDuQd90
JcIDL9szH2b94zZMBj9OeXwurwUgaw3M8j5yvHjzFThOT/tg9ZcR8kQzBjwwkzukAth1aBNjvBnx
pMYJ8gbHePZvMpDR95ZsFhGFYSfd9gbqImiQdJAv4G2f4EpicKO9yqbc1rB/jFjd0ozgP3pAsWDF
xXl6Mndumsmgh5FGqZKo8YiCEnpnQE1FSbgRt/B6Znh4azLgIedlJiQKbH11vKw7kgclAR+RzJ1n
nu26mAQsbIAfqkWenzuc3eDHBUEwdnIF17Ds8CFvSDk4ZU10cnlAtPS5ik+PVmffv9W3Zr57R8og
iGBYRZgMMBMkezAiqtvKCvuUM+fkgkZtEVZ2CLJj74rGUPnkRrYZwKNGiCXoe4fPlMS1JQZkWkk+
p3qFWz8sPa+yrQEL48GtLCxQIcFWxfvKz6eUv28iu8E4HaWxUETYExKUayyMWoDheb17NQl2l1mL
T440ajTsUZsq1mDoiolt3LcH7SRKqVpZ60YjQzioOMVawaCgH5w2uf2ZrD/xzOFIm7srU2mMCY9I
4hWdBWmYqiG5c7JfB0Qn3BfqXF5yKoaJuMes6NCVcr4FDQJJwQcZDB+8GtOsWUylMFaax/kpv2q3
+AcN/idwuIGcHtUsboF8tgF7KokxwKFKpLQLoU+N8mAzYuUb5tpt2uiI98MX3iwW1o3yvtXcC2ki
9PajJpaRaXk4xBr9VkenE6HfQ0x5EvFA+uQZIU8U4+o0c8xBsQJRNLl7dCykL67kclTPkPbymR3/
OytkJw4MCdmLmn640I/3ykj0M+q6tNqQ8Pg7ZrujpofIOLwaLOiReYFmg19hhGzlYbLYxOYL9DpG
RLOcCl30trii4o2FgRbj8Jb05fLLzMaD0x/C+MM0lru4oTfPWTtNQyAda8rx3xdyBkjAfr5wAtDZ
JhhTNS287jQd3XTM7YjPgnYSyguCakxQw1r/zbTE+Zb0d/+JX99imKsRWU0rmF0O/MJsFwbuQZf3
TMs5vGiMI4e9Dao0So1JryDeIdE2wrqiE8gOCQ7uvkKzzndybrcPObl2RoyGgEiBQvC7HmVa6oMe
PPDI5lGfg7TAipfjnZ3jnIqkqD0RWWrYY2VmEInGZlDZvK8V77zU1u1CRCXuBL/q3Ndxtit2KpC5
FUrXCeb1SnXMNhVolIPt4HNE8L4X/feJTtdBHbO2LaHTcXxIK2JtE0RLtG/U+eRtEZLmneg/RsiO
4WSqnopiB1t/OQKyHB0dAaA3CsC8wNGKWvMda79Nrk+00kwx0uVTRd+PjmhvYruoSB2oB2P5tTfe
6F7Y/8NmWJ52jDcVNFkHjxOEjpsX7HOgKebEKVfpQ3oArwqv9XF2y9/UOBjgiJrilGcStcaj1+2T
0EGYh5VdqAm/fn59cYn750OS72/HAIh4iVCBViGO8pEcHcSagWFfD1wAmY1JTEUGI7qFeEtkDHK4
nHu9Vk2kksFedt1qrra0E9nLfO77e1ajiSTmQdLKqRqZUAoHqL0mGKDC8JSwAE8BB6rmil0aOmAl
1UCbm4lVlb/fMTk+503YqLjGqn8oP6zd9a2u0Da0ij7u2/1cHfE3SUyA0Ne6IOSmBkmr48b7ODSv
O8v99ZPgpQ8S+8y+Eo0bGc/cNUxSSaJkWjotrjAfLBTjoioiazzoyNW8CKSwq6ttgkzXrZznfbku
/X/Ncn7ywGsu3kMNDOQAsqGoIhoJfz/Y0zCcpVQtRACyFy4PdL01eRucxx/YAsLl9rtNNDGg8ps0
Bv6jMq+zoW/FW4q2wEoy3PAflnchHxFJvB14bLLbzsG3H/Wj6WHkr7TBvxKs8NS6/5nnnj66DMVl
sFBIhn4zgwm8nTqtbPNrLKJ6tlrLbqWiEI6oWoTE4Mta0EVMHIkUTBjdf5PIfORGHE59j9Udh+wJ
hWHDAN8q0sHoeRpet4irX/iJlplY9zeJzO0cOiGJxjARaSlyrTjhgTKfId3CXW48F0n8Joni+uQ0
8+w8guQ3hRV1yM9uxtGRP18Duw2swyf8oEwJBm10i/K8lDrjMHRZki1Uh0HxBBP+XXBdyAqeeRkM
SiO918GIxwfQ6bhYdW8QeMjEptVRZGUwKVD55puJroCP7NXy7aS3r6sAy25AiW3HL+XOPm/2TsdL
G861vP/2C5mP0MXna42VWPiF7RKFCayqWMPextpvXHAF4mhsYpsPZ5VodNem+QFGxo7X9z4Hn7/9
COb7VKmanmMRxwQ6a41geBc1Cc8kCTfcouf9h5FPvgfjwJMksorayqEtXt3dXn47H9znr+qD97yf
q3T9phHjuq/jiNAuhkbt0nECqwHxOKq14Xa90ohCYgw2ll66tjBVgIjWxwrnNfaUwCCEFyMNbG7V
eO7R89vvYXy7nMIT6x39zI7zob6NH7oDHhawXTakw8gjzRmtQouTwJl7802lsk0vwiWUL5lEpa7W
w+NpK1egBYydJ3XhRw890gTYzBW7A8HiCLTvXVafkTOs2g8etM0CzfdXZ7tfEiOKe8vEzxhQREQW
xK+D0OuxZdXC6jUOjNKA/Y6FsYx716jILD2rRPhnXPcwcbpdgMQEd9BtHtMmSjEvB7mN1Vpob4I8
pMUzhUgR0uK9LWCcAwMdNpSLcu6usdth3VOQgbQUZExi0ZVQsCCDmy4Lewwi8rHx4pJoaL15zDJS
OAhSS3+/7H37EZxNdnsCHRZFWPqoR8netNPXvyle/WZtDJSVl2K0Yh13Dnh6RPUKM17Yrcf3WxwQ
uYH+xJsYSRqBZQInH24HqSTnMCJm+HV2osSLix/XkESjIyQE6zSs5aC+cwxsJqb9TUsGworSUjsx
xPkjGSXawslTP9UTukTHwuPdG473UhkQw8BhlksG/dQOXRzqRpjWf6DPuTaIfR5k0t/9h10pii5a
piRrBtv4JLRCe7kaONVs8CySXR/18Ie4Mgz3b85vIoc5P6OXQpwe5Lx4TpgQZElE9A5Tu+QImkWC
iSDm9K5Kf7XiS01Pjzr4dNl6bzG8wX0xc921CA+/z41BdmQMGy0MIaa1G8cbHpVVCHLHB/JzAc+S
k6BZ3zIX2ZqbLJm1xG/J7KhtoppR17WQ3GMt2uuv0Is+EzL2dgYA4q5hm710E2HMQ6DVwYUhWRTu
ZPdin+C3QsAMliftudX8mffp9ERv0crkfmdlF2O9CvRSyHoloZFdc99qn5fA4J0eg9+aEWqaWkKK
sEF09YZpaPS7oP3Cvm8fcymt37Rh8dqqwQBL7V03bEf+FTrg01ZLTCm3C8EJPmmry2mz3XKkzrrc
yedisNiU8yq7nugZdna2MR9aTz42j075/CU4n7HPXV89V4L4TU0mhDybZ6kuDQgEKYHkXNZtS/Zf
7Qewirt2XJrFxYlyDIRcLrlonjUqC0up3iviLSKSgettz80PzhEw/qYWAyLimGAI4QxRpdN4dMvp
qbIxWGwR3U5dYXc+rUa73n6Nz8E+978M2jrE8QJUwh1cvtnX5DZgy1BsWdR+6Du0sPWfL7wOtLlH
/lTJ279PRJhg4ThXDUS09m0DMF7bwojR9q8A/Jn2J4/qZj50Qt7JxMtalCSTuRLnVBMuV8yqHPRl
XZLruviVrs/PP+Ng2aTOvt3gzbuiBU3OSc61xOryRC5zKXqjTaSygdz4YXWsD0hIKUskMuw9mgg5
F3AmZfObKOY6iFFfny4CRKUkO0iPKPfvPzlXfBaRJ9owtyANo7o0TYgonfWmezVcjMrtg8zn5Qvn
n6gTQcwdMCsx01p1QGRQB0hMnkn6haoQ5vZoD6Hs1iaRdrXbOunBdUvMoHvC9opnPnnm9TTPXQVF
0kWsT0MBCakZXJWJnZ6MWAw1faTJqDK1lYo4vCBoNu+jyDJeYxL+p7JU+pc0jS5iY9Lb5u3Czg3R
1Fv79tf2iiYUjABzvuFc0DUVxxytohXJMBQQlxLn/X0kGx/s0xl5fA64HUOzT9CpLCZQEQYBTvxC
VcMbeH3cHDzQXfthoILhBMlzbvw1+7W+j5J9fGZI/Jpa9r9Hqdv9GcEQXtqHyO9dUKx+bmNeLuX2
tmOhcqIh+87MlHDE28DA/T4R5SMdl4LknrCrfWmulq6P8b5f5CEkj0tCWYZ0fbl1kMr71HegRfsR
gZ3E4XzdORCY/h4agkzsVTZroZLoiYtnt76sfH8Xg7/355s9oBXyy25k76+GePWpTCasEQYl0bIL
zmB1PMZIEpPXx6UchI+c8ImnGgPhpiKc6yqDGNz+VsJqq1O/beQfkWCLtW8ZD/dPkme7LGO/oehR
hA473PxDROgiNNdK7IXvE7SA46mX28kvYHjF5emZizQUGQ0pkkSTwTpzmh1qkdgbEuKxIoBZmRxB
Oodpx6InfWWjNMMzmLmYdCqOOdVzB+90uUAcgqjuoU/sJLC3IcbYFvfPc/5qfqvFOMLQKIruQg3T
2O3RoIiJ0ft/f9bTThVh3J8cZicQbglQxOllO95Lvn5cqh/Yex9EG+5w12yMPRXHuMKokfXEpFCD
pbiZ45RqMHiR7Q7eW7VYNu8Bd3x8jmkR1+z7BBngPidXEyMSUBCF6tzB+h/sIKKUkf4T3R1g0+r4
lZhuS3SXd7Zzz6OpaAbHBzmNZDOLpcPL4MMdY3ljeiU6z/Q5JsK2qdeFeVGKEkfa7K8OyCnQYMCB
kNmX80QRgyo6gcfqci2HEWteEMBQqkoQnNt0mHJnPoA8Arv5fuyxqvmT++3mav7Tb8d2pyvdaegL
M8IBOq0r4Msha+fzwva54vFvUhjoyEdZq7scFvLivGcJwZ7m6EkkzyJB70Tk0O1YvPCW/sU/3d8/
NsmWCXuzL5Xawnm2NZFIuBjPtFcDFQTUXL84H2+2ZKBgbwbqKio6a1iqnmSs9arXztKhHWxHfJZo
veqxeLJNj0ffN9dtqk9FMWDSNY3c6VYmUZfmiNHihKFJt90sB8nltprNIvBELQZJTDlrsD8jh20c
ndStA8V2wFvGeRzMRn0TIQx46Nf+Kl9aCHHMiog/9WB/fuUAMPUUf9jCRAQDEp1ajlla4/NcYQtB
5B4upLLNhfEu2ctG51K/zFv7tzwWLqpSlOuriW+EepqykoLyqTzbZVW6guXE51U/ut2V1J6VOiDW
l0tMbiqJW7RP99W+hed31GYhJc+xM0NB0vSwurgYdS87oAqdmG4j8hL6mHEg+cduh2Kyk3ga6KX0
w+mIGbLF0q0WekHaBaJ8bk/OLGBPzoYJA/VzXrbakEiH0iTpNRhHG6mmgXzpZ45b590Ug8Ecq9Jw
VQR8hVx2YgtjpUG8DZbPy6okXO49akH3jpqJVbSsNc6nAUdN8yLr9SIB2VlH/IeHt+WSy9I418M3
xQB2MOYkjGekciFt3Z8Idl0mtnoMX3kUcrOZCUUzFOQmwG2hs+vO9TZqlDYpcG3s6FFxKj9cKLs8
6HcqXbpb41GLehnqJ8pnSvTn+8Y77w8nwpk7e0o6PVTzSkIUA3rj9Ua3N4h2dw1yW7Xb27Q6Hzjq
7q/cxrdYlmSjzKSqwTYs6aCVQR482n1kqyu0VdDlIn9VAJ4c8K1iOfH5fSg1SijhgNHIsu68gmD9
ltU5yP+vuORnsxaqq0gygR8PTTvMeWoKyCfCoaZ+w5Nd3caDd/eTYJ3Ycv8FotT7X2/eIX5LY4/x
JIdlex4uEpJLtCgXLfsPOqKalg76CDiyZh3IRBYTOVlnqxw1BZqt10nk6FdXldFEW3nPzfs+xVoY
n+ex5vMiE4kMhiV1mGtjDe0U0nm5bD8sQW/r9q5soXjjfI77+xpyPp3CAFlSl2ExKlfp4F39PFC9
vcjZrs39XAx8nc7pKGRXSKgFZ3hqwC+bYoPOYsWbGpzH5MnJMW+tPE5Upc1xcg7SdCcXRWKMQaJb
nk+OPhuyTyQxcVJzAXeBduklJJOODn2pHiRyqJ4Le2E++D9sO90E+8zdI/rk9dnM4+ZENBs2tdo1
la8NlFy9r9+9w1ARbFIkdhbERKS9+tuAB1u8O8AEUWN6LkO1gbY4V02yxYqcnvMVnf7fDw3ZJ8v2
o/i4b5WzhQewQvwbUdjt8rFkxEppQabo44WO9rSre1pbtS349qVcZjY/iTYbj35LZJNorXLNjViD
mb6AvCe20S8/+tXi8mHynpW3K/WHP59IYjAlqf99nloBVgpUODyKzi/dG7qS1rln7bTdr90BWyXb
5z4QYjQIFQv9iuoV731LzfTeD2GgRi4ate4laktgdag3mZeD0u94+6iU4hS9HJyvyrk3LH+JEdV1
kSW4oQ069733ZmGRC9L2qysiDW+pf6BKx5E4+1KbnDUDPlndniylb+lNlTZYcD3cWtDUw1hzX9kK
7zgZ/JEvsSWaI2RVbu3RpRDH/GGwTXAzFwRDdJIPEre33nVffRWUQpitwUJclH4sx1nxDppnzAxA
abKq63GE65M/UBv7uNj6psaF5b4YqU73TIiBIwkt8OfQgs4gsld90CaCdS15LeEjc9f+b+2VAaIm
lKRcMSAsyez1yvuoNLssffPRQVdqYp/+hmFbn4CQyoQ1BeVu1EWY6wrRId51J2LZ8JBBiGzTfTu9
hbt3zpHdkFleBlUrTtSjvDjFMt5cEkx9LRab3KlsQSONbyNIXGV2vAbjZrb+5HbF3jZs3PsFDCpF
5zDR9XaAm/bWK2x9WW8u9seJpMsFJYV3s2BZEtl7e95zp844IYjGwFB07s28iwBDawf9uJdXngOb
o1mZfsfbv09C4bCTsLpV6vAdO2+NXjXFK73i+Wq5lovOKbza9teP3LY7f4kWUP9nZz/tns5+i47U
5xgcPmDo8Edf3Dx2LjaeZ3bw0l/9nvOgns2sYg2rTl9DaORnu4JOl8YQqkGkSCUEGGDOFr1zSR3t
5AkZuS6sl2WNdeurLS+/NFuTngpmrnDfxVYjRTfB4lYj+Ylg4OO4FgeQLyzbN7FaY7Sel5KcjQqn
Upm7XEWZJVUgGzogM3jcrM+7NLKlM7rpVM7Vmg0Lp5KYW3w+NTqYkqgkC33uqp03doezXCqutDbe
7t/j2T7QiTC2Uwi82q1apBC2wghSVHnpe7zRD+fYaRd2YcDnVG6AlWBn59F9VOxl7ga42LpBeH6P
FmjZ2zz9HcxtFmM8vIuaKl3HjrDLBmKXS8pidF/f2Zf0VA5zd6Uor/qzNUJfjJFtNpW9w9Yr37Bd
soRvo/PZic0rHc/hxVQm82Rpm6KLqxG69a394SUoBqBhe8nlSOeZ6K0RZwIblZr+y0RXzV7x30A5
uDVtnqemAci9D8UEDedkjHR8LBygtVmvU8xio2M3tmhb6ye/Zkk/xz1pTFyQdEWlxyGkhTXBdP1y
2fk/yuWWY31zYd70AzGIYp26Jm8iSTrI6ULYoR49xnYo8Ca+5waE9KkYBkK01pK73KS294LWpA1a
kxY78vTqgloJjEIrPiE171sxSDL2UnJJMvqtVo3jaCB+eEZ/9abyYg39t9ysylzsOtGPbcLor1mG
CXCIA4uS5eUrjEhg3wyaI+7f4dkSoq5j6knXVFnS2NhDGrVYUsBgeCjGwKBp3MQeP66x87xECT9B
7MHN4MxFylOJDDo1UiHEhaQgalzVaCIW0LCAxyQyYdutwCloz9riRDkWoMp4bNsrNRKcoprbGg7x
5f4BzuLRRASDR7XeCdg2IEsHoSXVWnsF405rn7Dw9q882UQQtc8JIOWjmCWnDrpcbSd7Kuy6JnSO
dsVlZZuL6qffhwGlJoqNLjzh+6y6kCDKXj5iu3O62e4pexC3EjRr5xO1GFASFKFJekGFrzJ+lm8S
FkKcJScVHSRPuLyJPMtjoCmOu0Y1buaw8t43I6lgDqggg96A+3rgqcXAUyUWFggOcIilA5ai0Sl8
41lYAiZ4BUJ6W/4A9cn5MbAkgiC6MBuNZgzX3UHaLWXnmXre+1Y+m3maGIXO9IQV5ak2TznEIKGs
+sf1+/tmgTEMrDp9cFGRfLZXsX9fJA+ZWAbILhXyTkxhGWCAXNd4yspuXHvJ46pMCB5D/+VB6gxW
XM26VSwR4l6OAlEX6C5Ax8Z9lThwxLa5xEbVN1ICEXFCrr9EdE3YncyziHnPiIqxQWeqDc1iECka
sEgmBeMvXlShD9+48Ba/nk62D8cI8iUbC0n5+bPZiHMikwEnbHBUmzjScYsx/vXePQyPAij+ebHf
Lej609i/VWOgqW96Oa4uVAxGN0HrN5LSw3Jt5KpCm9dcQ8HgniwGmM71tTPPeD0cQMYv7UKy5D76
5s3hWxsGjk5yrUlxZVDow9vkuK7cdR+D1FdZq8fzpvS/An4UMw/u3zIZXMKOoxr89dAK6cZjLZMm
Joab/YhKske+muMb5/H2WxiDTaPc6HGTQUEqbH1a3L9Ns2li/R+j00UGk/r2miSpAl0M7wOt1Lvd
Ig9oNhx9fwX2u9kccbPh80QcE7eUpnoNRw3iBEQTx6tb7rNV/QIuF4cjaA7SDRRHKTmyiuZNxi7E
a5xnA7oxMMbrhG9PZweJfcwtcqTMeaipFMYSekwRpOcWUlBKsJDUV4mruNiHx9FmtqdwKocxgiSr
rspQQc5tjwzIRg4L9MNi3vfHDyxS5zWDzjanTsSxjiqVR9DwnyEO3DuOFyGeOHgbg7ToYVkPWzQr
GGRDRxnI7vI2PJUaeXKHhxpLUzESHOTrbfUKvqP7Rz2bZJn+JsZyzlgJXcUX+kF7Z33AhD3BOlg0
DQGRQUb6aT1w7p06h11TgYwv03ojVVBjlxF9yH46EPUd0cH5CxWGq7vekNN6V9iZd1jsdqDT7+3k
BTk+zQZD+9lCI6sruW5OHm3UzngsfXOIMP1hjG8qtV6Q6wI/7KVGG4jF5xucw7epAMYRDXlbtH1J
j9pbX+xMJIr/v8yG0hvPG82mP6ayGG/UWX1+Eek9RdMqBgeRAcmdxQGEt+Lbz+RVJ8WixLj9SxXy
WtB4p0j/ffIUUJtrr3XUxhXsnLceM/e+vc5mI6eKMQAkn7P4Mty+0ur4HmP5885wH2CtCTbNc9MS
c17QMCxLtrCNDuwBzCkajSQOPUKWQ90uweckew39aGb6YBqcIHY2opyKYs6tE9tmyDESc1iBY/D9
PXfAauNa/tnB5DIHXnlaMUcI6uG413KIEv2X9Yd6SD0Ors626kyVYfB71BqMnWeQUO47F5MFlFCC
YwfzLuL70zDQbVGCfiOCCIfiBha2LtCgw++BnX1cTFRhu9r6sVSVxOqoPXvesD7Em1/kJ+1wwszq
1xAEic/7PP8Bkv9Rje1gG8EB1ItjC690XHvgXAQW+k8IkengHi/jMVvfmerHwHEom53eS9APxBiH
YhuRaJnFaK4nqAX6WLdo78uKfIH4XHii3cyfHFuczWVO5TOoS6d8klGG/MFHxwJAEc2qeAXwfC81
BzZinophsNfQGiMcG5gL5l4uJFo3tF7Cscn/ALrfH46Bi8wE20RSQRekQbA1m6QtSCUTcvac0m/s
5RfG6LZfJ2wH4NyFuehvqhyDHSVi9botIBfmAow337pA/Lh88MTwzpDBjaH/N/SuHHN7tMi6/dEE
aoOutARfDczDPu2e4eg293qb6sZAyVnq40w+QTcsPVhj2V9B4h88xXjnx2CJrodpWVJnWZDsSUUF
5Da4xrOO+cDnH+tg6Zq1uk5bU4EJws41b/GRLjE1MD4g3LNsXO9497i025W6kleYkeCcIkdDlr5Z
zzUBiA9IWXnSKlpaduWdvBWoFjly5r3/t44MmqBULLfSiJNcoZLZN+Qq0CYKB7ksUGh+nBtUw/n7
GGcnMSY2whI5j1YvilYL7ShrGnqPbkSF2H2GcYyfT/7Dmxu7t2GMC/ehwrkS7BirWGoDStP0XPvR
8RZoLQTrxl54ov39YKzmVuN535FBmPQ6Dkah4HzRmoH9sUqAPewXG13+b3RXQ+Shsws7qO9/VJ4/
YqmeM9kokd2AkpgNBg0kfO3hlw/KnAcXI/m8I52VZkqiqSmqhBetrjIBpJWchTClKq5HDykidBuQ
ynnV/CU0RNst4Wg3d6RTeX8caWOqGX0AgQlvieThhRzQGu4MCtHsR9Fb2hhUtNAIw8vhzEVhmH42
ZE2hwaUm/a6nnJVxN2CnM4zWa98NNKiXvGs/Z51TEcxt1JLqJCkXCdbpOJuPq7fngPNscDQVwDrv
0YpkLYMA5LzoIwNtGXg/Y/7JxcwJ9hlx5M0h6FQcYxpC0VWNcMKRmTXpIvSa/+IImO1xnUpgjKHV
4h7jH5CAqjEqdx/kTCMgkAjeNzquHMZjg46sC9sOcvCyP4I5M7YPvrFF6AP+Ao4o+pPZyGeqEuO1
49OQIc11U8kBMGae5IM1D1eJl1GbfZpNJTGuuq2rGHtlRwpO6BaULqBoVxuK/DFZgtnX4bPdzwUH
U4mM4zaNrqiRVMHnqoh6QEDH92ica8rmbIqmjFPtChEtbdBD7IhoHBnrV/RIbL9e7n8rjn2zVYW8
rJTEOPU4wMGNT54p8RdCz6PdP6jDVhIK4XwpziG+kda4Yv2SJr7Rk1iw65NdSWCTNDJHdsr+cF8x
DhCxxYWiHqz8Sg8RbB0JaKmWgc3b5jCby5vYAus3shzTyLhXNONxPOq2CppKQNGDezo8Yisz19pn
SxlTeQxUqG2amh0FI+coHcWvgtSLDTpVz756tUeMFwXLQiLPVUy2+0/uVeN9RgY/tMuojteBCneu
2N1EGRt5uDEXyk31Y3Gjr4ZMFmEpGJ247C42Xat2fnoMsEoWXc4cy+cBos5gRzeEg5zF1EKO6x7U
jN7BdHY+6f3nT044M5ucmCrGgMalzLG1VsEtA7u7Elx+am+f9619Nh6dSGBzBmOHlQnYLQ1l1vC7
SnAiGA7e7+jkCdoW0Lnn769YtrriVXY5UM8mDnKtH0cpwSGe/C23GZIH7+zMrKR0aSW2+OsvjvZz
FS+Qr0Y1sjuomp1loLtDmodbVfsP0eA/eMWOs8VZaGpCdPMpyIthpQmIYD8i9w2cLT9c+7LgeWYO
BLMDtAqox3sjoRFN/XR62vP4pHkoxQ6xpZJRZ2jUoXZeIL5I3XNwIWtyiogSEbUDX3ybIgjg3Wbu
OTKAUaZpr4ASgpoktlyPQezQxd0/sGw42KJz57+8zuzCJ7Hrz/pY4gYgvll7knOosG9Yw6bwBaDq
kwdVHB/N7ngKtatWJfLtvmne+j3+jLbpU3ooFsCq/4eLwABIqcvRueqpOAdB4nH9IvpHy0skOypI
uENB7IStk/chhXf52OSBUYcjKGJvaIzMi7fZ+erBd5fL24Ael+mN417YdEFlnpQhN6DhFU01x/U6
RJm5cAMrcbe8/Rec0MBk3ijVuWlGVbl9u/CpeEB6gFfXma3MT+CYTQ90ZoGWA/oMAls8HstgVH9D
bWuPcgHPt8xmU6eimBdKeq7KQc1xzdDTBWIyvM2Rvo2wBPXJfCDk4Q17UrCtB7t66GIgHpUQD1zY
5U/oJo4jWYKiIITwMqcOfN920SGFFwztrOA8Ym7MyXdeFmxeoNOSTksHiGvt/yHty5rk1JVufxER
AoQkXoEam7Z79vBCeGSeZ379XfS5n10tc0phn9ixnzpcSUqZqRxXIlGN1Dg2RE8ORizvDs4Hv/gC
v+tx/vCY3VcrMr9y4mwTxOHysCUPJcs5mzgH/dQp0IFDvSB2fiIIUPCpchiE5JsAdSbWNHO1nait
57sIvfaq9LRSRiWbMjONY8vSKqMIMZajeXhG54infMRVrom8z0lHqjPWa9Bp9h/RPIK48ylDJTrw
Hk6dQz0HxVV35x5TzVUlI1TiYksJjwGYo0tqgvTHtQ9n//WEJWh4Fabjuln2MN0H+wNzJuxM8d13
GHxw2hvN/56NjjLjs1U6upAbWzI5wKRLm2x4lRvks4YTxpBOT2uSCfgVn95ZmEVaxVVhwBWhqtz5
pJl6ZRsliEanzvPic/PzDND660QULrstWZ9JMJqYq0J4nz8cr//0Zp3m8tCkcEfveJwGa6pnfzud
3ofoQUO7VrBTkFGZMFvyUwbNCFrbApmXWwsppfcTgrhvdz5AntBh7CnOS5W/siUL0gVL0/D1Um4Q
xO0/344P708PmFrVDu86dzoAeUkhBkr9k2zJLFKW1q8ZM0znNqfFQw0bPSdOddyh13jYme4zAAZW
TDLF/a3adcVY25KBWSiZU9KssjF4w4cFQj6qoTKvE+Fy11PA/o+7m8zHC7h/gnYDFeLh7tuHee+6
2iflg7vpqWAaF3ZeIF0s5zNEO/WAodFgVDoUMFvn/QNQmA4ItCpnXU8NfLcXVfv7toxe0JSynv08
FkGQBMZTcSLL4d3sfwIuw6702verO/b4CHwfVSf3dnx8QVNS7TgbJ9PuQdOLTrfV4C4O/a6fS6D9
rssGV6RMhbxs2qsLgpK+B2OPQ1/s1QUMqWOg8BxgDZ97ncpmwHpBRNL2JDSBoWWACHXJXfDwT1HI
xc9L6s1LViSC4edXdCkvBQDN0/R1TvwVIfPZbZ7XnRrXGdoEwREXJCX9NsdcizsTJDFbmzn98vGb
6xa3/AQMFrep9vdKaVx5+EOvLwhKep3afRMZcWhiU/v348+Xf+q4v2BIzmXwZW4oiSF4N3AXWmwU
Ld3DJ8NDCvnoqcRh233+zYycwGjSkGABJLQ5dUYXi27QtvQe+VaGJuE7+CVfvoDsed1zpmr1V+m0
nNyItKg1NR2Ubz6iD27tKzrdOb5wPoUYslQBg21H4xd8ShYEs3jtZBFcGlBoAfqJXchYwnfHng4d
xuGwyDT8qjzaTdN8QVIyIE1jAvCPMDB4g6H+98Nj5rWHyDMSR0fECnySdC0gemhn+acn74KyZEka
UZoZ6nwGUIJebm+ju9v0uIfLiX4d7+Dzg+/qroEdpkdVWkChGVwyLmGasjLNoYpfn9YEXHd7XdWV
lyhZFxp3TVasT88tWif3e8AiHO6ctfSFNYYqT2Xb/bo4RMmucJHHYTFCYm4+t/e2W95hU6kKk+C/
KAG8RKC52ZS89qhd9O4tcaInpp6a4Ogz4scFQnm6w1t6TrDz6B67GVWu+HbYQ39TlO5Ib4HeMa8U
b7LT5+GEMSg4XsPtWp1SpQG2nb0LWtJ9NXEP3IEOtDAm4n1GTmr/AMvyDQCi2Q7D4/ffFS7XJhIZ
5hx+Had0ZwHVi7BmCUyz97V/wExP3nshMNjqCStYTo5xcnxn2n2JP56Pjyjb/4yc7H4NPY7LXerg
jVLEsSu5P1+K358jvRT2WFE9bcG/lx7n0clP+aOnyub8Fzn9ReRVaS5EqKuLAC3F4LlMj9UHq9k7
R4ynvqAX4rr2KZh5FeULOlinzbulBDPWVyz+W1dHWAq7tTmefXF9r/J0QaKiTZiHeWQi3/2eJesk
79kbnSNA7BSCsp3I+C0or6WmC0p5VkRLVeDQ0HOA/9C/jxhLHz1P5Z1se8u/b4dCRC4IDdgYn0QV
CN1oj9Fj0APb+hg+3sfEUW1wWIXpQti4rgMt3AaGNqHUsGxLkv08yCaShFHm0/KdsbhYoqt9SbRd
mbvzE+UKZ1VyI/8gJkn2TJqlEnqY+VVCHszadkRX3xpjq5AIBU9yKTjHSyZoCZ4ChKaLsxAHahRk
bpg4TekCB+e6iCu4kqvB9aAFOSHgivWZk7W3lX7PuEL0VvsqXxNg0QREQmeUyJnzHqAPY7TkmU+S
I/nSfrZ7TCXMP64zoiIiXU/XjnTITBDJzcFh44Oepy6jqTvb/3BBjHLdBjo8x+oOya2qwU41ZGXm
j3nrsPQ0Cccafoy6deaata9yw83yXEFzizlmcQuLETGCh0aetyqlN4xPy1BlPk8w1xOcKhHu4yHx
WqbwN7bE4ZKQ9HyZbDRGI28zHxuc3ZScy/g7YaaCm00iDJj3CKexJ1nOxtvWQri1EjGiCIf1ozMO
dni+Lg4bNHTg9xvYD8tNTBJJecDWFH1CWpL7nCb7oj7PNtr2FkuhPRv3ohs61UGBALf7NRt5Yeqa
Mc5my6a5X4zaPZtKT7TC5danZDpcZ4f+qUIgxIGNYnNKqZzYCwbRFxq3c7/rp5WdmlcKCuvNSkqK
JZRALKI2FVhkKOmPCLomGSs99/X2Ph0rV4SNm8W3tR3uW0ux22rrcn7RWo/urThPM0uHhOByisze
jcmuo9Srxr8XZTCEwyI2aOnm+hEXdxMCuXoIKjP3W8Y7vzDLbK81A/FpO4T767ezyQ9eIWz9Rosd
lVHjk4IUmjFkhR+TQ9flXm+fYkyn/z0RCwWA9aUzLVs+tFhYwuyKpPDD+L6rgba77jTXzb9Llqyv
nG5RTnFyzODiFb3t4tRomLMID1vhe1p7/Kqnp39gAjgLNqU6AVStdPODPTZ9VZaF30Q73brlxYGW
/6D5MMu/SEia3/GEzmkCDsZlR5ePRXYW/c9/4ILpOubBLaGbRLKSKfDYSWWCRFwtrkZgWShziaUQ
4C3jYjEsG8DWL91mckUoKXQ4OAOotDrzxth0NOPesj7xJP6XO7expBktAQbDEt63moKNWxVvQ73w
53Jn0/VShuLL9RPbsi7WbxKyx86HtqZZahS+HT5Y9Lk1rcMSM4cAZknTqt11YlsHt56aLeAX6rZs
lTMuGnRA2IU/xcUpoYkLfdTLwouWQaH4W2b5kpJkY3pdq5awZ4WvO59Ghb6ruFj/fqGJMcsXGlW8
8K14p9HbNtq1+e3UKM5q42KwyBoijN3DQHN7RfW7oJLohbCjSsv8JfuMjcgnvTguJD7mmeUkuiKc
2uDoDS1JbcjMhBZpoDWe6Rx7HXFbP9NV0rxFBe+YBTgXrNaxLencGqPVSm0ocp90BQJhLYydrv4G
gBLD4yQPFOcnJ2hWg7k+Zb/ISUwtcxKlnJUg97mNWqdFF1ve7GkYOF1zoPWTNX23GsecnTzZi9Cn
B6Z57ejbZujCjHhkPmqqE1ilTnrK33ySHBaFZZInNk4gGm76wl/G9xE7XlexDcEHCQ4fDuPlmHsw
3grnkjWmvYgq940Za5rCB715vk5gm4ffBCQvu8wGa4xWApy3TmKeiuZutPf/G42VyQvZr3ljzq3W
5H4vHofweRSBAxW7TkNOPv1/+fjNyMroBRG9pwO2X8MNMSzWu4Yed4+itYXHLOBfT2XdvTersNyn
TI92gNJHi4FG9H1Mu/TUTXaGTlbDcvtiSB+uf5jqBiU1QdZB8HQ9YCEei/m7Nnz9335f0ouYdDPF
5rDcZ9mys632po9SBbjRpowIgxtEYBmFJc/FLFqbsp7AI5q6w/Co6ef7f2BBMH1FJAQSgSVd3TCl
PNRS/L4eYWIwOk+tSlM3L+GCgnQJgxkXPJhjwJT2jZvHmM1XBQ6bZwRvnvwnDJK9YBPPU8gAau9r
yZd4OpPic1sobMH6kX+YmwsSEhPocmXF3IBED1yavHJ7Y08eZ9Eq3sOtszKJiXWM2Blr6zImMiXt
kNQ9ApS4/0K6z605KQhsHdUFASr5pnPQjzqJEczZtDpoY3+bMwLY8/TndalSkZH805alYTIykKED
dzp+q6MxnnvXaSjOSl5OPY/U1KbFACth7+jiyRDfrxPYunNTBzosogSBlISk3cXQW2RYzwoT3kfd
Nn4w7V3Fw8XpFtUI0yYvBiJ45CUYNF26Fr2gPELPNuK46mUaACpgqepy63soCzAgR39RkG5Eqyx7
4hGYCZb6Z8FT1AXHU1m3T5x+nNLbhUcqiiqejLePQpMPS8+NlacsdUj2nPWqZ2f95j95Mm3LsKgt
hNzi0ucJ8EVHnvtDmA1eo0c/bKPxlrQ1HRMrRdHwRISXLNbHkswnEoj9dflY7/9P8sCBF8hYccTE
bxks5mqZJypyuJUV0pdRdK4HeubFyzLSQ0OmQhHCbB/ob3qSqQ6XCvETwys7WM9J9WMYFE/Bprwb
v39//fvFK94a/VIyDb+/N37Sj58Uv75pEnDgyFYAr0q8oplc/LrVd9RExir3J21vCSz5JjdZqZK5
zStZsxPEpATJcknmzBABV8nDws/n5GudIbUcTjvWHjP0NKoyvnKHwqvXY1pYbgJgNuTm5ZUYetqH
YxcjIzJmQ3QI6Bw6wxwux0XMg6tbWuCS1GKPwG3DqIJZJvukre+rJPk0CK1DD8NC3SEMQ0+3E/uY
Bl0m3LqKY9fuJ1UMt3n4DL6sMACDDMyht1ebs6rp6y5FnDVYTvsjIT1O5u/THgYGMIEzYCB1Y9uS
Rz5lJeVNXsCTCANXX1BaBa0pebmudJtCekFFiuPtrjdzg4JKFXodkETou6V5Ft+uE9k+rv+wAsQp
OQ2V6LY+Z4imfd6dO3sfj49doiBxjY+VhGSPCUvGNFxPKy12U3Uu6G1VucqUhIoRWR+QB9XCCFTq
/utcPQ/Nu745/G9nJQUxVqKZfBxXRox71HJs/bwsu38gIWxIF8oCAJGRzooWZZmIqCn8QATvzNmK
Ha6RyEH+y7tOaPNSbAR72PRLKHzut2oSBma9aAXCyZE2ex3LkYpIdwBqgCWVCrd+FVP57VhDd8HR
NsWQv39LiSSdQfQOtoN3hauFezF6Iviuzd9GkRyj/MvMAwVvW6/HJUVJPTMxj0vV5oUviOak9ktQ
lwrfUsWTpJpiqMYm10BBG6djM9xhj5nTsXMtDKdtMMC6S5NP1+9ry9y/WhuL2zpCGOkUszAhRWpD
TyeC+MWZgXclvOIzDZ6u09mSCyTZkWHH3iz9DwE0x3LhVQ0BXMSxSt5nN/2yT1MFka0LQlbawAYJ
Cpwk+TmZ8zzJ+4XCsvEfZoK57OQf1AgJMIFGQGQ07NeesYsXuO11lvAKj+MUFfknntUNYMnzyE+G
flGIgtzp//o2MouY6FxFEczmkixwsws6bYFVsBY7csp7bJnfh0m8I4ZfEf1+yTqnsX7kQhVsbhk8
MAeIKeTesd56/fsFj3VS8qqNRuhVPe+qJHLt+Eey/H323URBHpU37FUXTPbWeZSMgKicUp9bGXts
qnDam5M5natuCFQ+7obfDgeXETQRoVyBEs9bhoDI2o+hmFO/jIN9HcXvzWjaD0bnLfVh4uegnOBq
kNHpzGdjYi63h3s29E5xK+za6VI9dww7Rik66N//tU68+bBVnC9Omo1DR1J7SH1dtz9F9uDEVe2w
ODkmXGEr5f6RVZjekJIuFXBeWNvT96mf9vO+IE4dnePluRe2Y5rvdfMYVD6bMo/FuylN8PzE3r+w
alOEZuiug/a8ZbW0BpIFyJTgrW6dOfxppAQR2slQ9fxsCC/4/E1HMtGoF852y6zUz8c5eN+NeX6y
4vmpHbBa5jpHm5SYge40Ag3lRKIkrEWzxmpJfTMsPMv6HEWNU05sf52KvmE3TZzYLzKSFRhqFmSV
YaQ+W1yT27GLbIOzFMF+0Yev6UBhA+pd2jW3Q0jfkXLct9WwH8bIdnKy7ETYu2Tkp+sftck6VBdm
3MaTIW98aRhbaj5CoQBhj86xIEidRFH63XiWYPIAXI9dHxZalCWdXTKtxDCXDp0lIj42ReNl1vTM
mvo+J/0LVssShYBuEhTm6hytlbo/xlWCsY4QuaV+qH2ISssji1N+Ama0l04/r5/epjm6oCSpomnB
N2Y1KM3zkwGQ1ARLl7AznAkk++e9Nj5dJ7eVWTaR2MP/SIpwWN23qpekdhLViZb6Y0IW7CXLk51V
Abg+M0nodlMWYHl42nl6FEwACcuGE9bM1EdaFRjNjdKvQdVNXtRgV+j179oUItvEQQiTWraclRWj
MQ0WwWe1xRl1ZqdeGsfoH/83IvJZz30f6UsAIg68QeqPunudwIZ6Uji6HIUx+AR/bAUoRDZUic5T
P5kb26Pzfb9m0sLqPkLNcned1npRksMLWhSWHA0ecLAlG1oEID9VsG1WYX5umu4Y9e3ddRLyaMf6
ToAGhzMILwqPphQnJOUwEF7gwLqlPhUid4IBQTdz7DZ1CwO9PvVLmb4sOfZlseyTMSZuOE0eRwFi
1Eu3mFG26lTftCEpb77JeCvAtWGhUCcAdGmn5sclXo4ZmiZoDpAQ0xmnx9zAOh4dg0Tdu6ZpIczk
S2KUnylsZUpjhTOxYSbefItkl7oAo90kRB8c2gnpiQ0Zd0g6V2feV4GTLVq+n/JlPFy/lc2LNygg
ypEUwBYe6VKKOKrGbsSl1FbSulXUIvrQyfL3Vp2ibeQXFemYSThVog9tuGTRwU7es/ZUBC/XGdny
ad/QkI5vjFs7ExWOLx+fY/hUBnwv0vwU4c+ACLeZWzfi5lEDEux1wptqagjdttbFsoY8OJL2RlP0
6MLyKTmw/BwNX7pn0iqIbFlacPebinRPVYmFO8BCyXwttgy0YUzdLsvi9NhUnZ558aAvN5zZzYdk
TJpT1U/aO2S30p2m1djqpAWJK5K2d8okCBTu37YA/f4w6WqztoyKsUwyv90Nd5riPdtUzwuupTtl
fTsHMIJo2ySF01q1N08/YhUkreoCpUdspKnZNgKC04fhLgyBUz3/bLFQxhaR4l1SUZKeDFJ0dlRo
aKxdpn1o3C7HYTk25t+HP28kZf2IC8+/a9OxT0LI49Sf67DyWHASWaqQx01bhQDORKcWSpNCch3T
vkaue+3Z7ZLAtfo9zGXSfrWzc1F+ua5em/L1m5LcrmXk3YLLx1uu8/G89A9JzP7FOF1QkFSLhcjb
zwaMk1eQd/pwV6q2Xa+H8cfjekFAUpEwH5KkS3BY+mjBup5zgCXl/C4hT6tjEtLGwRbX66e2fT8W
YdzCIjtdzrSzUg+SaEZ/6zLk7WFpg/C+zYNDaAcYzhjjAzX65Pk6yU1dtRAFo0Rhw2GRjrGEGYRA
IJqo6afUvmlZ4liaqgNRRqP6jxNxQUU6y4UJAFVPDC/JGPl0csvEG4vMmShxKmMqnIW2jra0jz0c
UKwTiZwxbZ20mCpnQB7XztudaQEA0cLi72byTLRkdZZX9AFyLf0j14GvcP1UNjxylDrW8r2JDYiW
nBwdpmHtBsL3xlXksHb2xuibaZ4z8rG7ZVwVCm/eAYOvaJnIRWDD3Fvdj7sErPSrPy6aW4Jn6dD1
hlvT0Vb0UakIrX+/MDIDn0iXl/Cb0DrgWvyed4g0wllxeJu6f8GOZMoiA85ZxsBOSo5ope8Vvo88
j/IfYcKlIAIWKL2+DrFfcKG16DxLGnBRF2e9Lly9OKVF73Y5SjBPRcy8sNs98kIVD26zZVO0jaCJ
FvW2t4dXZnnVwu9MfcO4pzy85YOteJQ3pQ5Jtv+jICUQMs4nzCLgDejt0plM7hgx+RyHN1pVZ46I
/ImqHOlVu/+wcRcUpQdhLoK4mtfRlCzSjhWLcmcYdrwv4NmHDvbyHtl4SnTiLVH2oa1VGeDrJ2r9
URGiRkZSDn4bVpyMLj+WteJV3Xy6f/FnyQWhJmnh+k3gD5s0MO4c3omYvu8oc4BE4V03GSpmJBPX
R/1kp+tRxqjX3KrCVtWvSy5Vr3VkySYcVX0G8MP1L99WKIxTMNNA8QQ1kreSPcRaOS4pPr2se7dJ
hsNQMi+al1Ox6B/j0gTMUtA9Nnb/GDWRH/Wqrv5N5my05mAcC4tc5by2GDWu6etgTDtnrWNgXOWh
qJvp63U2txoukb9Gd4QBnE9wKVk/24hyM0uKzEfm011QLZ+wL22xEDWGhltWN2ih6+bEoWc6PsXd
sksHsg+y6IihTAcNXftZr09Nou+nOvbHiH25/nlbh3D5dZLVrLoiT+IJX0fazAlb4VTpy3UKWw4N
onliY4BWwNGTDJjZczOtaswC5dkpbNpdEtfIC84OOcI7QDw/HAuaeNdpbnk0lzQlk5YyUZQaX888
/JIM1A1TAJVWTwGOM21/Xqe1Kcc6Zl3QEGEbeCYkJRlo1iRch/vEzZccDYR5bZ/KcPqUDpa7FOyW
Dju9CXdTZH2O01LlvMkgaK/v0iX59YYv3iVRJlEuwjnzMUdGuUgPKN1jXK0+DDW57bqHUIu8iaFx
t7mpUSEqxmhwGiQPvD7yor7Zo4lzb8P3WoLFpYVqoePW26+vgxlCrI3HchFHj7oxyi0cjj7vy/hd
/pS2Cu9iM5bH9kmDgzuBThGp0ouJdrMpbUS7ZZ25WRC5Q/ugW6Wbh+ShFcBvDYKdAO6uNig8jq1i
BsqwvylLFkzPsNBjMAiM77g4cTs70fiu6H5M1Y96+mGai0MKdJjVNxrcSj2gu1ZlXP4L75juIxxz
EKh1v718YoSiHICe6Pekcnl9X4pibch1h3lxFwM963Z+DrubJh4U1ntTw5ABotiqjj43OS/e5dY4
DOGIQw8MP7cwF9Oabl82DhftoY5VQ4ybYnRBThJyNHBkDRa0wGMIH9KxPmjRva2cK1HxJFnqJW6Y
XtIeaROzceravm30L3p+zu3qpKf57rrZ2CSGGSyMFCLvTGX0X1GONabkIDtGY7vxuGuwxzUhnysk
8pZY8QapaEmnB4RwUTRrPigudkmLeK79OmtOj+iH0bpSaMWW86NfMCadYpVOeFNWYlE+7DV+BsLZ
Hu2+bgZduH6E25b3gpT0eJnxQEKiGUgssK95U96kxk1gabswKd2Zf4XrOiTola/9qhoUHt6mPFKs
YaHo8jT+GHBdNNYwu4DR1UXkduPPJq7dsVIQ2Xw5EZ0ZKEtTG/XKt8otMrvUux4nqUfiIMJzm+Re
OsCYB/tueEIq0el0osjVbN7eBc1VlC5eE47uMoaFCplvN6fc+FxQTFmb+QE77x6uX94mIRwdego4
auGvlu2CEIbeRDF0NZ7obJoP5TwMcIOqxWtJaDtdXypijs0LE8gO/qf8LMNdRl3Y1N2IdygLc0c3
noe4cZgqOfjqy8mBjY7mVfi0FD7tH5NpBCu7uwpWcbQzrxNtfwo4yrFWpbt5L5yWZc9NQkpn+Za0
2aFCO8Wg76M8PS6hV85CVdraPGMbD5SB0W+csXSZTUeyvrchpU3/rm7zxRFl71C67MwETsD1+9w6
YEPHfA0QxwjCY0lYQysogcRF4QWh4xSkhuF5UGr8aqjk870kIjFEDdK18WRh+j+qvKY45+jpus7G
lqm8pCB5jvqYjEYXMdxgmblG/10fDlj47nSo8xoY/rtObOt+DCoINr+i7ohW2rfKNtuItEO4b2g+
Kd26SM7VNJ/a6J3ZQxuuk9q8Hku3TFNwdDj/gduBFhI4ASLzU5a4jeEVLbqrVCOAKiKSJ5zzbs4j
hsOz7OdiaJ043mV59j9yIj1mNNBHHpscuBbDWWi6y4pbrVFpzqagXRyXdDNFimGgqsFxkdEVxzpX
8LBK0R9yjEZ3hmuH32ZJPCx9klj2gsnCgdVPSK+6zZI+9z09TwY5tGX1LUTfxHUB2BRs9GoTC6E2
QYfdW1kbjEFLTcSifhzXvsXQWmOe4gqVQ3Q6I8l5ndjm8TG0D+sclXU8J2+JVSYN6rZLMZxPOrzF
hI8HkZiV4q3aFDesiQHOIcJ3Isv0kJtFpE055gZTu3ATo6YuZb2O93gsDtcZ2tRUJjCfjscK09pS
xmrSEttqCEYU7ZHuK/rSROF+6lOHJ++uE9rm6RchS3LoO3Ss8qDEmFuFZZvNMO3s8TntmeJ+FOzI
aBN11yJmWurct3jgjLn42oi7KKt3OQt31/nZkgSTrJg3yC9afwzQp3OZtZSFuR92CzquGDZEfMNk
gkrgtqSb4mmHS4ZUC5GPLRtM2vcMr884Dzezhie2CqsfUa8/0AaV8Tx4vM7W1gHCYpv2OuqOLmNJ
wMWYhyFWxud+3TRuIX4kBrInWrsvxvvrhDZruZeUJFORc4whjKTN/QRAO64xR+iYtlvrvgV00j4k
InWruelONEwHzGHYP3oWhG5vEg3YO7afaDVz29wM/0EfLr9KsiZanMTDNEEfKvOFi+86+YJyXpSr
4Mm2tEFYcCbgYWM0g0rMG2ORR2hOhB1Jqx3rzutrMnYqTKEtawyICvTpos9r7eF+a61YJgQ2X2Ag
0Cjb0BHAI+vLz7yrz62h7ZIeOelYV6jFlvxAJzAtYAm0QplS5qCxwq5AHTHHIOViOtFwZ5jC1Xts
epx6lZlU0TLesoeGsk5Y67gYum0+FvGuzxIvREIgCBbvurBuaSHSfJjKR8OOoctNO/CcSqLNVu6b
xuQnlu4HQLcCnN0hy9i+ylJFD8xWfIReMoHeXW6io1syylRvaJV3aIKec0BpsZ69a6ePZm/fRNaN
iRYg/KuzPTGFhZbR3F4TbuhjMxjmnzhgRyTdp1HGJi3CmK0VIasUdfdB3L4vkCTIhXkwLWRsl8LN
y+SW1OMNWwInHtt/MD+2jY5spNR0YsvmzpiTeDY45nDtuT6PNf+QJ6ZbpcOR16rq0Kb0IHONpmVc
LVq+3koPZDItdQvTDcUy+5M9vuNoDhxm61Yofe8NUqjGAC9IoDkfYb10n0VXYPXdjEZzUbxg673b
9JNXFxz9As/X5XSTECJBOEKA+MIU21ueDL2yiprjBmv91hLWXZH/LOazxvjfB50WwaQBgER0IDHL
MyhWK1KkxTBFQTVyCtHWmJMWq6UUtnjDSL6hItmSmk5RKwZMTlRIWyX8PrawaKn8B5f1DRXJiphL
F1XROgUwDNr7AT2ZTHs0tG4tEBZd7AW8c69f0paegeIK62O/vgHSLVXzOFpxtU7wcNY7GctcO71n
1svM8KJXuxILyctwcGryIQTMHAZ0Ttc/YOtcIRxI6SNvDX2XJL+0C20YSwI9p5NT5T8RaPwL+A9w
23/TkMLNlqEyYvSgkdPKQWncFNSx8i//wAhq/BRZALw5cn9HnGWoRVYAs0mMn7xAKqK5T2xVs8WW
ThkEACYCpXGUyKXT6peaDHWZlf4S0/LQz6xygtz8UZH6PRC1GsVLs0lNJzpQDlBBBLm3GtwndLLs
VGA2JFxOjdE5YV0/9mbkFYUK9Hv9cClWswAdAlOL7hhMiEqCTyyANsY0LP3Ifm4CZ8lPCbvh49FM
FE75lrwZeMeQrUEKyZZHUWpiVBULtMJndbkrgu6M/PBtOpgPfy8Nl2QkczElzEZBNi39dkGkdMCO
TXtUzJOsmvnHkV1wIh2ZAQB6rBNLSn8cMkcffvZ1/U9nBfQygU4ZRICrfFxkD/s2IiXvwQSrX0CA
2c9k+Hn9nDa8i3UW/BcJSaD51IklxiSsr2MA2YnnoXHsbkF7wi6Npxs+UU+rqxstZy/X6W55/Mj5
YkZIR2nFQmroLW/YxBZ2HbcAslE25sGu8upQxWbvxEGHZXNEwPTC0TpMk2G9jCbHCHLF3RRIqTuR
cHpC6TNxSTUDtPL6h23pHEaxObq+MemIZnPpu5oxGm1kbX2jng+WzRGMLPvZvC0XVV5sq/sbC2CB
gbe6dXiiV1W5uN5JH1oEBFAFPbFOs6j3S3oya7Hjo+2KziUopY6xfQTSjxve2Z21D/jozWV8N4rJ
NZpHRlXNUlsiDWACjgkQwAMgm/r2i5oZ6BFhXJZ+UVu1IxoauhENBsWbt2UCLqlIitOMo1EOJmRu
mtoG9rOxXCMCEqQI5mp//TY3n1e8rxgiNKnAiJ0k30A+N2J9KUokg35yrLkc0WZWxWuRciRAMLqp
9ONk3MwFGr1tfmL19A8mHL15YoU8w6DJ60j+xR1XYZ6wvGhKlC7Ps3HOP7dV5Sh0eOs8EddxhCIY
XqJyngM7KbBKq69xa63mxdlhaQIvmhRhiIqIdGnWlAM6goOREu1t8L8EltwbKnC9TSJINuApAmwn
YpC38meToDUzPoFIdI+cgFs3t8Uw/sOVoB8GTaCoNuG8JMtjj/lSwuWpMJDflg7PsFMj+WFYmEjM
/sVdQIcUo5hhNQUKBm/5aRPA0HVdXflJ0x6SQvs6G9/0PL6B8l6X843nGy8ENaFWqKJxeVfinJAY
uEtdCZScLnDsSttrXXgWHKFFMnpW/uE6uY17ekNutSMXUs27IEcerC190c9OUH7BViWHlfXf2wlM
5L4WmgQcO7l9NpjymkQBgVyjJ7jo2kN4jK1U8YpvtTcwgRnG9X4oJiZXXi94CUgEiZ6qym81cRht
eheFz1Uf3zKMry5t5ZXlF7TSukXSOG2AFa+F5qaZaqPAhuFFOQ0osq8oomjwePsRGKQosrhvK1+U
1alsmnOhgt7dkBAM+CEnjtbO1RpJqoWqRZ/1SVb5TWs5dfAuoocwLBwzj5xgUj1tG+wgWQ23AnUy
kwt5AISzsBA8myukRnRz8SD99WcrihCyXZfDLaZQVbdwdyDyR0/3SPtgWWYD9sLusH+3NooTG4tk
PxRUd4IKc37i/5H2pc2tG7u2v4hVnIev3SQ1y5Yte8v+wvLejjnPM3/9XfR5dWO1eNUvOdlJVaqS
Egg0gEZjWJgClaOWC8whFkeFCdwBOJvdfZei7td3AGnba0nhxFOLxaSR/C9G3yE6FUc1j0cq7LOs
kbD71BqsAhMYlrlqCiHehoElbNV8qDkWsCDE+ZR0eR6mMTQWJzerxBZJXdRLQvwP7qB1ylYt25Do
k664WRZaxMgbhZM0WBIiCCKLZqA4BDzVa4UfGqsVUi8r94lXfQjB3KJueav72rHgpdB0j4F3ZOow
+cjCIYaeJlZDoJb7oD6YgN6oLGwjxPjHP6eCHJn53WCJLinGdGPNi7LciKq9AvRcY3pBSbgSnP+O
BmO8kT/ItRLF1T7JFboqMf8nxZw2jKUDQecAXrWIliydzYA13SjXZh9WuBWjtTlVf6XRvxniBvQU
ZsLQJoczYR+ZSiNpVasUFSaZ9ZVvCLZU+k7beuv70pp15/phBibEOcut4mkBQONr3cryqp6A5IlH
uu7vK/VdlypSpQ3pQh7gJo/SbFo/7o4mKhLc7kGO0YtnI3pLPczY6Q+x8HafoduzAUPwAzgaPNZu
zqaODL0ZlQ63+29pJA3vSc77eSbNUADXyW8REe2F2LA1w85inWMjPApMyKWWeugHLRjonRqLgO9L
59bM8VQB3j3CK1w6QMu9PgQ0LIxNoePzK29lWBlpmlcz4PjIRRrI1SJroECx2C5uscyQGPYNnEB1
MsNXQBeL8st9NpZkBB/yvyTYAFuuar8cdGitOZKsewUA3X0Ct8oKFCo43NkscGGyZoHdtMGYqFK+
j+uhIoEutvtKKlCVL4qIDkI/ce7J75Di2g6vCTLWUQw9xpIARbOvOmqOq6Kw65eudCrfFbZhdpA6
jiLwGGT02M8ydRBRr9zruadQUy29zZAKb5mIxlSlSiuOx5yV9pY9oEBghttAiD8f6A/jTz0hyFpl
AnuC0ttZg1ErFXGA1FeO3H2WSmMPUi4Qb+w5/u32wp7ligYXEeGVhvHxa8KdN4WG4uGVhLadtHDT
zLexE8CrAxrGp/s6s8TjXD+YMdUxQMWinWN0LGozGQGWZVT7FOh3Rr71sLvBTF3Zi0huGkTnBXW3
hoDpQkAK4ZbApa2ze9jzOFcQ5Ij1XlH+amaIbU4r9YL4rn6fEV8mR0YfK/j9fgiReDh6JPIf8pDE
Jkd4C/qIiw5iQwSCXjEWCmKG6LSUSa4R1H/2yRG6oGEmL+UmkhYZmskAXBtxDrv7JE1rzZgGr94H
urYuDOCinFshp1PZbRONUxechcMoPa5wEEKggLcS24aej3g9y2LY4G4NSQ5YGzXAa+LtvtYtEsEe
kjnvOWO9MCFVlQuTb2LJ2t6HvPLotWvdpH69T2NBs03zBw0mpBIkYEq1ftIAUEakZhJtSzS3DlgT
MYaiExR/KX1MhkYOOS+WReU2DYS8iLVgWYzyVZ3q6eOYNkAfecqyU9/zcsaLSofXrIKfRyaP3b6U
mDmG6fK62YvlYzJ4yNEMNjzSIMvOfQEucIL6sIGy7JwpVG44yUpRGfuh3YeAcHCUvuw2dRNavEtk
vr0ZhUNfDd6sqHyjA4q9tRqhCTyrVdv9mE00sZLXPDAPnSS5fdwQPe2fxjZ9Uqdsq4UrPd5K5qve
vd/n9FZV0HaF9p4ZjRbvPtbR435EZVNXOmCneJkToLPAjQQZWWG590glx4kT+CjNY7XJRhvGdHOf
+u2BgjoShxqWWiCXxFp3UyAsbEqz22PgjnbWRBJxheudFDrnSXbrRq4JMfeZ1JmZ53tGt4+jdZa4
feH2GO3xD4LOO9PZfq/PFJV2XFyoNgKrGEH69QVWh15l1nrX75s+KmOAeCflVlQy08kAnEvDCQiW
lpV6FN3nFSkGX3IFsc5X9+V662TwEZimwYMXrxHUDa8/IpRSPWqgwft08uzBB4JENBChUjkGv3B8
yMuiuweGgqIhm4AePC8btR5wjGbvRI+1P49K7oMi45C51dH57Q4AUGyNwONHmz/jRzBSo3aSGHEF
VEGtFHeF0k6HQMCsk9IlH40BVG59FOu1mozPaERXOAEJuz0SiVrAtGI6BxBzaAo3WCaLqZvMITek
vQbgolHFMqzpXCSH5LOP7HhnTU8jlo2KHfVaV4u3zRN+aDV65+4rU59jbyPqIeVhsN3K3ZzHmIGy
iLlEZP5ngf0QSCpnGiaKA3kfDnXhjJVYGScri7qSaoGWYzCvQEWH4xIXBpUArgcgn3lgAkfNloe7
Vk66JpmwzsjoiILRs9RqMd5oEoCaErW07DwxnHGKnEr/5+4YRVvsDMHoIRJhmNK75teXoiSvE0na
K6mALXixru3rsCnP941mQapoBkInF54PwDZlc0VlUnXof/ch1SyUNmKnVwLJMY5HWgUP7R5QBByn
dGuluMMQD6KJbMYeZfNgZTQNplGM8h7TlTIg+3Rgaf1OKq1KD9GQhyZHkxfeLKh+Wd94Yajw35T/
8gp1jSivpb2o22lJVQPb3Eih2IDPx4I365hiDGf4xx7+miYTioiRp1W9mUvfYBhF/9jauVZSYJDf
P7sFFwGUWGglevGAUmLK1xoSl3hUINMn7Y1U7So6aY2U0iSvMrxbkrjMKfp1sTfELJrJ9oMJI2ip
AOjG+x9xe8kg9v7P8AgwIG5wnbG4zBQGocNHCJK8Qo7JtAdgnrlSVBkbbQrdvlVDjlku0ZxjcICy
IX+Catw14wDKnwbA60n7YTT3ox4cRlQASa5YFVZ9iHvfijhMLkka3Roo+BlonwPE3TXBRFBqtQHI
4D7L+j9BgGFFoE3KKVosATu5zqKYCnlNyrjiaO+CseAWgPnjdkUbDNuvK2EdeBUO8HnoEhQcc+ib
j1xOLdpEdTdyLvEFTwAAD1zimP9BjyyLjm6lKQJNbDMAxpP/1HQYY49Lp9WBRYTY5L7O3EaauNVQ
P0XaBXMEN6C5cS8UVQdAOGwCUIOPUq86VxYqkSO8ZSpIFKOpE3bP9uX5WphPEjzQHn3VIUnHol3H
Rc/rFF86Irze8UNQCxQGZ7H+uJb6vsn7xIiUvZmk015U2i818BtaopOS41WWKc2jwmi9RWlktoof
lApYWhzFibL3Eu330GvPo9Ychc776/7hLJLBrY/gAyE6MNOuyaAcjfJpkipotJEB4DP41mrOlqyL
Upw4Sbj5CrsOG7FnETjAwHLBGrEb9Z4CURNqX5eBCZ9s0RhFlfJXWYk07R4VQVjh73/MGipy8BoS
ppYMlWWtNAw5aNGIv2+Ht2xKiIXhNpkHG3OrdqhCQ+PQgYncpWEy8hPVJNQAEK4DRFnFiHoxvkX6
EHMc0iIRdFyh0DKvMjAZh5SHFfR58EFErVvRLsscZb/eLMzw3xACODiMXEM1iR2Jsdq4yDOt1Gdw
zZLKWYq4x5+y5vOfngyOH/VSrDqBW8fc37XSiVOlRljyqWMhap2KTm0ZXbnuRoRApM1KKXr65+Sg
dyJqcaiM4GF9Ta5tvAqYboGxT4yqJZ3RPauBudb/OVQH+m7+E3zM06IKQ2Zqyx4g1KGxD4RyP1MB
CNs/Tt9Y6MNEZg3betCUwML7WEmq54ngG/uuCV/waPFQ5TM+y8TkTeLdXg8zIaDWficp4bSvRaZG
KP96ZmygqPhex8I5x4qjVHVDiZcgWCKkoZ6Nm0HFtil2Q2rVt6JXBIBw1nOL+j0Qen2MtYtAduYd
z31KN6s+e7Roiq2I4wFsliM374pZ2H0LNEyTd7feBiwIVP6XJyyAvBZe0JQWHqSgpHgHKa+OwGIq
hPoo+SUeqZxs6DJXcApYtQe4bvYt3pcw46mE/OQoDGjmy4FbFeFjnubZLjNrjuEuOCI0l6HPAl2m
aPNhOWsB3N6mYo+oIUBlngiS/2qg0/nPfXtdpDJXytA7ggiMnboOY1nzMrmUgUwUFSXJFLlaSQj+
/vHVB5j477ZtiA+xJaPjZSE1fpECIL4xksSOLIztJIKo0FKXBudfcIQREECvYA4EvfbXGpGHspT1
dYPITg07CozgDvgfhsmpaCzK7Xv5M9wDHPj833+EDIDdnUwz6AB1EaXWEyYsI1fPAtO+z8uNdgO5
F04bA2yGiAQi22Ep9ADi8wF6tG9Tn1Se+oSFcXat4Do31Gclrzmi++6S/hE2oIoAHcCcGJKIyMGj
hHrNVTEAgS+MsPnePlywy42M9NI7OXkXnff0Jdn551NBe0JpcnyjzxGnbe5bZveoM0rSt2bqiXUI
6vbFfXc354kMZLMixCFb+jKSHn84AmYH9G84ZkK/zvDryZhptvRV39aqfdxuYWyPu88171HJAj/d
0JqDth86k49tGcVFoJx3u5EeXIG47mbVkZXjKHT7vOawxoSAN9QYO+jLvhwjC9TswCPSqXldf/E4
YltGWRoKU31Ajg3DcOLMEVARt4e5ZH0udugNzFTCcb5cWoyn13I8TQcJtF4Prg54MLp+RnX0zOvu
ZxN0NzwxocXYeHqhf5/SZaT66vD+m5zJ46+3t97+oJR3Sly25qT+D6XAeBMm5ONZ6SU3J+ZnRGho
J9Q+3fck32+YO8bF7hRurSDJxDoGncuh2Lz/FsgGU39kQwxnRUzyEZGXgBR0JKf1iXN0jBf7j0QR
b2gYzpibzxgWNTTOKYqaK+eY1M50snec32dyCDe/z/hiHfs5UkC2KWfMyPcUUUZDxM9xw7EnNmN5
Q4ZxjthljOzTzMbrIV4bh6Oz9ujn/VNadkc/RMW4wM4MvTq2wEpKGhdO4uCGpNuZoR2fo0OwKuyB
kzTkUmQc4BD7np+l2Xw48qqxLxZBe/lACV2vd68c7uaDuNHBH9wxDjBssds8tlLlXLmVPZ/UsK8S
++V5ffra8SQ5S+oeLcb9mZOf9qoKSbagY7uBre8dmO+JxxRH+dgASlZFdVJ18BShZ+P8/NUT/zdH
bEwNiFU8th9VKzKjL1KQeD2otHzpSIJ2b9PlenPO8Xy7qh+uSI5LLKjyQWdc7S766j3dCgPJjut1
yRMamzu+YYlxCZZZpbmn4XQOhwj1OQdRRU9KXLmCe194y5fu3zrH1q4STyiBtANKpXOxH1x3IE/Z
7k9CnJftmu5e8zWH3nwN3dG7b3v7IUSAJWP/SQEhKiQlF/vgbp6eDPrYkMf92zqhJuUe23wh3aPI
+Iy4nIbGQ1rpHL7qwmqgznp9ss7pL1QayH/JHOMs8sT3I4wdzM5CIxeDgLvN6kklpU0cuoXH4Nxa
7BrGGz1hPEaZe+Eo6CAIdPz33eHB3TRkOtZ/6PrrdPoXkkQeBrE8UmfzC48dz+08C+UFtUE4MyMw
uQZRT0Fpd/IWvQ7mr/uy/H6HXB/bNTEmnunR39BJcQmr3l0ug23Xq81qZZ0o7A2C5BC7vYKviTFB
jSV0JfDQZmIjBdrUHtDWgb0hzhGw/lvKJXfrfK/JMeZd1mrVTT3IYTdcY49U3pYEgEa2cdijjwgr
5R2PUPs+jzyas3f7YXi+mo1xFFbKGcWENHNytLX34jMKiffJfBdo750bEwYEWZgmA3bTIpDCywjz
Z6FTj+42c57X60nghr23zv9alIx1S5FgSX0LtnaXg6iT7EPcw9Du83R7h13TYMw6q7rQ79Ggdy57
270EVH0UgWNN6X0q3672nuQYYx6rIcfqWLDS052IAUUn90lKxwe1pa2EgIOn9LOW3aPHhACGGTW6
UIOerTwcqnMskOmwPp24XoqjeewraJxQvavk7yNK/6peeAo3i+UOG2wGt0CIMeklTiceyQVKAANG
5PTn0tmqkwZPvNXbHFfBplYFy5KxSxLcHF7Dj8DtHzOeU+eci8J4h86PazTTgqHxdNlFZ7W3dcFN
XgskFnYczV4Ib69Um332CFpopJMJWq8HWyAH4m06iifWc09OvHPiWCqbHjQCudFND4JDU0HUkPYx
AB379b4RfQ8X3NMGxh8Eaa42uQkqr4dL+/o+OhaZim1rV/r8cHx2qE7eEkKOwtvusBMeDjublg90
3ZO1/d/el+wghB7mQF4bZsUPddKu/sJMLgKrtc0VLU9jGM8Ri4nZTiMu5p6mxO6jjUExbpzpxKY2
5xg5vlBhnEYrRX7d+J1y1sjOLjqCMvif+JnnmjhGps669OOymmpgM/T9rJYaOdjmyiLv7w9nslph
o1VAODrDMwKVCTWyygtiQC4o58vgOxqp9rZFfAz4ONqpCw5r+/O+jvIcvcpEG7WcV3KAueXzwX4I
yu2e0sygtvRo2S0vgfddULpjD2zPn1jKtZjMksSl4r0j5M6J+7AhTyt/E272BXnj3pZc9tTrwzNa
r/HLHuzZcMcPB5Ie+g3lhr48FWHiDL8uTa+ZQKWl/TYdCZJeTUqI8KKt4CmTFZcgx3+x9fZ6HC3A
pkFLpodX81T69rrlpoIWHn5X/pjthaiCvPH6vp4D+os9IeM12N7qEAfOfRXkCY9xGBP2RjS9NXvJ
lEy7jPPrC6mgay4YJ5EWQSV2HbhIX3OdmNuwoLW5UdHm7VpvFu8O4xwMC+6U1fUIsMFvmXW2+Gq5
8mcrE3ldryN6X2w81Wbn4yMzwYSlAlL2AcGtZLvioXbLN9xkvKTgQrb/SoYsCE07ViEK/SClH2C1
OsA08OchXo812fhb8bnC7vRVCfP94j6HeE6Drb2XmV4rY4H7REGZ4+DKTkA3IV5E6cFwrFXbESqT
F9rSws4OHGfMuV9YpE85i9s4na+ypHHUiZ6Fea21NvFeQ9yTZNyH5CEkbSvQGWdDC2w8vxIXOUuE
WByOvkfz77hgtoAt1dOYKkOhnAv79YDu7vZJO07vSLb5NsIsbu6IEwxos+3/uDvlDk1x5fwA2+3c
Q/HbJM8zFYWT6+ByxbgQDCakqaiBTE9fL8aDa8tO3zooRk2Os240nuXNP3dPiIxLqeR8jPX5yfyq
SYjvd1NBxFVPMRjloPmNkois14Zt8sjOV/8dsizGkJ+oKcZZZ2ECALrwKBVJbH/5Li+EW3bIGNlH
ayrqAGwlM86HqOrjEcFxSwFqKJzUmvKCqmVe/qbBhDmdJbUj1kvMzms3/HKQ4iBfvDrK/5G2+ZsI
E9uUZloNkwciF/s9oDXdpHTzSI4+pdtstf6X75e/yc3G8EPZjbjH+NWIKGB3uBzSA61t+ow0Ikd0
szO41YK/qTARja5nCjYng6nXQiSYzOV5iFko936fcUZdI5uxVOH3Y/J6UGzpeMQbbP3JIfPdRXCP
jH4trDLvBm8YvhWg/rDcaXdw8delsZtPi2bHMiT9no5r3GamS7+iF87luXxP/y1FxjGNRuqp2Oiu
nN0HF3VrB83JnFDguwB/j0PGKYVZqQeqNnN4wQU92Xg0nDebR3/lkDfI9Hn7ZdlfHOVgYT+QhMVN
jSGseaTne/fAtViFWO2BPzXhSRSQaB8fkzfxL/Wh3WQOVhV5z9Fa2vxzSaK/Bviu83Q9cDgYNgct
tXyvm8Tz6NUTIMMV/82PG+zAiwoRNb4plPe5aY3r0JKBk48u1SNipH/YADazPfdKYfge/ZpYwsdY
epVkkiYIsngu6lOU+ETJHDP/dZ/T2bCY85zbLTCthf6OeXXKtWiN0BvFvC7l8xCfdUknISAy7lP4
Tjvckph7lv7Tx8awYWoDZm3KSkZYH5NLskHW/t2v6EOCGqN/fNhIuyeBrrL1/pdOersg4FR22329
Pzov3eqZo0yLDAN+CSD380Qui9MXA2NKy9pCPqsBUgZKaWs1b4xo6ebWREzSYcoGANOYWboWapKi
FdtvfER3Db0AUiUglkH6gsQ9QaJ2u+7XQ2TrR94q3wUnipn0GVZIUQwgtTE3uG/KvtpWMsiqCsm7
dTdggJ8boc8awRwnEA6AYYWxUuz3udmzM3SJX+YWPMBD+d798vbCdvsF6EHt0b6vOEtmf0WJuRRi
rfenIgClyt0ZJDpbTizZsb3etQQbkd371JaeA0CJxIpLHBu6ttjla3lSqggQ4NliEpNDmTmdTCYf
iREFXTJPHVUJdvhOR+Ew6KRbvaDEZXNUcymzj44VcZ6gmUeD2QMcsTC8Uj0BIfNWPv4e1k1IwjUC
dENcpRsauhm1pwfehPpCAwi2R2KEG7h2gPnAXNq1tkaa2EyjmKpnpdpE1rrtdSoCd4BGT8XK0vft
SFtsYOShty49xCFrNKZBV9E2ybbJiT1GVgxPss5IjDvdTt6Um4DIv048Xy4vPHjmDuR58hXDdmix
v+YvFSI9G0oFhOxxpHb5Ic79BdVrQh70jU8mIpD0o8O/KQcpoL+wxKm0la1IRrLGyLz0yLtDF2qK
GDf58UGMe4gkK2sSQbbOteMfD4kbbmv67q8FYhyThHTHyMkDctI45jT/KmO3V1QZ7+D1gaf5aKA/
JyGxnrCU1F4/r+/b0EKM/YMEAKyuJS21wHRIAJt1Hjs7CwBvtxt26ibUOGHWkn+9osNorNladS35
oLOLNq0zWrTrXeuokvpMnSSzMWtAtti4dJ+5+2qki8w1FjVq6reYPjiD5uRgVrAT7dz7aAaKFdLn
+7Q4KnKDk5L5saaWhT7rrLztPxS7r0nkplTTyXGrUEe/5DY3TXtfQ3SR8bdBnwjRlEKsdrURnIEe
M+pzlHDBGIFbjFkAjPNqAMFjcZ6EuhaSvPess2IrJFsBZniwp9VE/Rfhodl0v7RV/RLh5akRQzv4
2JqbuXFMfRToNtNT8Z6QqiFxcva1FW845pZ74K2IwNPFUKYI5hmlEpvBTzE44J2n0tZr9Amnm1y1
ABbr0TZJXIOHs3OrT6AHoEsMFs1TrzrzVhgyEZipZeydL6JzPgcUlYsL77LW5yO7NvprIozv09Hy
aRUViLxeHv5y3Z1Jd8h1uZItdQRrZlcH194dbBcJa/tw8NfBw+PbdusEx4/j8ahs00e8xk8AZiPb
bejS7faZfvCSN9/lvHufOJ/LjwemH06+7mn4RDslr79/W8ied3ZOLv2hJOfVcYumqWm7lejkrNEq
AJBTwrG12XBvPgCDNtj6jZEog711p9DX5AorGVENnFysOdLW07p/K0aSrPMH4Y3Xw7J4JH+TYxMe
Keaf46myvLNqFjTSL1rJmRtZcI849B8UGE32AWeT9x0oVG62CWvyXhLRKbcltWhw9N8KMrxWVOb4
/oW3L4ajEHYi8FTxmGBHVsOyMIcsz9Tzbu5LKIlKH0LiPpEV+o72UKcXdMzwlGehuQoxBGLReVYK
Y1lss5NfJ15Uh716xqNCstFQivac0vYejh89yZ3WMRDLPX/cV5jvki2jMFdEGctFm70nqQ2IVjas
piYu1nH85dkb93DZfVr252e+tvtuXeYwm21G6UkHonVBTv/8GrxmnjFurJrqhKbEd6hIBLn5NrHD
k3/yHjdkvGSO/kv9LZzvs77gI684Z2xVFk1tjMpWxXZx8l4oRN8AIIoXBS/Y4xURJlDxI7lOcg1E
bOvhXf/rCdN8wwpFtNN9Xm6DlSvpsb1WQZ0ZQyV36tlcBQ9Pj8pW+LxPgKecLCbqGBaGJ1qgMD2I
7w0SQYqNiQLME6j2ftj2l4TQl57jzRYmKMAWFlhjwglLHjAKee1O4zEFIk8yQnoHaZ5h8J1zfTgT
gfpk2D2tDLqiGn0WdyMJM/J1UjYcphfF+oM+k2kT1AErvbRhNo4UDYhzFcct6RnBy2ET08dfxCnI
8eU52AYOsuacM11Ijl5zz5gmIrQsjLAq7dxdwg99C8sc1mi4hFN3Hn/t883xqNGA14aw5PquZM4Y
It76+M+zzGO0f9vug7Y+b3QBsyNPhuOgqWT7Nf6eJe7bNreKtWgtP+TNmKQy1jrSGaCNdgwfpcDX
5HlDppPjpI8f6j5CCppa/6Yf4lrOjI1iKUtnTECcxxPGzewznN9KRQvmm8HT54U3MSghBYcdLMio
YIL3Wp91K4wyH0s0zx3M57e026wSsp8odVCPCO2R8LqPvvMXN979B0EmI5aHvtFIEwju7MM7SoHQ
oSfTftLtFVpM5TlmpUhAcKs9i671B1nGbnO0K6C5H2TRX3IoXEndJEd5/2mcd6fkfR564hVElgKv
K8kylmpMaW5YAyi2dGe78Rr7udfDr5xaT3+he2jVoNL08fJSHWJI2dqctAdjYzqJox45Dn/ZfH6w
zhgttltqUpDiQ2J0vBzcbgMoLAyGrML9fq9sC7LNbXQWif8fddilUOlKBozllgB8l7QYpEvnFf1s
mKvIV9WIgFdcn7jzVwsR/xUxxlRVT+mGrhZnPqPHLju3OdUMUolOrD/oMee5upA9uzYcxkRlQRHy
opipTbTL4AfF57dtjTbH01wVte+7fZ4gWRg44PQIPtZ3wWoOeF6YpEOFDRM98zxPj5bH+9QWRqSu
eGNn5M0Ky5iUCk7PPJRbQo+ErDBNhGG2P7DRzAltg3OtLTRcXFNk3FAexHEYN6CooYD07q7izfo+
TzxHZzJ+p56a1Ex6UChsV1tjfdDRcY5bPHcQ+fCSncv35N8mZzLeJlS0StEyHFdnm9uayNQ+f8cH
j6a9ElbJOnUFW7B58MvLwckPsozLCaw0kqUYZFOyOxwwTIJ4yN2YNiF/yL638dTbrn33c80bxuG5
GJNxMQmQrZMxB+HXyw4hietK8DD5i+CQ1Z+9g1fl9lmwM5rQiPJ0dT63O/cJizMVNUndqz1I5yR4
1KlEMLGAy2SPNknnw6HPSPWdzH/xBPzpalgs0HQ0I+SyQVScR6pwtueUPm1Wnrs6yuiq4qguj0XG
1URBnFhqC1ez2+k9rVAgnivR/2Y84soIWUDLRqvMOADm3zl4C57lTx01VOGtJ7sTT1G/2x/vHBqL
CjRYkqCLsQJ9CfbaQ3zsncOhfa32kv17M0NPkqcn3I/7o0wG56gThPN7x1i9AWIwpJR+xr//Owmz
abPI76Wpne1VdiSC4yQxXe0xtRs46tN9UgutSddCZvxQk2mSPrQQMixUIOKHuxkIISGFur4MK8xo
nr54JnJbt74myXijDv1eiZhpeLMUbvIA6Btxg36GNRVsy+53z8kKjTzWm7CveUWI7716986ZcUhR
5GtV0oBZLMWwscSNNoL95CI52a5Kj6C/F33Lcz0IXbKwo529e14/07e3XwhNJvp2RIvRfekvdMpe
i4JxVEDAr4JCxC2gH0rnt4CXy0ZadQ5F9qQln/eJ8SJAtjJiikUdjDXkHn8BjMVBws2tycMmXEkp
kf+8zeOKxh7JDHtNP5APhqO8/wGzdO9JnwmI9CBuszFScan+/hPzUBYXCkzXomS8Uq3kSu/3ONsI
Zkv+YMr9+OHcZ4DzWACY4/XrZJiacBAneD7N37kliYH4+RhQjJUIKBsKpG9XeIQ1TxFxSmstkuyF
YzqzhG4kCGAGXQR4GcAzpGv6otf6YQRM1vMOSwF/q39oduBQWHzP/6DABD7VqDToCQCFODhhO2zX
2qNANYG83pfkcgD5gw7jdgB2ZQTKBF0UKeqPzurx1y+Jzs2XiFV5D/Zl1fhBjHE4aYNVU/Nz69xg
pXXxYH516Qs2T5Ehc+rzuGvRUMsDRpsN995JMZ7GMscuq7HQ9Bx+XWog4wrblodhvRxC/mCLcR5V
ENWelJqo5JILUi8PM37F08sLGp14uUee3jHvJnFofL0eIcBdmNnTTrUn07a5USpP9xj/kMlxBKBe
Yw4XL5g1GkSS/B4cwGOE9le/tmzffuX2Iy7TNJBRwZYC1fwuYP0oR4iRhatIDTTMbNnJAxwhLqKv
fodHzPqTW/CfjedWKf6XGDu4VWmdkPdxpOFVYR/sBNijtkkosCu4lBavWEAc/j+22Bmu0hwl2fdD
Da8LDCJZJL+seQmF5RfnDxqMqxgrbNfSZO87hfHeBQTNEyuZbNeCnax47oInOcZd5BO27oweaFnr
g62gL8uVN4OTvh1bXruvsmy5f4uOcRZoCQF8tizAA+KQ5tLU+8OhdYqNXVP3/PT0tLJo4exX+7d2
fwSKxfbr65RQ7pzJ8gv0h3QZBzJYXuB7FRTTcrN5itzbuO1G3vGaCBc6/HBt/qDDOJE4xN76yPNh
ALvOBogVHmgzSke2Qz4ItaMtfc7o6WTzFqsvRz4/6DIuRcJmTk8Zwd/r5XAx3PYwnY4vs/pQ7uto
yXvNbT5Y4zXvq2Zn8rq2KxWvT7RzvUU5NAfeMtIjwmu4US8ItBBsfu7s+9fbrCOsoQNcFOiOMnKj
2PB8fU/7YllUVapoZ1XPAfMekoHXxjNHMywFbGBAlyDqb8C+Y9RDy3wvN8SZJ1JIpCL0Q/qLd4ct
hjs/iTC60bVBImCxs4b5dGK/1x/xUaSXXfp1uGDzlIJUjz3u15TnWBafJD/JMqqhqrnuFdNM9tDY
QTgP/teYevbODantFcCgnIZuoZSf9w9tMUvyky5z/6h5Own9mM5O0wC/32BJfz0+7p0Xys8OLinl
T2JMuCrmZtNUaaGdp5aa5TH1ttNHkKwsm4dIsWhpf1O6CVqbWus87AmBOC/ohVZ+xftt9/LFH89c
TNP9JMREp10aa0E7E4pRCbI720U+3cWQ4SOmGGRX42MZzT/4fxsB+viuzSxSzUZt5wOLiZvMXd70
65OPQsEVIHP5YDdZl9R4sIJMZV/MlYFyt4E2rmIXPPkRsW1ewPo99HmPMeYOmrCcEht6QRG5+stB
Q6r6IqzFkkyWrf+h9vq1sFMybvHP6oRJ25eXrTPRX1mCpmwKeBve9yxe9T9PlvE2ilIO3ajge1B1
clMHu3+fOmet9NxnwdKJYl0PcJtQAUKDAXOiFfDg2iHtQUjIyMG6yAKpXR/1gWeesS8Ffj8pMYeq
doJpRS0oTc8In4WEGsRyO3gatIHCnc6JbAJl4riYJav/SZU5WEseU2MoB+0cWWSM7XQlNkidTY+o
98xoWDKyv5+8esv8m6wyAYLTRGOyhlXybKdThy1uTTVq2vlykQC3lKPhkUgkcDXLLtZlZXvE0ZCJ
PdF2nXr2+nNccZjmfQBzqNirgjBRVrUz+jG9D6xFks/dWgyon35geyf6a3NMEozlSgk5lBcvsJ+s
M4ccVYMgDAlYz2q7fEWFVnyz6H7fIvWMUIMYq19URF9kcJp4i9sWH7g/STMnjYSsrycBSBd/ZGeo
zqq80dHq3nrog+tt+c18sywqersY3eLJNsdMGUfqSwpuzF3FOHSsi2Zb/UUrA+NTYCARDVCvh8Nr
/uSfgoS8vPS/AtQ1P+/TWwB8s/A2+5sew3CaYp6jNUBvFxWIzwOJ6nZHPAwCFr/Qzoz89+j+D2ff
teQ4kgT5RTCDFq+ZAAhQFlWpF1hVdxFaa3z9OWrPdkmQR9zM7GzbzqwZA6kiIyM83NfLlmhr6SUE
Wsdb9Gj9soR/0dmmAXLIiyIPlYkxCru9FdyWDUfyPuUUoW+JFYmn7FtTWlZjbaW32u/9XhwIgDtz
5+zB2b6xOwkf4kLxHHS3KXiOtxRVB+k9R0vr6XvAWTuItnj6kxDDWA6fy2pjMfZFme0Vm/uCSUyR
g9i+T3h8gWtJb2hD/kZP6/71XVy+r8rlX9fsrZlFf7TLx84ABXIBoJZGz87tXPcZeDViwMRObfji
n3gdBZ1+FZtjGmdfrryF9PF8l/1ydUyc2Y3ByRD7KPHdqGGwy4DthkiCR3ed7ltsYzDn2P5aHp3t
cWkQ7/W3vgTQACADlR4sIGFOZz5lvPQmnwJxeJCPy+jNBG/q5FNKiGt0WlsyJ9U1wy4monJSvwtm
UfgvEvqUuGzZCh/poBCpvcSpGdZ76D37Wkd8NiMZ/5VnGykoSAAXGIEJ1AqDdQt2+2TXqLTpbCaq
Ka+eCmbrDUbukQiynzNDeNALgMX73xB+6yJX2Y8+S0d9xoI5ccfyIlQ2r3kktmtt43BGtmfs3KFN
fXo+b4/CxBujkzCxH2SuVeOcOTGsXiB2MoO/DGdIqwHhjEmJuqPchj2dWWBZ9nNozEfP6hvjk7so
8mLFizSMOKkBNj6GEau7L7Jw6KEmnUPRiDnwyUza+wG6+3aWJ7dQLqi52KkZc5J4mpemo1KOB2P9
T7P6lgND+MkLu/7jkD+KRAYRPjEPuLnLYGavihPnPEQMOt94zLnA04CnP4fdWJrMjI4x0EbakqM1
s8jjPN4cDpwK9CWp0DKBwN4dtZlaqywDiV/n5KrU3KTb7CgagakoJEK9cGvQxgCih8a7mR39u2Of
2Z1sriJTA8njYbfk7OqtWIHjntiHkgoWEin6acOioBaZZFGai1Oimwt3ESB8Djz7GBmaDPBmsoio
8PJ8Nu4T0L+zgW4bTATImaZuUmLTTpYd3jnlr5pP1DIkzTeKT995DOXjI8PWRM5mYp/7nT6xOXFP
alM5iScKAForf4SVtpfo8jxHeXVfUro1cpfRTMEdis4754QkWWzh0lPI+yrTG8+QX8IFmm3UF8Ux
JGg6gRbIxA2MIt8FNBL88I93+PglgNZD7Ap6i/iH25tIy/sm4hMZwxUcFPx337uRUDoo9cRBh83S
62Z22n32fWJwMr9sLhVe3EjOqSusqgLYuvlbb5TNYBTbbXyCyzZ9ZAd5a8bufZx1a3cqap00WeJg
xp3TKrys3sNtSmIDOjbhp2O+hf4IlgPKYHy9aC/7Y7Q/7mf28sOT/b+JViYnTI3SiBNK1TmlEmFL
UrGkMph9/IKoBg77ubH7/pFxsOhXhcSMJkMfaZKBqt1aq1jRY04rceHsg5dk7Rg9CQxgmqi4BE04
cKYdQT/ygH6gj7gZ6/Po5Tpenn/HfZwz+Y5JTAlZH4g3cowDOoFFmENXy+DXNNR93TcvgVHl5LKS
jec27xtpJzYnO1r1GA5KRi5z0qGdoZvd2oz+nEw/JCd7Q9pPUSBfsmnxq2X/tresyFC+vnr964wo
dy6yHbfy1KlCjA/wYggD4D0xuT00N3dLp0ekg96RVxdJwOHU7Lz3eCvScKku2k3LkWVklHhKipa2
rD6DZUGXOUf0ua62h17t+lMmmYhe6ArGqfEpZWRJ1VvHUklYtUeXI5AIbNeM/XwRuHFok6FroObE
22UcOxodbt1KpraV0Ko45YhT6i38qNEtcazB9YAC0d/nxu5ebBCYHm9LBVrZMDoNKGNWiVNNxiaT
KtqDny5ZMSp6obba6bmd+0TnryF0SELpHdrl097Xyg/qIlcCBCREjw/1ZxMivSrvpMsXr0dGc7aQ
8ldmyQTus0i3ZqegwSZUUqQ8oTiSIWWGuRQDss5N2UTQTl+fD/GR4xgVxfAgwx88ApDbdQu7VkuD
FLaaEduxbyxTsNpz+Hka/QUBmCcjnHEU39Id6lWA1Xzj2LSrms7hix9d/TcfMgn+UjVX6jTBh+Qy
EbeBtpQdg6eduq+VPxWNa5K1M7oG99nDcZ6vxj45rmHWs90QwuTratPp2V/T/PzcrFYrKwObXblL
cIpluut/TmVO6rMRn7gxK5B/4HpO5pO0D08QymmiJECuCZ1KtyvBcWmIAozEnCLXqDPwV61Yd5dV
0Fsza22hRlTutv6H1tG2WZSa+Xwf3Mfe41zgCkG6FKAJ9B9PrGea6NV1CyeqEGeToEfJp26gtyYP
Tt+/KZr9yBzF+cMBw6yMpl8e8qWT6U8CJgzTWoGwDrdrMLVsmszFAHflXfw8FDQxJsgTgnRgOqeZ
43Z9XXtnXt0CZEDjwBbCfca8yyLIbxOTobEhgw7AcV8T4UNdCQPFBPfZUuJXUmAMmjMTbT48b+gn
VwR0loOS4NflXL0koahXpD4wHeeB2XuV3eV7sT133VuJ7F5G1ZTy+SvfV0Qo3xteDwbFaAYyvAbt
l6LQBj3KipvqwkCy6Idpqa/5dEjNVt4ogg4Bu8Kv5uLFMXKYOvZRrwzqdSL0TqZQGlfJHOh7Ne5Z
MBUHWgjRu6ggYKwSMtREhOKiYCTFIndpjyda/BK5MyHFb0A6/QAQKkiQYYOa5Z0SoVK1cRnlkneO
E9TwXlQw8OuI4xK7/apEvf0awDytl69DtuHyjyoDUYYMZnnlO00poCtBHuiSGYOlwFQrWgtjblM0
UuZrOORn6ApyLmHlg6gR32h6g5WMWDGhf8MtnLWmUs3sQlt+ywY6bH27diAXTjhIoC492XTQof7X
QSLiVG0c6qLWHhOBIbWve1+tqwfO3+dH9KG70gRNVAFpGnf1JLbyytqRWEf2zkxAvV1OgneeqkuP
RroJRniKA6QbwCMm5GUn6pEV6kZ2WIbml/JlQZdSr0zNat3Z9M6DSxLqzSxYTMY3G7hMJo475j1R
cXsRZ2zYcBnxB5q91ApLpMK18nzTbPyYMhFJj2qqJ4wlOceiI82hkmktzp2ue5eCb4Ebg2ylhiz+
NAzuUeVKhj7wzxU6kzO75/ToCyuc/0iB2YcdycJT4VKe0xlpOcZBLSmDhvQoKbi+wUcmY2sSTUKD
a95aZi46vHdGSDDjL5wlxC2oRt+62DiDUHTaxv7Zs5l3z0ydlzKw2EuJp/fWyUmGpuqUhMyf4ScO
PwN2owVoFmAt/h+DoDV8h4gthPbqUWd3Ei+nXScXVVv456h/0Y44PtI6PqPMUPd7pvbB4mMWPzIy
8IPOqov8qDQz9+6DlxmIZlBh4cZrTmR/458rH+gz8VBwHhOccwAMGloONFVo+lM6b6nB9Ks2B6PI
uiFFvUW4yhSHLjVz12hVkn67u1DaOAzCPrMMdsGhKqg0k4S4D+Jvv25yLRWdVw7C+HUV2nU9Gvi4
mOCCh42WHhyWNJX+/Fw/eCAruBFQERAg8jQyu9zui7wY6r4avPgc8OsMehhfrGPUgQ4N7HTjOCZc
jH9iC4sTiHdOAzrkxJ1DMNwnOCECBjUzEPOwqIBx0zDQSYqAbYQwOdeLBGo3L84HIF7wrnr7VtvR
mXVnrpUHB/XG3vQsyND/cgLYS9iLhusOyMnnszpu4ttbYxyQiNgdkZQMbbPbSe3ihFNcLUnOYK90
SYZE+/f/R3faGBU9szLZK5yDrkrZLZJzo9r1vlsJZrXSlkhWu4WV6uKKqWfOzrgXpgYFDRKuKNrw
6GadJBWA96gYQfDSs1NcKs/sqtcmXT+fuQdPR3CJXtkYB311PFNf0Gonh43Mfq94wgYr+cQs2FXR
oyr13NajVRLxuIK7ViC8rk3mz9Fil6+aKj0jlqh7A9muBLzjpcG9MrOdhI/W6trW5JhlTR5E0lCm
Z+VPW8DvEHbleesweGWqnfxe1rRszCg1ng/wQZ4VgecoLY/Of9xKv0wUV5MZ1LmQaL6SnT3I3Q0I
IJT3MLEbxswa6gnrptTj0GBfhEseDQT57Co8ubXF7F1tzUifPhcQniO5a6mAY7VECnQegteJpSjv
FfNal/ZQGmppNz6yLcsekQla9HrEiQFN66Mzlyu9333IUeLyGo8VwunpezhLhMbz2zY/e74uSZ9p
shHrmYfIvfeFCeQQkEGQeby4x3D0ar6ipHQYRxvyM9i+SdcdC8AM/APbSlZvJ3v58Hx5Hjx7VBC8
QWURVyGvInNxaw5oOKFn2TI/Ixna1EThaGN7xcKrt7Jd6sWBO0hozNbCEPHmXzlfMHOHbfRDtwca
H4DTrCF7h3hlSnsRBHEbc36H8XYA24ESzUX6H8jhljQbp6TaS21l4syNc8/ppd0anXgRpWtZoDdh
dNOd+PO3+R0co0GPVhwYZ5YVGjtMgyoLkJwcJZsGjfV80h8tsTa+JnDuoTs2PfRZ2TgC11b5WRr0
zCFtpy7CDqhiTdOTL7+iUsnS5xZ/mZjvZlnmMdMgAOHAG3i7zJEmVE5e99Bo0oXOTFFXTBKOcLyh
XvLXGlRFOdGMhKEOq0eJwflmnZJWpMMBOBvir3qZJqi8feUBcrh8ryMyi9BqVEA0yKNFRAeXli/d
T5LRDpCR2s7AfuvTeth0nlXElvzNl7RhrDwzMrxNZpmz7rUH8JAcSecwMAUkbdNNxHW8rw6NVJw9
gbBVRKPiLYipm5tF2FOh/fTTBeu8ap4ZfvTSoRN1sT0KPygySRJI+2migcHNFFRDi60A5Z0SgOvC
bgCj4nUWT1GUwhRL63RPWdWcnmom/qWEfPbzRfptvpss0s0oJruSy6MMip5ycUZLu6/pCgBHykYA
K9ewLi/DN9ASKAE5i+QnjYj7Mah2EJicsnB6qqhWGdBwWPLsotd7WQ8qq00W2vASsWuRMdLMLBzq
HSRhl74on/5ByAxfeHNbKEqisNwb7k78UzmGkq6hkei8dcyqWAjyUtb2Ch51P3mwKGKd8V9DbVGG
u5AzB8ZyQpOXaLFN8ebOtn2QGWGTU9EjwwKNEh5+xVsyEglkKsD8uswNtjC5hvbti/dde3qu8Ujl
4O+XFthXT5qZzvvezsmmGO/DK0/qV6UgF6pYnPllYG+Y9129iHMSIZe2YHWQd3pERmhLhp+MRgZe
r0ayKBa+OVf+l8Zlmy6rjKYBRJcgQuF+XwNX35E3jAdiMrU4C7v2ovxJt/m2sj2TAwmEe4rXZgKt
mV1PBzPcukTZSItgy5IV0vPniLxRsF1CkoiFBhl6DVn6GgLFZ0kL3vR3wczr8UEKUuWuv3TyMOqL
VAhLRinOrFLSpLyM7dryMTlIC6xqaHpz9u6jn1t7k5x5nnWCULiYGW5XmCXqNQJBZRu0IKrumY7t
mNxW3EVWtKhnPPCDMs2N5Wk5UkhYOYbPwN7Yh6/uqpEOw4e4aVValkSuP4beRtyR6kG4TCVsDf74
/KjzD26965kWJke9DWUH2x8zrVk89V3aIekMNNC7i5NAfBM1OV2w01VCpQ+HlsvUSFeCPYJTnn/H
/2NvyiCTRTMYiPkmKyChEtrG8fgdq/xL3pe0WyV6MZi8jNfnCseFHfUeIztLSH1h37KXLtdzJFq2
1V82oNofxYrjmEjLfJE2RhAShzAl0XLKgNmoNsddE+7aE8Mt2mHt0EqP9Wbr8qT+DvYNnMgy1B1l
ZkwPwnesrSIAUwA0xai1fHvuubaPtFjxy3Pf6l6H4PEyyoqrSWTV/JplcxrkzLZQ/vGrGVYRQyGn
AAFz5BZurapsE0u+5GAvi4YTkfq16zyifHortznKc4yuD6pNozUFaWoVj2bl1/dd+xSRBySHCcqz
h+xO+eNVvClXmyJ9AzBIzKwh+CM1PqmEhQ/FgpomET8TUTw8ulcfMMnFBV7ttWwalmcxtCOARBF2
21Voq+Wqm/ESD9J+t2OdeCV5SApPUDFWdrlhdsFpMNmvHaiDZBpb1djKhoxfNbbt07caVD6xjbca
iWhCK+MrI7l5iWwLygm4qqhrzr2qHrwIbhZicoDQMSj0sTh+XGhzmRUHIpG7w/NTek8YhZtMQXoR
DwL0ptydUjmRkfas3N8dHZQfuXSKJEvaxSH4V5Wz3K/yesFkpgImIQaIiU1eIU9rVN1HB17EfsH6
u+cf9CBjM36QgjcdPgcVmzHTd739VDfqGxmrr+AKr71tZ7aI+xA1VdAAZdYDJHwklqoaQDyEcV4i
Kv2NlskcgPPRHsTTEqyMYN1EJD15PAOtLGe5VGEPgrO/zk3Hex3SP04JgIHTzbxTHtlCH62iKKNc
sDjNXeZZGLat7FVn4LGrPwhkGGS4kSxE/QGZ75npHT3UNGJQR2QqQCoKgtrJG9BTyqZLh7w6C+1K
5d7VCwPOYUUB+Q8J3YUglVR1jbwMl3w4k1559B7krk1PzjUnZ3HmJ1l1Lv5w36EgUKHXRYmmlQry
KJ+WpBb19ChLi25bij5NgDJIi5U699B+UAIGIuxqCiaHPk3aFKLGZXWGsrB9Co4S3NyHsjiqSBbv
FJ2fOWIPHeq1vck5bsTMzVgO9hx2CbHBkN/k0JjNAlRc9lVrqzXlQsJyVGks5aQ1M970YeSlccKI
u/+9QCYrrgmDkzJVXZ3rGAWVbJWJhphTp9tklWQUWkBLDm0AOXHk08xeG395uteuLU8WvE9qmSvR
YnQOypbUCYJiJabxYLgsKoE/YakP1VeS/4n7Y1mveM12+7e4ot3H88+4Z4AZS4GIkAX4FJYVfgOm
K48Scl4nRQomoEcQ/AIWdFHnE5pv+oBo5+zzom73Emo4vsnRs2THK9UIjJqUlmTzc0dgHPHdjKDM
JiITPLJWjqfz6lO80K+FPIVLb8LPftPkBtKM6pgZ6VuIaQ5fTLoKRVvxqP/O7dRWTzPr+WT8Rn93
XwDWUSQIVNzuymRN+FF2nS/j8sy9p4b00iIhWPEREVmD9Vd4pwDiVC6AFy47s1+BW2ThRCjJBz8V
XlvLokAdzH+H4O7Gc6nUUcVfAD7YtPvnX/nIIyKn99+PnJzQzMl5LZAwTUVK+pz6uF3jVZ6hTOtS
RI3Pjd23Vo37AwV6NKew2K7TvK/ExdA3LQtcgRQEWTKxB/QL4KGp9+/hqbc9A6m/mXrVw5NxZXKy
D2olCcFeVZbnKkQ2EQ9Xz9kmgR4oM4+BBwXE27GNj4WrDVfUQQrt8d+xaaAaydY12uIEHVl7A30R
NphL1wKIziIjAaX083l9uIgjove3pR3EkLemoyRqlKxuyrO65HatG9FigJWg3kXKzAU6XsZ3e/rK
0iQ+5oY20yIPlqoERPJtwkimW+Zvz4fzoIwzTuX/xjNZM1cIuEYEmdoZKbUz8y1fgtxKgOEQ1nJC
2NT2NqUzk0x8EAGCq17kOJnTJB66HLdTWLe+KyqNBHrqyjMC+MYw+5CEmT3y+yCdTN+NlYlLqJ1O
9UGSVZ7bZU9Fo/7JRy7sTK+t3Kj06MVdCd8dknIcZc2G+vhToK3dGKzdoQ+224bHOYT8g62DXQNC
37FapqIH73bcWiEhcxsw5Tlq33wFUtvNvkFbqm8KeEO3TfdvpvnK3GT/tL4X5QPjlOc8+alTiKuo
31nozxyHh2spoiFoXE4ZOiu3Y0IEHgwVpHnPtUZD5xIL6KYI5wDBj4xwqoqbheWQ4J/KhGVcVzN9
ENRn1zFcEYq5FcjO59rKHm4YwH7QzoXyC69O7xCmkEUGkWJ9LvTI7nROF388cJAOaEst0CZpqLZP
Y1vdhTaejN4BLOOgN6TCDtAKQ7R4vSCX52fzAfIHEH/k+VmkGlDlnebBtNZRtTxN6zOXkHyRn7lv
ttZdQ6OlWSHHpVAkpdFwLLKg8dCl9QqNV4op0lWDxrCO5Kto7qJ/tIOvP2iy2ko4aHUiJvVZ4Q6+
TNNoxbRLP/R1NSCu6BLA0ZDOMGOV8EK7HN75hQyxjVe5n3GNjy4ACBhpaItDAUS+e8h0XFeoTVPU
51WMQju4w+xmN1jKod/16IZGcj0yYtKs9WzJbYqZa/yBX76xPe7Wq8vHEXK1CVmsSoei+sBtqi6d
ubsfxFM8JJNGoBvUSxRl4pP7QSyzeKjrsxADaNZtqmzl1FZUvoiOObPFRidw7SW1EYeDHkbUOIDi
w/+4HYzfcKpSi257dlu9egecCZCsBYAVCcgfN2jk7Ncu2GhU2uoWCovPjd/lnVB/ENG3AWQSUKSq
MkWtDl0qDlmUN6c0sN8HHLHq29mB7LtdpzO3wXTj/lqSUSWEKAtyQOL0sRLVThoFfH2qI8K38TJr
2Y0XQEnMq/ZBbwM5OzOx003yH4MgaBxhM2jem9w+ss/yQVWo9YnhkQ9G32AjljP+/aGJETeO0jsw
OVNQDqTEoyTU/OYUxaj08h6aX/6hc/8dBJoPAT+SNBTCJ7Mmax6TxH7RnLhBNhntJRdC4rr5zDju
yg6jGUBIsDRjnyOrCbd7sJZrrhlGM4UuL4q1ulCX6rJ9VZeuxemJzhiK4UPTJrc5qi1SO9vWtmfx
pIW/m9mQ04tm/BKg5URWRFkMrN+TAXODWg4IlpoTCi2+hReVCjoCEjOQS1p5rMWu+dSuv9NVierH
PzetasjLQMQCiRl8x2QS2ChQCy3sTjIqCb7Rb1Kowwfb+hCKR6k8ibXd8BuZf5ESI9iCaW/G/tTl
YOSQ0oFdXsAlDu2iiXkt8/IgzbuT73s0Z4B7VM+oRpWiXSozL1dhXM9bnzPaEtDYARwH8KGT9VZb
kWldt4YthSW4WrVgLzYbEcU6Bj3N8OeofilNrAd4wcnKIhY92lR/ndKQhYL0xZtXLsPstS1XEXrd
hVXILdLEcAKSVVTmloDhHrlqKacGFwLtmItzd8+9y7z9/MlKSYXTMoWCqaoUm0cPLEdQ8XMPoXaJ
QqIJJNJo9PlvdgcHUK0IMAU26GRj+p7ohJ7XdKdQ1avSKg2hXmWrZsmLRvaWcscePEma3YRb6aMG
OvDfWIfKDB7XiES0aeCKXv9KYYeqO9XFQexqWqD/uHcIjjNxAHsUOMJnVqIWyMPYTGBwKU3bV07t
Zr5jnNjbfaOhFxpXIrwEok1xskdlIGbwsOzYE5uFDM14MUas2SczTmB8fdxYAYIDQGsw/rPoE0EV
8vYkMG4oZAqjsqdgMEUj9jLd70riMYfnk3rXq4vTdmNncvNiGzmhjxL9qdtpx7Qg5bKzS4py8MlZ
qwwpXNIs4/X6o7X7lbf0uRnffnfgf80ruHgBpBpTprfDbJQGynopzEtrt9sUJQC2HIqJ3AjHHYzn
Y70rHv6OVUQMC+8qicBv3hrra7nDWwTGuOyUc5aSW2VixAJUmALilwqthszyIKFcxtkmqOsvPy+/
oH5Fg36Rzzn5h+sL1KQsYxvhGT85SsIQJik3fktXgLq4ixZDsCmYl1CYHfVd0IEpBjhSkHl02cG5
T6Z4kHIRZVOfO7UXhIhiv09OYkJV5hAf+LG+7+ENU/S6W+/AqCByr6ULkta0XQ3/FNk4Tj+6kQCg
4ZGwAKfA7fQ3URjVQxhxpz5eaTUD+v9GAc69+hMUL3w7h8e6y0yO5jC7KhpDoDUg311laZ+EnaOw
IBsEJwp5Xb2PTG87+2Q3oKdev9U6AN/k6KGR0tq/Pt9qj1b32vZkzmOh5DXXw+mNum1dvharHMD/
alg8t3KH0fsdoioB2oYAb6wz3c5oHcR+WykJd9pgbO/AvS7w1oHEHTFTugDh/2IRgiXaPnEkNAYC
RruzYODvr7HzvieXWRqhu8frfz4IcRSYfbDSU4RUozhBlMsOe9Ib0Cqn9PS5+Xx/34R0oLXZLnI9
2haLlXU8brd7MG69PZ+Pu+LDaB7+Esqkmgr5w7vO2RaA5C4suZNSGuU57uCZ5YIKyMEHSQ7JQ4Hw
iCL3zfARK8lSe5kxP67q1GcrQOXhYgRh2x0PV9w3LsLLgjsJSGtGgHgXVuFFwCztteaza2M0K587
XjIqCYKFoS60pzwe1dCef8boOe6+Aq1QPHycIAIccLspFLQmhZ7YcSdeNtPIyFtUtr+yVz40m/bs
I6B5bu63LD+1Bzg+XBnaKFHRm3iyopbUMgs57iSn25CDEupi6DTcyFtoxFctugAGyRIivXNMzdHL
7By8ilC9k8NFJ5+EmMjuWpZoBwGiYDDYhkIjLi6+ge+K7LTbDGVC+tjI5sT/7upG41ZBgInFgkPC
G56/naW+q8DuUeDoIF7w3oeVj8KYaHFg2TpewIb4fI4ebAwF1UBgk0cF4DsSFWDfwoiBLu1JeAc6
HTzUP89//8GS3/z+ZAkG2c0Twa/Ao/4XKRAJ/bp2s1KlhfXczIPL+trMNCbRUF4Jmh7D+MQ7RO/1
eub8zkzTFFwTK72b5wx+n9MdXdtwH88//65YhzW/+f7JmldS37Byg98fOSIV/LfdisvGJp5P0xlb
Dy6AG1OTx4UmtJmSaTDlbL59Q9oE++djmZuqMUi9yv5kviMJ/fj7/MUzUa+f7bWZMzD+/1cG/D6s
a2ncUiFBTxoZ1ipajvR6jd77y8g9MM8MN7OJf2lbrywOjpe0wK+JkCAqofSmkR1H8AoDQOQP8HRG
b3Zb6zIHpHoQHN2s07jlr4yiTVEo4hjDhICFTJkvSz38fb5Sjy4l+BikmJAixKtp+s4MGbkMu1FA
a8NukiNH02VD6pcAQnKrdqby9eCA3pia7IrA9ztFTHrIuX2EK8UQfcKv5shW52xMNobWIGPhCbDB
5rSkxNvWcxM2XlCTC0XFCwuPAnS/4F0+OTtepLAVE3Hj1gOqjgI4sABNbU/m7Ny9oMc2sis7k9mC
GgQvMrhGTy5K1+KX7drCInwBjHY7x/Qw/tKzEU3mjAkzp0h8jAiM/M7Mc/ThelyNYhID4pkkpWGA
345LAnxsu57NCc3N0+SMiKlUZOWoqXSCtusB8HHRFNBbkBzmDuMDD3CzIONhvTqMMqDtxeDB0Mo9
mN8hFYxWnwmOHpz3GxPjJ1yZcCV0LAQM+P3l5cZdOXpjtDY7c00+8P3XNqYgqwAMqXIAOsSTf6gX
0aumz0lzPjSAEBt0Q4ixlWmYqwQu7wBchXCCcLoL8PNzjzX385NnMnSLslSM8fPlJXhJF0MPefTn
Fh5FX8Cf/W8Ek5tYdTi+cuAAxqb9lGBXHTrys9QWRyuaWfC5wUycidKnSdMh23nSpd5sa5qeZoby
8HRAZBbVR/SE3CVqojD2mpoDpz14XFPik59S52e13R7cxmMC/L9GJktSJX3eRC2MeHpmaP84lTg6
wqtfn6wGq+RS3tf49RQvZZ6aoNyRIFQ1FwXfFfkRf93YmayFG/hNWCbgeNehDLx/TWzJ5CyunSVE
fuhHrsYzceztILRwWhjPGLvEUIU/ZQt9Ztkfut0rGxOXjvVgUz/AWF5fkZoH+gPxCvS8K5fw6/1+
PwdXvcP3Tedu3OdXjkuT/crpcLuffMveKAd6PkInafW+1dfny/OhPXSRVyObuPt0yIrWDzWElvvI
FO31AB63ueHMzd7E04temAZqhdEEdkn89fKyfz6GR6H+zVab+PkercmQ0sXybFbuNrFPp0MFzgcy
Y+bxRtNAgAZ6SB5Y/NtFGUI1KSpJGtVJE3RI/qA55pzOMe09MsJJyJzhkgez3BRh14BpJFBTD+S6
VF30BoeXEZgASDETRzxylNdmpocmQ5dZX0MVQV34Ft7qC3cGfPxoX10bmJwYp3QVphpgAEiYS37m
3/8Ey37uWD7yxtdGJsfESduq71gYYSNoMpZE2Ke2vOOWrl5a6b+4569tTQ5KkIPvSO5gi19wa8dK
7blw/vGSoA6ooB4G9MXE64P7CMzOHTQ+Bg29pES0gwEx0cxJebS9QH4hIYOIDI7226J35VgquQnC
whEEvIDeBb14S1bIxtCMIicKL7aCNOrrv7GInIsK/DmS8NOc/8C6fZVCWuHkk3RD3GXaLbpls6UW
0Id7Sf/LmDXtdnOrdaeDMXpQsPX81+xka/SpEzhMoArQo9AllgTHBO1vYLjTL3twvF0u6D7Ef0pL
BT5VAq/ZXHT7m42dvgKuP2CyX1joojZKig/ATA8mrsDX10oPN4pBXl4OB257vHiGZ1ysv8/nmx+v
7zu7I0wF7bpj58nkZCeN08ZsFozXISyjvzI+y+DNzUDPvNxSg8NyO6cANTvgiMnsqB+95n6BKv/X
+uTYSw3vBxUP66+vsL4yuZA6tmy7i48lWuWO4L319WQxB3J7GGtcm52sNpQtuEouYdYBNZj6N1lC
tHRUcXk+tw8Pz9XUTpa08zORdQtYYWV9NzKRdgTPSM6bCWIf5hCuRzO5L5WyqpmogZ1yCV7ElGza
Q72RIh34qv3fGR8qPrqcr41NbrWwCitGimBM3IyJsjYiguW8aIdvsIx9tkbw5ugI18eu7w4jblax
/JJyIw9zRv0MQk4VYV6SH9CAuvrxsjx/nVFqmLl4pTFUvNvTqMGiFIwCjyRPXGPltLIUqu1/Qrz3
98hWkKRSiLoYOUE7a1yKk22LLz0HGDpLw9ggf/6EICyHFHBhZUYFyGWpB4aK7b+0/l7GhJZrJvSS
LS6Xv7M+77HzQfIfsAYJqI4pEEfg3SjtYySBSoPfZ+sOgjindOGZ3lthm+WiJK7t/EkWAl36O3As
6v+HtCvtrVRXtr8IidGGr7DZQ0LmdLo7X1APacAMxozGv/4t+knvZrPRRn2fTh8d6USdwlO5XLVq
Lb5D2/bp+ma9wGL/9YCfPmKxi5gsea4KfIT1UEQWGlqLl/Iu/+LdCVhL9umteNyiV5x9y8U6AaiA
yiM63vBEOo+QxEgbqxYKKd16qIOZHCpAIFVvHMPVcM8yLB0xGCSpQAl4bqYeXY5GPgH1qG9ogD2p
02gDorEDwCrc2HmrgfhnUwvHYo6aRUrK7VfA1NTJ+Vqd0sAQB+/9D2UAYpo+qHb+uPtkRzboj9bi
p8+GF75mcEHKaqnafm2iLMTpCwiaBrYc2iUYDlpRuKRMANQ8HXioxRutaVkG/BFVr3UrfGf6yrqX
iR2E7Ry+ygLwZKPx7WqrZLUyNLQMoQoOEB7+u4TvVtKe2NAN+uut54TtIf4F6iD+sMXSvXITnVlZ
+LXC7urBxLvtlTl/kh9aHwxQelH7Qv6efnegrKDpZpXp8urFaZ/7UcBc7DgmXZy4vBwKauE5+lpD
ciQurL2n3toU9Xa03CVVUA/NCwDXrR3EzpfU3G+c98sBn1tfDLjuRC/FYIyv+rBT6IAQnbWPeebX
9qnu7IDQY5Obt6Bl2rB7eYHAruuAzswCI6NuLwKOsZh6d3I5oEnTvhhuNNr6iisgN+vQzu/T6U/j
7VkCCjF56zjQ7fDoM+C8h44H8fC76zfus5VQAJ8DIsC5qxhY1r93yacI104Sk+ZeI1/pr9Z+Us2T
UEeuvQ9/yADqhRfcof1xiyJyxU2cG13MQWYj7jVswLM0vQtdow2b3h9kJCgEKtlxmr5pHaiCTi4f
f/LdxB5GA9SEWuar6sdk33XVl401mS/Ec0d8/j0LD6mLYcyw++WrErupuqU5LkYekgoNn0+J8Tj5
JuO7TazU39jy0iyIakChgBTTsv1SFSMXxjDKV/3GTAJqP9NWHhLTObT1O3O/W3QvSHnPCvDyv3jo
SZT8rm5PuTpZw51VBKV4lMbod+mrNR2I/eBmYiO0msd97QMX6zSkaGtrdaAA2Wh9qz0tPWR9eqtV
pto4jRfNwEDHYhv+ZyoWK0DzKdVA6Slfk+Ytj18oOJ+RBUUvfl7vNfJK0UA47SyAnzAF5U0jAjO+
09pnZjw1xYth7vXk+8aeWPNOFFA+NE2gGI6mtfNb08lU7VqJIV+9InNlWJV1HiR2bv/wJlftK0d8
dMCHPzSOiEPdkLcaA1ISZewfY+GWG0nIeZ6X60DtuWcO2wQgv4WnZJ4mK9Yq+VrkFVbbqeyTC32d
DV9wedE49mcrC4+IxrAiswqM2PnGxsMQ346Gr1sAt/7Qxm8bs7u2sz7ZWpYBCGusUmthK9cirfzu
lh8qfifvZhVlVpCg4TrNj+yeyxdzugfWytkY6sqbAWNFwghhERRM0KF5vrpp5gpLVY583YGKylC7
cgh9r/GdE7ubfNvdv10f78oz89ze4iRVpKIZjoB8tQ9F9wKKpAFubo94ujoAxn8Yj9NP/HvMIFIz
QR2nOOy2ymwrUJTzT1hs6AHzQVrHlK+u/r1wHzpd+Ej/h5wdIcgwslsKYcjRyB76vNs1/DvpfkyQ
KVLVCfkRUNhCqumDi5CUe1vedjWa8dWzqg5569y7Wnxs3TGotce2E6cOCN/RHoNpo4C7sj9xaSIN
A4AiqiN/+/c/XVVNXwp70sQIBJEWOkXpS6fax4+2iA99lt/Tyt7YpSub9Mzg/EGfDLqo0jBG+vGV
Tca9NNqTKCHf1G/FrvO5+nS60cgEZYy5ZwpUkRCz/Ltwn8zYaZu2DW+6qCj2jji+T/kB84lONzvM
/rHi89cWOpKBigPKEE0Di03gQEpWTnHXR7mu+YXhBV7lBVjSZNq4OhYuazaE6AaAL1AMz/nZxQGL
ZYu2M8Pso64f3hJ3Kveep1kbRryVqQOrNYExzNxMLHC+Qv1MGJL0rYoah2tDQKypQF9RNdg/i7io
u53DtMq6l5DxLG4ZutOePSt1vUM+kILe8ZijUc1tLFf5tgfxRsSakvy2utqpw9ih2bvrMOOVx7oB
IjHpdWDlaHv73hrHvN8JzRDPZVOhf72ruffGZWr94RMXv5zOVA9oFchfq9xsnopu0sIiiaFfZFOr
fhlMOVh+b/GC72rVj89s6ssHdB2Cs5VRT+vDwRrFL7Pi+c9yirNXFqdF5TtVzZ/iXNlFUCuH3Fm1
LtJwGkAjEogmS7+luYkjHQ/AiYAoY5z2pmoH7wDUawGq5IHn2avNq5T7VuFNd43daPY+zUztBqg7
6yeJmQ5Wct5ZOhiXs+JpKDVV3VeZBpkppU9JF6YoGYCDpBy110TP8m+KDvx9pC09MV1M3xDl5IU/
1CUomq1JA74wwxDLXVvyAdS8aO7JwgJyfC+JMAcd3edoa92VjiFY0HUVIu8i7drSF71JvoCrVfZh
WzEOCDt6Y3+kGXfyYy8nNATFPVi2m1qDmtvQk6zdJU5DmzAXzIt9EKaN37Mq4erUY/KI7wwjpJ0m
mZRb8Gx74ZDmPY5G9llaF3r04FedQ4hPBzczWdqaoxwjcKFXMjCmgbcopJAx3evKG4tdjJjguW84
CADLwsteOt7RLGxLC6LXQ8+xFobwBsjzTEb5I64LQANpDr5YExpIAF4b4G/FrDg22Zk1cYewAKF2
HtQkK4FjzWl35+YUeeFswkUXxBadmcoQa96BuLIMm1qJX32sGrHzDNV9aHVS5btqcLMEDHGx44Ra
0xmvRdq3B9KO/UfDjV47Gn1R9nuQdTTy0HlNj7CrKGTlA6lNn2U76vpOm5wEQglSTRy/qk1U7YMQ
k4I4o2ncaeNlPx/hhXdEAyEqSHMPHOgjF46ETUOdVmQao5HUQTceiJXuB/GhFVtNBcuYYF5OUB0h
6W6AJtW2lmkoV0MxvNcTGbksMZ6VRqTveS3ZgwROR/wnALvvZcd8UblIpIH/bNfHVNtzOgm0LXvg
MrYF22r6WfGj4AyZVZMQ+eGBtgjKpCVz0tmljCxUoAKLQqqzIOTP9fBk8SbFyJF9wvSi1RtthmDj
O9/Isu9b3me2igh19pA8DlLa3fQtQYZz+oAU94bbXjM390/hiiAeNZe9KkqRweYq0SOOHoCHPrYh
jVVjB5fNNDzyUtHAyqQeXh/j5T7CRTSXIpFtQJPh8qoo3JaOrdRUlNXMC52+L4+4dfsbhOx8x9H4
tvHQXwQPf+cUxPYEDGQAOFwIUA6t5FjUVI9SltEgSez6zhu0AUiLQdtI3lz6ofmOBcMIHDU64vRF
cElHJOEbk+mR7sTTySHVD7Nzx4PMQLFix0rdV8TogsLQxP76nK4cmVnuAF3fuOfnCtmcZPnkAXUN
eoTctFQkpQg8YYa6OxzH3nsC+0Mw2eC1la9DB4S7dco4+lcyBYm9Ot4CfC6rR/NkzxTbqCYD2YNa
zuI78K5svaGrjAgyHHowcARZPh3JAFmcClQnUAiF+EZDAvhLCEGoDNlWNqAJOutz/BWZ+OU4fIiM
2kFvdNVt2evana4r9aUbWxAtpGWzQ8GxOFWN9I6VSOsXgE46f6qmeF+VTNy7Ce9erk/u5cnHmGaq
N8tDaIM248Xc1plZt2avR5ac7mtTfO1qy/73TUqwdzxMG1IQKKae26inrIHElJKRSrruzoRy3A77
OftJzd47Xh/O5XkAuhP5PgMYb2RO/7aLf9oqpTVkPLVqM+K5sH3P6aZjW6oysGUnN87DminkupEw
B08ebozlzFWEM4kQIkLClIxBGx/QXnB9NJeBJ6Zsrpii83/uqFi4ZWp76ZzPsKJGz8St2bVoyx4c
8lyhu+UWYQEw/D0B6a0kSeCpadjEHc6xxfm1OH8AWmDnP2AsWyS8G69oHAuV6ciQeycfJz/2oOuS
/9Rse+dNYQvyKluB50kf90PCg2o6XZ+AZeIQRw4fADkGFC5QwPDo4s5wS9fySjLPgF3uepmEkK4O
Cl3cUFu9GfoXYYhTRa2Iae6DPrb+kLUbHn1lmRF/IUUD+xQOYOH2RA/702DA7fFy+NIYNr9htHBt
UNrEyMRfH+/Kgs/RAVpi5+Ni/U1pftq+o0VZx+xOj0rdajgCdQV1v8G29zRvx7dRy+KwNYd8X1HU
kC2F9OF1+5fXF9rvLQtxxCyNhU6S85PqplKLsZt0cIsb3q0zZUOIXd4isCXFe1Vp/9iNPy+v+Ze4
ywAMwQVLy7m92NB0JTxHj7KKkSM1quomid1i7ybm8FjkcXmvxSNyjpyKrSLSPJTF1kYpB6QDNoot
MzfwuWmziN3RHTDUwkyDmHtPE5ve+Ezp24/oRvSeUp6+tgwcEvZWdv7yJsXSosSCR+V8oS1vUpDe
pNIFy18k9GoOCpBz/85ZZJPcR8tCkLWH66u6rCjN03xmcN7jn7aVlcXoG+ph0BOjr4nvuZvvW6t8
gF6qDwLGmyzNbioB6YyRGhu2V44PGKeQ+8I4ETros4f5ZBrNhlZKNGFGpHTLnZknBirBQ4ld7eQb
pi6vMnvOLIJlYYbSIPdwbmpCwzraYyoz2kPiaCOYXKaO5yn8/MuXd1hWo3MV734zkpzjKe5Xsr9x
K3Kn4uK3nrX3HdqPtVycapE9jyoNzZ/jOHxlXgs2OC2Mc/T76WilYH9MAcrokTxeX+KVg4vMGjSW
oISAlIi18FLuRGjNZGdGjoUeecKDTLyzagxyUJpdtzS7/MW5ObO02Eu9Ssq4GmGJpmGtgdILUIO0
uP1y3crWeBanE8BOAvHP0YzyfNjpw11Hun3snGpvSztu1RDqAvDwKLtCTOJ805BaeK2MGzOqWu9+
bN5ZV+/d0UH/87/lFf9uIFygUPABexHyi4twoRO2ZP3kmlFffjjOR+mh+iOHXZaGljWGqtsgClg7
DHhf4kEHiAYaOBae1YspiLXsxIoc1lXHhJZfEExssfGvXM/Q1cKgwD0C+kGIAJ7PnoHOGiMpciOy
2jgJRrcfT21hJMpviNn7PHNUSKCRdmzcWVEJOubhhFgUZNFe98Wz6bAxx5eDRu16ducApeDyXAaz
XarZQ9rketS2pvKHVrUHVJvz3fW9eenSoEMOFRU88aD7ABbV80HnOcUVKqURlQM7KRLfdV1/SshG
eHl5SSCKhb+0oNSC1MSS6qqbSi3XU2VEuQkKQ2ibi9pBQk/dQnjwBwgEn6wttuDLo4D6OLQxoWcB
NRU40fNxlbY3egMKVZFdVerJgNbCLq9icuOSXkXaSLbIvFZWCzAcC9EdwA4Y5eLo6bgQrA6J0cjO
warSQOjkYSpQrdlwWJdmgN1EFA20OcANWLHzYRVakw9pK+0otUtACiUSLrwv3Y0L4nJTwMpMbwsX
MrMLLU6ComUVy86yI1fGIsLLDhRdiCmfRNtu4UUvPTA2GKwhDUfQ0bYMmtrSUBkrmBNpdccOTl3i
QtEr/VgWpnUAimN6S7V+63JdG9/cPItrEKlw8NadzyK6+OOy4p0TZY2NBua0ZwyC00gD277d8sT5
LxYNWQ30sM8NaHh7nJvj1dTXahROpEqButCg+n3fdlvcTGuDmvWK8FLEcx641HMrXp0PSqDFJ6JJ
hUrTg5eDaIiZG/5ibb3wuAbHDTa5aS45L0obRLRmV5IoczNoeQx2cSKFNR7dmKdHr0PGHjxiSfiv
TgrgIUQEkC9GiIlm/POhcZvIwettJ8pJPezcNAXQIx9rfzK8bsPUSng52wLrK0Y3M/ksFsuanLyx
Y8+JhEuLAy8n7RaEVORIjKaPetokpwr53+OkESuwR5PdlnIyNmFT8wk7D0wg6KuDsc9GnhEkgYsT
mMkh0Ye4IpGnVwja5U1nJ6FdfScFCCwNnxsgOicoL/hW+UI3Y/qVrTRztIG7DFwiSAvMP/8U59aN
pyex0p0ozSn66NtU7uwU4oAIjeuN+V41hacwCnrgecYT4txUIjWq9b1LIpeA3+LWsVo5PrIpK0zw
Jg3S+jdYAAIXqCohX40KNjR+6RKOVhZFKmzogUQahyB6U9D2o5axvhG8Xw5qtoJ720FBD9HEIuBr
FdHgXXUSmY3b/DAHz9oXFmpSfpa3W3Ckyxvhf3WiTFAYwYUu9QY4Bba20EDT6nXpCMpfqx2hgwpZ
aHvjUlg1BHYZVFxBqAcilPOVMoTrVO2AlcI1Wr0VMS2PuqbXG2SMSwKheYVmLmHsv78AK3eBxG0Z
ijKcZHHkJB7/5tWl54PzX3toxma46UdHv02kMm4qqU0hg/zDPmd6eWjLsn8WRnGyGSsCPY+hbs5Q
5Xa1wX7XgUD+yuqpfqDpSHZD0+W/Kep/G25+ZdUhZovObCwF+AeXsqR0bPAyz9o4omUSBzxBtpOU
zotTbHalXD73cTj/ynoCsYxn/yIe7qlEmdQx46jD9QX5Jj1NvxHc1WAGrrTsl+BEvELFWEDkiQwp
BF/zkb8NuWNsDXkJAZ5XC6EjAlXsCNStl7UWXpigsWSpG8UuY7ua6fK10VKv27lJvheMxsfBAP1Z
XiLgakAwFnZTfJ+VXvMwpmN+V+Tum90w67aA4994Ra4sB8IXVLrRJo8NuxQ+1I1+8Lo+cSO3J9Mr
SVA65GVSPynkQjaOxuWliMcWxFYhog2oEfpoz49G189JqKrO70avDEj5y0LbXtOj3RxSpv+qPYcp
99D8D6YwihcydAHmj/nknCcraXuH0/KOu/cEABxDgU5u48F1OXdzRQDJOyS54aeWuVoMBcWvHKoC
APyAP0Uav22QGQYkQUrp+tV+EaejIx/lQ3Qj4dyAymThKq3cq6w04cVdjMv0ocizOTOa0qCIHXaD
ozPsr9ubr++zi3VGizhQfcMMIlqii9Av1WnJe9Hxu6rU7ZcJWZDdYPcgpEhH4Kk6BxCSTu2M1PKe
TV1WG9ZnH7m0jsAdaWD4BxQPFqPtRdxZTTfwuyFP7DtWgZOsNqU8tGn3kWtp9sBTvQlSLzderg/7
Yodi2DYC3Rmchww/XXgMqy+tRJUevwOA11O+ZSUQ09PiOIGcAIh/5L5UXfPBajn96ymEYTgoXLt4
haEsszCcQZtmqIy0vutVBTAIIsoQ2ynz3WLsNm7dy9BttgUyZSCF4YGBDTo/GcypwK1ogWzNEWO8
q5raizqJMM3ghvGoUj3946Ln5SbuJACiNMnMR8OT1fH6TC+Ruogp8BWzKApqfLPg5eJ8jm6SAm5Q
13fKaMiLrQFbojtyRhhQiG6bEMNj41TtdXDtvpRO74x+Br6/p4l3ha+8nNygW4buu9j7aSaq2isP
TCWkgSRf3tU/rn/rxTH/+6koCKAuMmPZFrFunQ2OV2dNfZfHzA4LaMNXiLIPdeVaP69buggeYAl+
GMVGQHdREp9vtE9OC1WZ3CAaoKjKM7KdIANopnVZBtetzMfn/HghtgPeH/Qo6PpA6ezcSua2sciI
wCPcibt8J4bKRHK2IeVT1+psDEjVOfJ03eblHIKEBZRwcwA7JxwWvh9v8anAqSaRsFWiXiqRQ++p
AghIPNSSQ1LvX83ZqNrq2Fk4z5fse05vjarrCzfKxx5oKIqiqnsHcnbd8TM9Tdp/BlPMGDGcqFko
E7fYMgtV200rtMmlUWLmkCCMdZcN+wocuslGZH45j+DNmonOQKo0w+oXhxdbRjV5lbmRBA4vQMdT
mvnAc+UvY5w6W/zul9vx3NjiFkBuLXUqsKtFPeA3Pl5UoBqWzP1nb4+nG5B2wDIBHAN8/vl2dFue
qnLQaJSJwTxYqoHCOnbR4Gc2ejbGEQIrxOnQRt5YJN/AAF06fIShyEWhMDMDHf42kH06cG3MpmZ0
Ui9SrtzVQCZnMkPxvn1Vg3EQ2uv1Xbkyn0AFg6EQugfok19mEZNu4iNDhBj1opioPzl6oQWdS3Jv
I1y42CUgoMMbB2zGQErOKaPzKbVdYeANUvNIJ/kxo7ivzd7QQs/cKmttGVrc1ES4Vlw5HDqYZIAC
zR8+PtE627grLqYNo8ELUXdA+4qs/d82tE+LFMdTm2ax5ED1dGzPOH+t9L7cyL2uGvmLhkJKG9wC
888/GWlSrdBiF4qe/ZABbegkfXavJ1VVbTjfVTugkcbaoDfPXPKCOl6BlJHn8kgmWXwaSyhioey7
Rd693Ne41bGnEcYAc4VWoGUJLu1Kd2YIdG7JFNTo/e175scsbOh0kMk/unbYAoqOAq4wSyegveZ8
5kYyUacG7O+20B/dTgZiR7tud/3kLDn/AUaAETLX4zwkQIDyODcyFdP8Y4/cJlZS7PSUJaHFvThU
Nq3eBryLbsTkJd86PFhvFHB0h8RSWeBarf1V70nyRGRTHKrRhUItAyzLkVQLZGn/4tyzoGHJ7IRs
RA3LIHb+YnQ/4YX+Vxpj+c7FIy9mrqrwxW+0DvfOwQiHu+H79XlZdrjO84JMN2ITiuQ9gqnFvNSW
mhq3LNxbAPDKILYrjj5oTwtQkmkOqNrJXTU10DyRwt0xF2B20qIVSOtIlSAv2Mc33HRFGFOe3tO2
je+olvHXTufdszfI4QjL+kmpNGa7pk30XdcZXu+TqXfa0KZAYvupAejthvtaBigYFJhEKeBfwGUi
ebrwKoBBl0oq4t7axYTX4cEw25PWv+dIclyfvi1DiyC01idgL1rq3g7qFvADaB9bfpk95MPbf2EH
dynShEhto/B4vnuVWXVdZsMOdSZfUyT0quy9tkUoFd1fN7Vy8vFG/I+pheufSM/1MnXd287rH+OS
vFGx76a7ztF90xw3nOaWscVCaRR0hSYYPW9zDCvZ3WnN87HbYq1ZWyQPtyJIP/BcQK7qfPLMos+s
AfBsML6rKhitsjq1vHGP7tTf23QyNtZq6aDnzQeIBgVvxdzZvBQk0AcrjQ0Oc2PjST8nVY9Onqza
2HmXBxcFiBnhbVD0p4JiZrElciS+mEdFGo1mVkMPzEli6Fel3fC1TUDQDAnt0fzRju3sUKcilYFs
0cYW6NLspiDnXv/au3qV7poEdPo+kutWYvkTz23Lt5JJ/azNlL+O3GRmqNB9pQdEKBWHJTeK+ra3
S+ujM+us1HbmhP7xPViVoNt9fSteeEBioDiG1nv4pRnCuThdpWVL5TBHuwXgXnwZqE+OkATUGOTY
Nmbz4k2LqACxLpQL5nYNisTF+R6pW8Iq1+2TCLyy3V7cC7/6OXeilw/11k10sT+AukVzrYmkGZ7h
F7hpY+qzmBoyiTwG8MzgPgF/f7Qb6B7rleZ3xvsgILdkMdTIyq8K/4vhzNv9EE7aFsjy4vidfwpd
jLpE4sbg2ZhEnXZTQmDY7MWhABX1CP09rTpcX811Y2hXdIDmhjrGwtjY8clJuymJsuJrZmnhMP0Z
0tcCMkCD/Hbd1DKqxGpSfS5hUazm3INzvppal1vAjaskMpjYmfGNRFfClG4QI124FbSHI/+BOwYv
4Tm4PDfiOXwwdU6zqCnduz5+i438MKZg8+433hgXOCIMB5YwFvTBw4G5Cy85eF4cp9CsimxDu3Uo
H0MLL45OWPxlFOiwzSWXYWE4yZ4kRv4oU7fdT6mL3rnUHQ5onzGf9BH4cm4gyBZ20j7GCPAf+sp6
5gO6uIEkHjdlH1amx0OFHoXtOeRGSHw+PXaMTo9szFiUolHGPhlJJJ0TKr/lo3dj5DvnR/s7jnf7
+Kn6wDdfX//5d39OUMAgbOMtDSeMxVnmVUkVp62BEgVwM8i+BS2P1BO4Tjx2kCOUra4buwC0nFu7
4A+fMmDNhQVrgv1OE3HK6mlnKvsAN7OnHvqGptsByhvV17J4KqjaGOuqeZSJ55ZRDBuZmfOJFmjW
aSbdYZFRDr4tONBjMQqZzuCjscgXusTd4Dw6zvek+dq39i5lgNJdn4KVo+19/oTFUeBGnju5QzDf
04+EvdGp82NtN3R6YP0rJGqebCwpsBmo+M0P/vPRppLaILrDaOPpOIo/MgbT8PBeoinRTL44eb9x
BV3uYlB4YWbnWgDCh7+kO59edWNldUVj9mlkZNHgkqBxQXsE8LZT/rw+hSs3ECyZeAgBfgVM/fKB
4sZZYjKE0dGwd8DmKO4KXwQpgeZgu7FhL70j8mezOAnALbhbl/nbUat1l9tWityWObdGQKLoS7ll
ZMntgjQnrMALz1kZpOuWxVlmtAq1xCSLxlBG8Q0JnokdJjtt1+zYxs2ytkifTc3b89MisaLq+qGA
KcE/NC1Inirvtms2nmMXHSXzgID8BaebicDLWlafCJvajFdtFpkH8Wx900P0zvkN3T+Jn4WcuZO+
XN8Ra8v02d4ibM3F5Jishz1utEFR74oURahpK9F56SrPR7U4T7kztRCVhJVMhVm4B9rJCJsn72NT
+Ogy7AEQHm9NeGSKVO4yCtdoYtGYOBmaRr5Sq3zUE37gNH12m3xfKy/IqjZo7G9eAmIPt2se1KT9
EWgb1fqNbNCKw8QzCq9DvK8BUMDwz7eLQCxd07JkEX0wHsib+5vsfvGdfoSiLv65vohrW/OzrXmR
P21NJafam4FXUVvd1CY6j+jPRvT+KLcI29Z2C84zIgS8OvDinWPpT4aKTKSicEcWEY0FFTQmewc0
X2wj5rkoRM+HAD0NSP2D8mF+fpybmYEBSdUqFqH0/MQeyQ1wmyUkaaDPEUFAe8dzCD8c+w2PtTaL
s8wQcP8oACD5eW41tbmWKttmUaL3PuS/fHQn+0jUDPZGqLXqtWbk3yxDAkKqZZBK8Zg3sE2z6Juz
B+uAuh0f0dYYticr3IqHV/fhZ1uLW7NWTBqFBlsjWGg9/731vyJKAENoF4wbF/Ta4ftsahEQtw1Y
DJEnzqI2dML/6pcDQoXaMrA4uL3OV0c3BjNNYjQjtKwDpVw5+nNgtvv3gwTc7P8ZWYwAr0ODKNkg
nIQ0Pam7h9rifu49Jc0WU/7qXCGfTz0805B+W2w2E+w/npf3LGK0BOWTxh50DeR414ezet0DhoWg
Aip2SOgvrEjB66YpcF4nc5CHJjVwTXrK2TUA8aJQ4f6aNEtH9dQpwq6SXhiP3paC5mXUhhgZYD8w
O+Ao4w1zvm62GUuCSiL8YOakO81zbxs0jYepbv2Z2trZSRtvi+vDXvNSHrwHWnlBaglMzbnJWNmN
jPP5IDPvgIyNOuLxmwcMFNMbE7ziMhDdAPAAZB+appcFcVLrvRirJI8M5w/H/CEksPImmDte/3lI
Z4YWC5mkfV/bTGORYxYhcOQ38ehE4K8Ir5tZuafntyb6VED5M/cqns9cgp76oczyPMpGT4R1XCWj
PynvJ2FQeUVZEnr0oGf3u8odk51Zj5tgqJWlO/uAxdIpLWvwuOF51Br6N1PTD73uPBSTdox1MvrS
te8Zsb6KRBynWUQQxU4gKZkAGRQDv7IsSugMA6O8uz4ta1+FRBvcDgreaLJdfFXFgcoDF0MepQ30
TiQLC/VMa2cjTbm2mVB4Q/0ZuT0kiRZvWcGstAeabR57eyfEj9R6MMzs6CFR8+/DgUAhUlHAaMJh
L45khjxUpnsFhmM1oWGjj5f+bMU/F3egjvHZytJh9xYd47bMoz4kQEOk1Rej/eBohv5yfTTznjx/
hs/KUhDp9ICyBZJqMZrRGjw2NqqINNOrgmaoOZ6kY3jdyNoO+GxkMZjJ6Wo74XoRpQVYls3K/y/O
N0W6DqkwNGsj/Dk/eGXSQGDdqXEdtN/M4o2Zx4b9uT6Ete2FmhTemCAsAt/B4v1iiDIG84OAieS+
jJ9lfurjHSlP162srQbgsLhsAC+AhNZiokQfO4104BEtcMV/oMusDRwHDckbjnftnQSI7H/sLG7q
pq25NhppHtXfQArma6kfQ4E8HmJfT7qgEfohLouboha+mqKCpveVYW+c17Xb9ewbFovG26KvqY5v
QBKs+o3SFflwv9e3jbtLwRz1dH1iV+7RWc5j7jcGch75ufMdgldh1jojyyOuRVNWPsgCUrLtcczB
C11vtU+tbHckUJEqIMiLo2K6MNY3mZ1QZuTQsFd+R/4kUForqLNxqFZ2JNpsgKNF9R8ZtCWh1aCJ
dIybCWvo/tQhF6wle7DGYBG3kK2rw0EyGB1cwK5dqNCxxO1FK01c033jmzwJlLqZqi3048rWnyup
c4fS3PBoLQ7YKKqsZZTCrboEuzEJ9Lb5L2YMS4/qNVA8NnD255ugGFuWdC3JI9H8ytTTMIAWEBSd
efNyfbOtrQya59DfjK2GwG1xFUGhBiqOjoehIA62xhSsPklgFQcwa20c5LWlgaOYUZx48IHH4nxE
TmJBubdPisiBQnhvf/VAqUPZv7/sZlcxI3pnRpIl2j0fxBCXQwsjJPMTN/SSByO9E8UWzmQlfEIp
acZ0zcUkYG0Xg0F/iWxL2Gnz2M+yPGya7JQTAT3kaODJTdq7N2iJ2Ah31554sIceF2wL3OgXfWRl
30xqNHA5ReYTegd6Xz9UDy5oUHb97yEHOG9j0ebjv7hyzwwutketM7Ra5bPBVzMsdtoXFVahtXGT
rBmZcWrAxeGRhNa/88nMHaWX5TAVkTIec+nTwKyB/Nv/tuuv1zf7mh93cCsifwjEP/K9i1PFoKAB
EKNVoG3FL0MX2lV7yGTTN/UBvclpq2axdrY+W1vs+EqvhYa8KTbjkABf/tNOQP6qt8F2cnT+Tctl
+mxpdlifsjWKJ0bqaDZmsL9VtDjKd1yN1Rh2JOB5MOS3Gdu39a4XN/n++pSuXFZnMzqf+k+Wa2JZ
pfRM9Dfd1Wkkw/Z32/vuz/+fkcVpGxKlsoRi2WR7eGc/8u8KHMHP122suSc0K+PpjOAfuJWlDb1J
e28qyqjt2G+ONpxWoa+JtLv/n5nF1aG1ukwnrSyjunWOVZWeVDG9U5tthU1rw0EIOANrwQSF7OT5
ugD0FluVystoRKey/z+kfVdv3MrS7S8iwBxem3GSZiRxFPxCSLbFnDN//bcon7v3TA/PED7XG9s2
IMDFTtXVVavWatFoY8W9PxcapLVs2tJtiPsDcKeZBhGh+bUpQEcAheKydK8JkaxzHohSZGWtJLRw
lgC+x4sMiFIkhugIYvArTesn+AjklvVAQsd/zesojQIdR+6v0PfTlzpMMlCRQFygeI8iDXVsFbVU
k1Ydkn3Ubts6IFLzwCevZW63BeAXP9luO4afqf+B0nPJSfrYrIUXi2Od2XaQzJkJb6jIOvKqXBh6
bPecdRQ82orQ6r1Q99eCpe89fTNS1FQQ/gHChu7J65ULalAx4v90D6pES9Qn4zPdQoGNgJhWz0xJ
j1Fe+V8m98IktVmm2B9jsQ9TVD06i932JmuGJGjIiduWmwEUsWsEuAsHQWYVdHhreAwB80G5Ro7L
Ja1j4Rq9JLVzEHehOsUEp/vDWvCCIFIRZ5a3eb1oiqBWLtAB0njJHmqSaOK1p4TTK+Gx8V6YeiVl
vnBZIqwFxYaIThQQMlEOtwFNeinFOG0ZWGpIl/oRuPui1E5HcdgULd6TKboxDyF6MVfWbmkmZyn1
uftgTihQLgXJGp5P8WuviPuu+93uo+7vASRoPANyHTV+uBIwnF1vSKHz8iLwg2DfNp8FAPmshKbI
dpuiiVVDIfr+oi2MBxlZAEcAgpsbzahzDrKxWmamMdxPQaFn5bb2RVKNK4+5hbOM6BAhNKC8eI7T
eVlQcqZ8LImoh4mP6dQarPQla6hp/D16ZO74+tcOtS1CJUBgKKIcpkhPsqcYLfMR5U+Ad694x4Wd
Dh+PutvsGrEHqYBQ5aShAstsuAdBqaniwWCEEofSPIfgM41/TF3BrSzT4gz+YxHo4es9IdacUKAD
IdwXSqKLeP7z0VNWQjEc2l7/w4a4sES7w6SIMi7zUFKsPUCpehYDlD+GVll5pCxuvAs7lA/U2nKY
uf3CfVqigidEhpTiGblG3rFUW0Mkg/yMCAAhMnTUYUIrmxdLahbtJ6RNmlJ94IBebePQgra2Hgep
2WUjYH1gVUWHSC1/aQXwn97wa/CHczWuBT4LGwdfAyAjGnwAYqSXMe5rie0j5L1Qr63HR/Bevo31
I3ogjs2q3sCCj7yyRS1k5/txm3CwFbO1mYgfQlbpFas4DHcA64GB56B+f+csGcTrGZX877QATa/Q
ahEaiGUYrJhJhx6kmYFbAcgovNdLEmiJoZXTX29WYb6xAYaaYR6Y1utjAYIfb+BS3ANMoep5EJOm
+RzW6iu345qNgAdu5v8F0p0y0tVKPLXIte/zwrMSTXqIhHMoi7tgGI5B2oCWRXHuz+TtaUejAC4Z
1IPh0OCXr4dVeYyoAQye7tHyTTpcZsPJV90u+muncm2GOoJiqyUN0+bpHv0IXGMq7cNUPMhrSLu1
wVA3TFh4TVBlBe5q2UwSKSRhjSxlWiak0n7fn7fb44UBzcUpVAAVlJqpAfEak6gR26dAFR29sHhp
8ooUQ41hAYwbyCuhwNK+AHEBkvCzHiHaHK5XyWNbBsUGRONBBHRAiAQbM7yUYqOXVfOF7qn1xM6N
z5w9B8puiIjnlkeaKo/xlWZgp6Ldi0lUGTVgngZouXJHaIc1TqAFU4g/wAMB7AMeAfRTQwE+Kx8D
rtvHoQftsyF5GyC1bE2K1Nr3F232wFfxN8ICQCtmwpC5MYqlLtPKk3mmLLtuj7KswSiFESQrqZX5
X7hjgcZXpF4i11WBseC0MqRt2daExcqasrhxAACMdIateEuUas0Y4oE73x/gbcJqHiHCBNReAZ6F
/M71RgnUnMsQyHb77qfIP4r6hlOgcZYBJwqaTL3S65Xx3mzMb3tIheDdhgIR3TWlprkclyrGO9R6
/jsAogrU860BYY37A7s5bpQdalxd6QVoIOVhZ7B8qSQK7/pGJTzwq4X9xd2o/Dsi6qgJrRjxnoYR
YceXL2CR3YS/NQjXVWaon79YI7ZW1mxtaPPPLzI6vh8GUMeCwcP08xQYEE1duSxvvOI8d6D6RvYU
lWdcYdcGEPX7dV9i7qafeahPes4b5v3VWbNAOcO8QNYynXdBLe8ScJh6tQQeU9Ah/7xv5zZVQA2F
cvDoBW/5UhJwvMKnqDbC6iSKpHH2XkcKcPa/+K+DYMcStEz/Pw1TsV0hlf6U+DAsHXmtgO50bwWl
/tpbAutI2/fqoyArc7q4Dy9Wbf75xbaYmjLmAg6r1rAvsXAQ/ZdEWCGRWTNBbfXcC9kxjETMpnDq
hs9ePeTCj5WJm18LNw7xYhjU7gb2cUrTefMhADZAIqYFuvhW1CQ20GGW2R6/4iiWXDyYD9HejhAc
71pqTKBEjwQQrXZ7NhwI6+EyFtZkD5em7dIENaQ6QHN25If9nh9Iv5F34cplvzaE2ederDzkFzLY
wBCa6AffHKPuaWVN1gxQ12AgcExdikG/95DBKDZoPiiDB+Gjd7uD+sDuzuEx0pPH+0ZXJo3mc08a
H/Bbxe/3SVYaOVfqOTCO2ZrgzaIVsHeA0HDO2Kjzzy+mrgjBZJBkWBpv0HkCMEG14kuX7jtQVv1j
gNpeoOTpk7qJ+332C/gPPZLcOrW7zqxCG6+P+1O26O3weIMSiIqCIahmrkcTZInHg5eo34/cD3bm
HLeQ5SIBgWayqos/sEgro1uKXv4xOHdcUwa7eGgqZTaoF4LOhrry2YDzpYeaDLJsK9t8eSr/MzoY
u7mW2rhXo7xHMnT80ggZvj5W0KALuwG0Snj9oqcD4TEdo6ut0qMrDnuuqB6zCHokhzFy76/RwiCu
TFAXUp4XhRKD1HTPc+958gvHtcyPNdgETly+cmznrUV50itT86m+2Nt8W7SMClGXfZrUSJZ8COr7
ALkQbu0NumwHBWOUc78FLa7tzM6t7wScIWwBrVf1TEUyEFowora2AxYiH4zoX0uUo5v5NLhRwWFq
8kiPodAjZowZCzrjDURemb0FnweGaBVZGajiasADXY/KZ0d+VIukB06+JZk4kR4ZtPt7YXHioNbz
/YwGOyLlfCROmJq4wIbu2W1a+hYIGIkoO+KQOvcNLc0bkt6oSqOTBrV9aieo5SD1YtIOoBBoSThs
kuJVzd7nHB3X/n18jxQ7SvyzWMSMJbmetiSP+jAU8gFY+86tGZJxZlHqwKzEfw1vAi3fpSVqUNDB
9HtWrIc95A3AayVEgd5W2dpD+rYiPZsBXAH/o/qIwPh6QCCP8hUphCRoI+jFnjW93GYZZ5DJlNjl
Jl9r813yD5fmqG3Xq9AsZgYsVSDEO/kXw/tGOL7yvslxNpDKf0kOg/fe1eCo1RqR29SGGIOTushI
c5akkGFvjfu7b3UKqZWqhqHXRqEZQNv4gAY1WVc0vXtg00NQE6YzmZXs7ff7n3Z8l3NInave4+S+
lzCHudlZtR4d87PyUBoeaQgHMHxAfoGb9qCtHDI6nQtA31z8xGFGahhFavo4e40st22gDC60Aljd
s+f/qg2kfPFnoA+VNfB2sF2ZXOpo/zEK3NY3qSny/tT2LEYNjXg8M7gDsFCiUeQlsv7+KIakB/Gv
4SnjBIowdDbfX9NveNPFHN/YpfbpUPqNLMby4NY8nm+gKM96S8IFIHonVAFiMbZ65pUrbL87tNqm
98EXpZGQJ3IvGYH8lsaAhkq9HkI7NdvlK19Hd3X8+ToF5T6QKMqI6qm4JFEhpTR1WIpKjIgc/kqK
ByRwEhWliQ0obZSeIdXWW80y0ySbf+zORC1zrgi4TirSTxgRnYo+VkMKOiuSwRMCTgrZG0mhZoan
jcQHF4mQmIy3q/Ao5A5F4eJZyoEtYGpDkk7CToG8vXwa820BIt77i7Y0LQhzgUxC3gycEvSd1sl9
JnuF2rrV8JD2KerWT9irgxjqcZdB+s31C9KP+zVB+4U9ij4eAfRx6H0Ayww9K0qZQfOK6dyJfam5
3J5ku85La8hSU+j/LiKdVwC2wHMFRgu0etHVZE1LgYcX1c4Vh2MhBqTrX2LGknmkXXdoqBCfVqaU
eq7+sTeDDIF5AE0ZzYbZiUwmTZzQuWPc5s/D4PNmAbvoAxZ1Fr0kppBAliTEYj7zfq9skyxbUy+n
row/n4DUP7ovkeu9kfEuxCThq1Dr3Cc14JFCFAmLTjvmVzJVerLWevldlKIOPnCiAK7Ax7FgHqSc
eTJpLZOlcu/G8pg9TKLEPCVKw0CLLvZlkG00+XZoseOFohoNvwE5b4bicDZqrRmOE79nJhWSebIw
6qMHTibEP4XVKpGqt03Z7tpQPcd8IBgKP8r6pIAguvOKTC81ODMIlzamUKkfFVcXNtMGnMX0kHIU
x0YkLdiTLJEdkeurWwH+RhLKaeVmWdrI8LXgi0CSG6hPaiMPAVv6YRrj3Ztkr6DrfhSZT6V/7MqH
WjivbKzZgd7MM8CY+AWl2ZuNlahNDxaPvHdFz9TEDeQnNxoH9aSgIEX/1YGjDpCh17Hu9VRhAD1d
q7XS2JPvbYXuZGwpDHjG2lwHPkXX+pMya9yWouUNqt2WgTXLeha5Aa68XTVtsnCbotwriz/Z9jlv
wYdbyiAWecsi/3R/Npa2ONR2RSgPcmCq+b56L54yUjZJnSgVvct4P8r256gd44JUMlHyh9UIjHrT
/hk3KgsogwLdC9jt9bjBTZX2QQapXb6JPoHVI7Eigww2PMo/O6bQoera8iuQEToLf2OTmmu/Gvgi
5zvoCXvMT0G1I8/OC1yh/jZPahsYCGNsByuE7IGXTQbfrEKqqJfvfz7gX0FjKk0xFQ3ID7mmd1Nx
J0abst1LySFuj1Bgbcxw0HO0clTFjovgQicjO0xrnD2Ld9OlpDKVu2B6CEdpEb5gZGqHi0uDxfOk
kDchMxCId+HZOqtcBVYkkVSy72+v/zL//wyfTjZ5A6/0o4g1bxLrIMt6YSLtqL6Z0/m5dlaCk8W9
DO/5h74VDSbX+4vxKmQba9hS0veSdZr4OQNYbnwSvBdtxdTypM58bsJsDU1/17bCwB/4kK16t89+
9+FBBgGwh2dMZqAXCEmB3LO+8ubrf5lMtLWABnjmHL+JMvImY5sOm7mFj1fBXWJJkBovIDOrMxrp
JEdtm03bOMHv+4a/GWBvXOaFYeo1A5UeNcmlHpt4AqfZExgAzxOLunsBXwF/EcyqrXlE2BASXj7U
BzZ9fyga1dEQBPVNpEOMcROJblCeSvaZ91qwytp49ANyQVq+I7HoqH/J8/Xn3F18MnWb1mXfDG2O
uQJRS7JRkWrwe6dh1hrAlqYG+QWQB85UhQiLqPMdDH3eTtAAcCPtIFmBmbW6UBckffEkW/ah7Gsk
aLIGoWvyWZ+1ymUyoMgnj4Ax78Qzh3x4lvMDywnbCkX40zDZveAMzVoP58LRAJCBRUcFqKsRtVNf
ibbOgCuYeTbsdNoO3qMkbCAAbYzisZTWOOOWjYHvHSyuuFVoULsXTkPMpBLOYQZeWccXehC+Ezn+
yaKhOeuilcB0/nZqc2Js/5qj/BvwtxwYssXe1Ui192xLGcn97b8yHrqSHA2SBJlltneLpNZLVjbH
7MPf+rY0oWGoX+P7njfmneF8e56LG7lkil6sRwxnJ5FuZaroB/x8Ki7nig49xEJoYiin4wqOnj0g
hHiltpNG3GR+aVRiY9TNkWmI0mxUnBRvYJFUEAFpqI6VV235sDnE41qujk5i/Oeb0LQEiBQaO+je
RtDa8j6agbA32fykKV7xEIzJLJ7d8Iqu9mP83nHSbwTBylaK6goq6W32lyjWP9+ApjN8AKCEkNi5
duedWLRaIGDLFuVjwD+hqAhBZNn3dZFfSeMt3YgzU8Y/pqhQNyqHXKsEGaejVI5l5jRvJRJDY1jv
WWYb/qwkIzp4ILXw1rSvFzcWIuzvVzSy/JRHFGLPqyqOgeE2Vwmj9VBoHaJmbYstBDzz8/AfM/PP
L/ZvPWRFNKpe77Kjo4aj1dW7XB+KirTvfmtX7bHdqRMBz0sygs4v++BWJvi7E+jmAF18ALWWTcFF
VSIFg5tsBqtzoWoQkths7VpvTkfJEqwfDJmMQ8SS0XjoEqfRIYKuI9rOncf7jmP5uIkiWndBMAv8
DhUl+N6YtkirI3GVPAxQZ0YxngU9Y2Uk1VsU2TKCvlp8Kt+auiHCpHvTg9Y+NXrrvd//kG+s7c2c
XHwIFXqXcZ5PaZgjfXLscvKG+eee6tRpFHC+2yn0FBOsyJMS6R3ed3wP3OQTV1nNpNdxazSlBTqF
+Big3S/7S26ePycP6T08hICVQRqD2i5RhFx0GA6u0OVvoVb+GptdkH7cH//C8xKJZmDGwdQNIl66
FK0KzShxEdYhGziG5BnoaD02NOQqM3OvAX3gGpBq8azNFRVgUHHh0mctQ+q3T9tocMGcEG2Feoo/
xiDKVppzF4/ahRVq7gZN8BKFKzF3cSvuIdXq7wohCKxcarTn+zP4rdBys4PAM4FgR4OwM803obZs
VoUNphDxVGc11rjlbd5GB/KZsQK7eMNusYafRrRht7U5jsfc9vev8Wa0tB+t5W8Ks7U4u7eyr+BD
UvS63eD3znwOrURfCwiWgnMND9p/vpXyACC7RGm1gAeI+ADq9mTg8Hr2DpBSiXmeqKXj+U/N4X/J
WF2ZpTy7B3KDUG6wlZniELI/cu+5EzZqdpSAh0lPBQcvc39RFtf/Ypxz4HLhavNY5eJATQZX6cJx
mw9DZeZtV21kNVxrYV1KWmBwSPXMonc4p9TgKvDmpn5YDW5u9tvG4u3sxBnMT/l5Xl2wje9lK7Nr
5/4AF8/thVFqgB0zzBDvDP6T6b0dhJZCvahycV/VgUSCXADKOAaZ6X2jyzf0hVUqoExBTaZmAYbK
97k5OFIzAeN5rBzIVFXZATQyvIfsp8mka15jeT3/mWP6Ucm1iDQ9lPhcVmqOPN4NY26qTL/iDP/L
8fjXDH0ZJBDgapticFUN6fBTrKl6x25Dj/DKL/+9ywKicM/MWuy5lMJHepyfifnQhyrRyNnU42Ou
BSeZG7KOn2q6gtxiE0IiNDTgjDfSMOmNZwGnaVeZbwCKYYjcqc7etfqjVDbMh8988cMOBFa6LK49
WZZKTFcfR21vrmK6LBZwlFLP9CO7bh+byFVFY+w3KTDSOiSbQVUe76JWJQ34YrS/T4Be2ad2OhNq
UPVlsPRF5ushuIH3sWI2RaUrxVohdPG9hHsX9BgopyB7ce01GCHrOrHCreGJb/zoyO27zIC6xL5/
iv7Lcv9rhgo3PdnPprmK7EaMJaLnHSUDUX1u0iO6IcwSnR8IeXjUzFUjwV6TsCFU4HZyxB+p4rD5
cWAKkoQ7Lu50PuRWzvjaHFA3Z8iIpcp3zeCCcEsX40DPPEti8scWgff9eVh2nBfTTV1Gg5cr0K9v
cSvEuRWF+1h7KMvovdBOWuRkfrGb2HdhekrZbdQ4XtsaIBHcMuq+1NaQu0uDRu83LoxZ4e9GJDVU
g2aQ8hHuRSmHDzHsZjviYAyFzO27NJXWZnnetHTMcGmQ2ml1o4lRUEqD6z/U8klgGwJW0Ta0wnyb
8mtp9aW7AiU4Fgy5M+UcTeegjo3AD7mHE/zh5591sGHBvdyWit1/3l/RJUOoRSPZw2vor6TbTzxG
gnZB0Y/uUJbGVMCJMe25qHpnysOjKq5564U6GOAeSGpC1WyW7aE8wxjjfe51KCFOuWLH7bkfUmhf
dbrabgVtpxXcVgi/tOwvWwS/4/JLs9Ql6HONEEuBMroh6BagUV++xWsN9Evb48IEXUuepGHMMwZS
d1391nfHqhogY2aFiUjU2K3itdt1ad2QNeVQrUc/LBqqKb8XeqXA5MzoNgHSODGefcoj3zpq3zoB
Kmp/u0nQxQweLfg/FIUhYHZtzFerIQoCiAuKozNWVsd/CD9ynijxyr1xe6av7dBHTI2jJPRhh9G2
jfJjUt4KNNY93R/M7Wvm2gjlypsuga5dxCP2F/lS50WP3TL5yFr3rSw83GEGmlQspBmRTaXT29CQ
G9kOmGFXGjh9UD8R/Qw8CD7NiTF8AFqmbpO/8eEvZnxJpZ0y/hqRQSgCxpBQXS/FyAman0H4WwQE
YNxmauHw4obPDR83Td/24O5fmZbb/Xv9vdTcAzYbSko/wePkp3F6bJza6GQCTL/sr8An1yxRC5AC
0IG+AViqlE2gbmKpNGP/FQ1KOhuxQDWsgJcWMCgYGS4IpMPQaIeW1+vdi0ExQTxoGFmcHIQucOrC
rLrnQRhI2bfPGahXVKuvWdLHEwH4IhJZHZ2HJPTsht20nc5lH1EGcrceJaUNv9bxexsny3DzqH+A
UElFGZX6vL4D5+RQ8yPqIJxnqlU5krgAWWsXR79X9uTC+ZqvFAWUBCDavSEJEnJOrQGH4V2xwhU9
6ByaXnJTGZ816QniIUV57OSAxMxz5UtoByNS/lgwjw3gOOFXJO2iIPqZqr8UNABBCrl9g7Yf0/pW
3qxskJXPpEUXfK6AC/NE3u3EmLfA72k2ShlukXCNT8HYrOHivxvEr2923H8Agsy8kLiUaK0b8Fkl
aQxQn7vLCdJpJTnK+ufnp6h/nvavr6/v7+8PDx/bM1Js5Ksnif7rr5cF9pHHQaPTnNehe+KKQJZ7
cF5KbrAHHoHI9mBJAKSlB98O7WYn2J4lPKX25MgbzsyPssnaSkSSbXRe5UC+vZ9ncSdlJrOGhsFN
d2+o+aqcQErKlVDAJ1YDCR8fTEHMe+3I5v1hL6TK0XaN+wR0DjNmkp2vuIsHPxdESli1iuyy2+Bd
syYHDBkPmSmDcHnF0ny90ws8c5eAqw/g/Zu03MgKkTC2muzm5DjqoFnW344++S2S0jjt37cB6cnL
fZPfGI8bk+gXASHHHL/RDE8KMOIFiJ1l19gdqpN7tH5YByPRR10Lyae1OaKHlLgWgVt5qk+O4+jO
1jRtEmHwxuNu5V5deBBiqi++hop/ggllczYvZFchoZl3Rn0G4C10I0fXy/2wTZBN2q5BgNaMClS+
GDsa+p4DpgAPzhf9x/hZJqbwKuynB2hEdS8NBHqf/eeVeZ+vqTvzTgMd2TDCEzwoMe/GwfhxOFrH
Y2ZYx0BnyI+SfM6TbqXQ7yL5pnowMO/PEdE/eJIfnUfp1BJnZSPQIh0IPeepB8sGXinaTDR2vcur
LJH9cahl1zu0Twer2iehtX/lLc200QChc78fgYP8GrfKGoxvcdNfGJ697MXxgqQK0sM8DE+cwev5
QXuuOruM8f63GuHt/rQvZJkwSrDtfDeIiuiNuDY2gAshD9kGJywl077Tzv0EJoTT4B+8VyXUo6cA
Uk4rU3sbAgNCC70c0OsAbw1Rl2ubYHVl+nBAV3mBFZXMc2Hnzsqwbu/maxNzKHMxh1kIgdre8xSX
tcUtgKlmZIUmo3fk9RXVNEd0VqEYaxapkwogQiskPqO4g9EZve47zEO1i8/cE2/kFjaokx28Fff4
XZWgzgxYMQGI1KDciuZzaovKXDnyflJjlCAc73aBrpml/hkYIH/WE4Lyv5VbGXkq7XJb2vUBaAhr
noPU9glrPSVG6ETGQE6SXZHIjB5BOUxiMn99i78VdmgkhNFfAfPT+520SQ7MptF9y9ODTQmc9TNj
qSsjWtwZFwOidqOcVmnIKJXiGoXlP57z41pD03eBgJoyILdVcN2BbXEW+rzeGArK9E3aKYrbGKIu
7LwT81RYkYUZMycn/hEYk+Nva5t7ra2KqLvcCnYBaezGjrGI3hOPeQBTsuM99Ov36oILRK0Grxdg
EBf63iO1CzM1CVUXul1ma/6oNoo17XmT+G4S6t7r/TOykBoDNuLCHHVGYC5NpixS3dZEoy4g7JZi
Ig9ENPMjN0IrsgMTMTVRjPt26S622bFe2aVOiu/VgVgJGKZsq9tmkz+EZCAd+qlfy01ndw+eed/g
gj/9RiVrUAAAPQPdxDZV0DeOkkF1PTsyBKfZYWEt1ilXfM6aGSqfLUCBCVlTmEEY6Awb/1GzI6fQ
lff7o1mo5kLoAiDr/zcc6tmRQDlXKftedd+yTUcCK34EcvTJP8j7yW4hN6DgikRS851bMzz/w/TR
AY0X5KjRUwLyS2qAMkL5PJFG1W325Vb+kLeJUZmiodjjc/xTOt0f5rz5aGPgsUf2QgQ2VqFpSNjI
K7m+CzRXKM1QJPBQKKL5gNGviR0sRbPIPv9riZpPvxECKItFmqsFZq9LAfCf+1ow4vZZNntO51dC
utmF3Q5MhlQAaFbgtudtdHEz1WjxaKY009xsHz3Lz7yxph+1PHP/GKCr/VBl40ZvNiAfGAcI6id/
z1riymZfnjU8NCA8JIFyjU7fA5SiKZ1caq54YD/KLf+r+gIrlMk/8StvykVLiBIAGEJjG/TSKI/d
pp7YKk2vueARKJ+inwq0qCwUM0GVO30oK9tu0TldWqNyHE0sd6HktRrSczNcDM0k+aP/yB2qnfLA
xnr1Azp+EEdfe+EvXHxzKPTPIKmbPEInp8dzMKsd0eD9LP7ifrdrVLJLDurSBnW5anmhcGHcaQho
g470H9KDeqy+cqtZYRFYqDVAl37ukcFrFA06NOyACz1I2qSZ5xpxTZJTf97wp9HQJb3ec+Y2PCbn
+75iIVEEgwCVccjFoNuSpuRL2C5j1AYG2a1CSjvAk1Tatbg/A1SFQdpNeCsFBkDQof6ot7v+c5UO
YnFuL76AmluoufpQBsIXVAYanx6JYgaW8Fnb8ub1gTfAcvCenCN7Tanu1pcABzEXz4ApAYWNSD3U
RrVKObDieK7CTpbHb8qK205fTNNb9yd4yQ5EqDG3oJ2b+eavfVYll3XdFjXjslqxRRz6s5x8xQH3
VWcW/MCuBAjzv3blIUUkFyBVjmQXB1oeuslqFGJoJhQx7yYMnHDcV5mRg+re5IVWWIk3xZt1Qxoe
3F0oR0GKaEbQXo+MDwCPGSdBcpnpgSu3bLFTo02hEQUdWx7z6nm/QshCRAcWMBP/eRpOUk4k/owo
TVcEe/jF+h+to3jPRaJPZw4VbPz5u/rIc0dTn/tKZ9Eb5O/GAfJNnuX5RlsbDUD+MnRoQIyWkvYV
0uJNZ8olAvMUNbDzEO8EfwWhc3MlYJS4QhFXzipxN3eOCK2LNJtflFmgemZZj1CNVJBGjNBBbiZh
VDoBX/hm2Y7eys5ZsqyKM406BD3AHDvvrIvbTpQG0KQxlezKA4MG1wFk3b7AF5t6wCSHkpbaSh1n
j5I2rhX6l5Z27uRBYhahEoot1L3RM1Xpg45eBvwGOAmOMB4EC+KtlJ0FjhSHNLDafAvWaTk6TP42
Uo+ZFusld2B7neWcgNEnMM9+auNumqy6Ir584lqgMYsfvO/EqimA97a2mPwl+QrLQ9p46HW02+Td
T/VOAsufru74t2wriY+sOlkh1NZ7q1L3Av52/3DexvHfOxj0ThJSf2jCowYqiyCAbCak46ALesL7
qQL2GCR7bVn4TlE3o1FBDt2IK6HblFL92CQySIvG8tmX09bgOU/VJc0z+jT7SucRQnwj1xshVULC
C6lAShCDkS5Ths39774FgMxYOw3INMSzGAIdTwoB38uTryZnoVaTDbjO0geekTdBArL4EAD2boD8
mOANllbgrCEkLiwpjf5WKRjuCprp0HzFY3DOJNPOrcsBlI+qyXOLCLz4DZc/RjiyYtVDaBwFHaxk
LDenQHkJuRXvc5t8gWkVL3fwNkNhgKVjQdGThZKtWP+c5rbX64LTc1bH2n1jhOe+2QKOKXm/xdVu
pHlDXDtYmMWYoUGCdzDEQ64PpRznAhvXmX+OWk01WQblot5jPXPMu8CuQw4Kp11dOxB5F7d8wHQW
+kpIG02FoUIK29T6slkLJ2/eFpCrBxOsBKFMiC0g6r/+JLFrQGId1f65ikVk2qJal9lY0mflYasS
8tFqASk0YpBo2prPThCYqjOrCaNoo478GkLhNkmArwFzN8rqUAGB66DuOz9iwwJcA/6Ze1YDPY0P
4xcLhqJJR+NlhHeWaPS9mYWm4B050ax9C9CcXCwJmx6T/Ce/59EnXTgpxIsSEqE69mvsbCna5pKp
cDtJMDTtRTn7oq4wa/M4h6fU0s7JSvTm4J4GS/B8313421QC032e9thRL55MAh/vXWGfPrbojxc1
Ujdvef973EWTncprfJjfGdob23h9okKF34F0vbY9Cj0PovjCP/PqA5yHZ/hPIwNoHAmKbavqfOfE
4qmRLNYzeKP6SB7Zp/5FNMfBkKIdpyumyBPhJLmpavSe0TGmBjLzNadze+FjaS8+kr6Q2lJSgjL3
z+CN045MbQ+CKShb/yChbtgcOVPcQaT7TfAd5ZGB168MTmellWX6LgxRUwUGAZzCGcQ64zeup0pA
B2XfSqp/rvvYzB/H8iUD9atve7kue78bZt8Vdtm+Z1NEBHEfjD8r1pA5WwEuaJAIl9nIMXQmxOYg
U0zYwkw6Q2TsaURrwkOSmJF3guqAWJlM7LQa4RJTehR+oULqPWtPTbSpanRNIbnL/BblxwCt+i13
aLdT865oZIBmZrgJn+MR2hbZtpHWMJzfHNL3Bk/lEUQm7cQUqjdn+VDL1sigoXd4Cv2D1unxNoxe
S2i1O2n8ipYmXNpoYn/PTlHuxJIxBXu/sWTplR+M8Zfsb3zmSQQyPN8qo9HCY2v1UfYSIlRP8DYk
G85o1x7n7hE97E+KbIEcXPnhiRulOyfxpsyOQBlC4bsc97JiidMhK3YJcKUh6ZiNr+oFCsf5S1YZ
hWKWw66yQ+WxeEOTyv2bcOEGR6FJBkAfIRpyKxKVEB+VuvFZRvbPTWzJpQ5sfOlvQCveGQBrJYQP
bbXRx0PeoF3NRPtbrWfo59rKqi6PB3GNKHjpWrr6HOp+SP6PtO9qctxosv1FiIA3r1UwNGCTbdju
BTEz3QPvPX79HvR3d0UWcYnQbowUGmlCnSiXlZV58pwMyjB97fnn8ZDKaI+169jsUUQPeJIHr81I
ZdmS+djUxTXaiYXTeWWZcV9tIg5TKnP+mctImiYgfCmoUWtEUW1QzFRZStCZvTL7t09+xMaI/uHs
ZzJV8PRcH0a0QUtyVfnBueEfONw80TQcAl8ndQE8RTbzxVlxPRK0Uu8EBM2djuMYjFtDX+X3unln
4Uuk/zRHzfk1tjU5jQqxlFspOOe60oOtLDQelFYcnLLTBNqPdebWWqK/5EJ/8hu+2WeGP5h5OoId
KRDE91xtDTrySWyKpZB/FZy3BvW+fdrjC6HyCMp2EWxg4CG7niv0I2lhWgfhufWkTRVGpqFVFFD2
WnOK2g7azqq5bRZ1kOV6irjXpHKNyo41wJV/3z8zt0VKFLtBQYSwEAunayrjyNVClkY1zeOz6sSA
NAlvmj0e4KximYreVlQ2yBh+xEdlG53vW74FCM2WIY0q4YYFhFFhYpUOWAyxNoLkrJYPmWFX/l5T
N3l80ryzpP6JtENaEw/tFvxDo1q1XpuZx78X4suAzvogm3UJcgBN33seyOrEo3oR7mAKwmoNlZSv
QAenSrDyALxJLzGfPIcNF2GBICcyh7grPotqKp0HuCE76usaKJ4EegxVlFF5yIOVu3ZhN6MIh0gE
YgVI4rLZCS4Dxjfkq+RcARLh1mskMPNWY66Rqx/PXCOh2FfAqePHC+ODNr72X5q0Kx46na4l9n9q
QteWkIVAvw7ASMh9I8d0PXtalXq5FMTJeUymnR8d5HEnVNrBa93yXE6y1ecfxbjpKGILk5O9l/v7
7TYBivQOEC7gPIGCmwCZ62vzqcjJrRd4wbkSzEokUU/iER2fdpccsioiaeXwa70rt/vl2iRzuJJR
5zyhM4LzrMwQiy1JJAENWB/TpHxzSDLdH+E8AGZ+kdzVUPMCqQ64xZgDNaT5AMo+LTxLQZ+YQTvV
hM95yvVaTO9bui3qYy6hsQdknyHBa7CRfV7W/iBoUXTOs/2oPvrdBHoc9JqJ38joKL9A3JhkVmkL
EeldVT8ajT0dwGND2ppk4j5eq+AKtxcecqSQ1ZndvTCrwF2vrdYUUSRySXRuuEM/0zCINOWelEfP
5iZSZNv0qKMkOZL6JJ0N9VQNG79Amg8aXdnK1NzWlTA1kjyrjSsQP7x5jhf8kFY5OKXOlfxVFC9d
9VhzJymFvk5g+SFRPTT1R2dlMCXUiuWdB+0zhJdiK0Lmz7q/TEvbb3YYwF+i9oPL5npW4rwcegFi
BedWkhAOGW3mVFLUAJebT5tIKxMTQcLa+2XJKEiMwH2DtcDNwhhV4joQ0iCMz0mg6xu5q/lt334I
TbcHCmnCEy8yVjI3CxmQH/4ErDzUmjFU5piNpQfVghGzOsl/5HE7agLI6fHekGuSPg8IxuvQElpL
X4MFLx04Bfw2aMHn5+wYE2aJfVtEeIRHZ03tpoMAJpA4Ra9LU00rvmu+V9iTrYGoSUCCBeSEbLON
1Pb8qOlBjAQHtGSgchH1K5fMknOGQvk/JuZlvbjaPPhmdPlH8TmoBSLoMWknxO1fEqALr3z2MUoE
Aj117EYDGVZKU0s75tI0EwypvmQgHCrjs14o2oOWDRyNEgGQpELDc1fLddAzpanz78+Ghhc+epdU
IB7ZCGwKAmHijTo+N2OEhtkXTyrNQPJpNBQ4j+naFr29ZWelGRkBjwKcEG5yZnrzLg6mHGNEu6pg
570uQpJ6KHeTMD1BQXqmtNdi00esuhHaAsiwCK26ctCGZsNVoELQp8yKgbG321r90qJRAgUUF+7T
SVxtaZ8v/JvNhnITEt1o7zJY5qoGxBhFOglYjnTfKki7olWP6NJDDXGtaYfWVL524lVem9ktsFYx
RSCYhhwUMh+MB+dzZZTkUYnPRlqb4DSGiPQzNEjS7AW5bqmyW7zQB31f8yZ6fnl/LQpaukDQQzfX
Rg2QarBsMw3vicUkFsmZz7vwwOU6Wqj1JDlFcnCOwed9zCbIYSm6l9Kx6D/+9V5E/gJ1NyA0IdX9
E6NfnD1F8uNiKJrk3EKAcxz3kmL2pSVD7Kb4vG/ptnUcW/DSFOMquSGDmI5UJ2fxgJ7L7buW2I1n
vbXvIQWBgJXYaMLcFTHVoJuWHiOIIW38o7pajb6NaYH41eHMoOs3qwMzRx7aptIUh0l6Rnq6NnNR
ADNXDL3ef38BXplhHHSp50ka9XF6TqcIXco7cDIF4h7sMcNarnPhHXU1Ija4FUs/4FsdpqRn0Zly
or3pH1Ci1SGHQRsLKbDQHnqC2tfzyorepnxheNbPQSQ2y9Iy8TsIzaOuCov0DLiZhYT7r/FcHyL7
OzrWxI5MHeCS3qxP6h5KmuMe98da8LVwOV19wPyBl7t3VEPAFLP0XPGZQUbVSCw/HjP7/jgXsinX
42TiCl/Ogdwv8vRcmKp3ansTFGsipE/BGWlz4qZ+Eaudmm1WrC7cTVeDmwd/MThVrytIP2Bw2vGr
+pMS1KZiU34fKDLB24pKO2qNvx/vG124K2ATnMCgcMOD7yfRcmGT90UfHAZNeuZivChBIfoblwYo
/dsupmEXck7biwOVs3wNUPoTKDFOGM9xYGoALENOlRXRRgXHR6GoTc4JWOyOUTMUAq5iX24pDzkS
MHHyDZKJfTvGIm27SM5f5jzcq8/HY0OGJK8Ut8jzJqfhGKevgR91XzFn1N1XFwxgLiOVLzVbaMQU
E5W6lgNTh6FXAbpKShCxGgW6HWgkBUNEoV+mZhAkmUAyEkI5XaWBkStfg5wEkj3EuZwj32golpAM
wW9pCP3QbIeoig+QTB4ymmcqrgtZabLevL82i+d8ZgjDFY7bERWn6w0h5p2ilEWZnJFmaLjO1Gsi
+OBO8B7B1tu7CqrZOo1DUEX1FM2/aHu9/wHiwk0FLat/PoA577LMZxGkg/CKjjatwgNf2oYQAY53
NXSvJRqDtvUPKB4HWwf2FHUTG+zByp5r7cJp/lbce/CKuU6ap8bHvGPW0+dSPaAU87/4TOCgwTEK
fm6kdxgP36MrdiyiKQG12Hf4i99ELhfIYLat7LA1u95WK9LpBC8oWvotrZR3zntIAdPuqFEldEDk
Hm89z0INE5uiirfdsK1ChAOk1Ai/xjZ/y/uFa1FGbR0AYEA58Wy7XtUW2XNuGoTknI+bUt23ZUzi
wEbyUEKjcyR9t31oNUj8d5FAuvh9BE+3twuhUxGjNwjVzXKrS6/GSNUerW5vY/Q0AvuQmlXJkX6t
Ir/kHvDAwisfj/35XXf9rVxQhf0YGckZJf/O9Fu1MMt09IiBKbdQa1VJkqT5pqq4NeqshffODCME
qdLcrQMdkGvLUKDxyliVMUsq72/qQaqBQhinByUti5WbeylAQFUSAg0IzUFoxsTLhVb6SjWF8PaS
IIMUuh2tyMhfUQPa8XG5VktZvFwQ8UIvGQB+/GIOFYfgM2xB8nLmU/RACYYdtaQBZ1bzoo42igXh
WzyZY7B2p83OgvW3l2aZq9PTg9CLyjY9lypRy5OmHFp+r9s4oFy8LwZnrFZePbcQL2x0MOAi7YyK
LNBlzBIOSlkLAYTNzmOHBAVgR9AU+i0CyV6TVnxDpUQ/BQiVIosbza6mms3jmgXi3wAh9PRXGHee
vPJJS/4MYBpwxWrA1aB8fb2p+FLgwpbjEDgFRrcDmStwJY3yLHK1coDcb7AX8tKnPJeGtAWcd+Xt
uZQ7kOCiDLzKUDcHkda1+VjzAhCDx9kZ0i1Ejd61EaU/ecNpO0lysqFxEv+x0msrXBPEWgzFYVSU
Z7Z8JCYZDykLKSBGHSz3ChnKx5rPTAPyCV5kxV1KKz6ntfrWNS4a/Ymf2opawzXioVhY6MGfBFT5
AkgZgnTsYQhf9cTkPQqKvvtufOEYQucS8TnyhkhosceQGxslElIhO0MTmHLS1q87EGYcjDXwzULx
CPAmPMeNOXepAkFyvQxl2ap6EUvZOXGrZ26bkppCYog8PQlPfyoirhE9LiUMr+wxu66fsq6pAtjL
ySGw5b9zR8fT9/Rwil2VvBVQjj7X0JRbvb0XTvyVXeaiyTKh1qdIzM7dHzwSYnmfBb8yzVHyAnwa
0LqpdOIpBxB48cNzze09fE5hJrE1oK+o3eeFlScrMNOF83f1RfMWuIg2uUlWPbxJszMq6HMLQWF2
fIpdPxAh+K6HVSaRRXvAsfEgr0THJ0s9NI5JqNUF7I0Deis3yMSSbe4EzwPWHLB7yhNaHOYWGqsr
Kd30xPxK915NXu/v7B8YBeN759jkf76DOX5ph37kwMAO2IOjhBhEQrWYgOsV++67/XBq082Ady3I
7vzc/358XMvNLuWJr+wz13iddVIplPO8E2BdQVBYuXjS5JEz7HIPww/wYgzNR//3/XEvlUEu7bK0
ROHYgoIixLhbOioEHfh4gdPEs4LJMaXtfWMLr6crW+y1CoH0RA8wRl3bd6CIjZqTN74O/vcqamYp
f3llirlKUz2W81HCsKRjit4bpGnQNtzt6x7vXlLJD9FnD/ziwVtLdy97rn/2EVt1UXwfQUWAEz0K
m7wkbU75A//KT7v4G7CdCdLz4GTJrfJZVFeSOYvO+cIy48Owffo+mTC7vPSoCsDZRfYAea7V4HjR
Z815bjDAAlXBUm1UvcrJqg/Ap8LtZ0CkYqcCOiFAI7/loM6qzYWf2K5+iW+8gpeibhvRA5KXKSqI
RrVGAT5vmdtj+8/HMO4qa4UkGASsc1QcusAa8K7hKKQL0COfANSzT01uLWm2vIv/MTn/+YWHnF/E
YJ7BPEuKK0R2A9JU+R2gY2GVZ2QhtMcm/scS45NEcaoiI8NesjMTPY9QRznSydvcP5RLxTtwWAIV
PhfvgDNjprDnk0KICzk7v9o5iY6BWR+g6dekhO5mtwOKk02/eabg+V0rji0gdHDNX5hmptLgNCh7
aLPTNe32GyU5tJRm9sxYvs022UTp3+SQ/+4Ly7fjmpr3B7586V9YZ6ZXbfs+zhoMvPpTW0VIAgWX
6guVXnlzB92Fyn7sySOy8OYal/myk0ABHyBRpHZuyMxDiQvSsMdzJpH+gFp7kHJTLXHJTWiDf9L1
1xqki02CrqktvFSVgF41Wjk4C3ALiACj0QjwKBHVdxYrp8lJP2Z8lZ6HjkS6AyROUx98C8AuHF86
fqexPUYmHzuTvDWc+ACW4JJmjmyr+jZzhe8ptZBla/ZRuMnWutSWPBmoCZB0gjtDxYHZFn3kd2If
8+nZEBq0kObIX5RjBtNRARqQZg29uPCOlaHKgXMG6WcdFMHXB3qsBLkEfTHSwsO4mSBsSABcekQH
u3N/wzGhDoq/EMCYhwMSK2TU2KuhEoAirZtqcMdyH3oV2LKREC4/qpJI3pee2HIbrMTr80RdeMfZ
ooYWPANPWcCg8bS8HtlUVnHSZj1UuMzyUJBfu7XG3/lOuWeAOUK1pHYcFw6D20uHXAlIteadFubs
agRMWCSh8sLLLUagxoPVxxFtCwIKjliRSCJqiIsKv1jxC8x2YCftJ2K68O8DuHjiloNJoYQyn3LA
AxjKLSsrwwYoN1aYWGj0Ew8ZTmiIAQprS++S3fx2ld343lgeUvL52/2tx4a3/88cHtaQ7ERVi9W4
bMD/nco9xL16Gpx6p9tC5JLIRHFqW3FkM0SpoHbAMOo+TAME2zg0ZKfosP+6/xlstMl8hsE+ryM4
JL2AtLkbR9tu9MkkqbREz07XqiSGu/FboiEZzKuv9w3P+/B2n/738FHSuz4IY8JXsd9h+Mm2eOkt
76N1iyd+5SZl3frN6JigEyxD0ZQa0NbTa+hEmEJLxD6c9dw/y/ZdCnOLB8w4N37LsUJGpDtR9e3j
tVTZ8vb9Z6jM09kDXTVY/zHUlxNdY9Jc2UZIj17Po5dnFaje8cN9USYclIyRozfV4NBgqBFHa7xX
J8300qcysMD1NWV2DeGdkiSA60Pnu3W60s47byvHBZ0mBy08jfFQQ6Dl/nIv+z1ki1FFnZXMGI+O
Jo1ubAwc4ZZ3amA5wT1goMBueYL1fzPEONhKjfQKbIE4xXbPke2u3aypgP1/NtU/Y2FcLDdA4CYO
cGQa0JZEOLWCrRHBDH514PV8NKEATu+PafmQIieICrSElD1b9tEFv5W9iB/cUABOFxIkVVORpPtu
gVrSwCngPUSN3YZruB3m1v/P6bkwy7j6CbwwShpgLgf+2fBzkrz5skc4f+2ULh6Q/7Fzk+ILDFXn
Kxl2JOOXnjjJieuc8Yye2nkHBx+d/1mbRSeRqRHxzxCB7/35XbzSgPMFTg75bP6mNFwofoRmMXiJ
kEfjGmf1xV8I0dgTVBnEsLO54cx52/s2l6+bC6OMA0zavgEKEEah3Pyoc4DKBmhUzHcA9CjK3gfj
pPgqa8mWx3kNMrz+85UGffaZ8Z/lhXtHklZDExCLIxEgYNaLkwDXr6SZIzUvrRRbjVd/CqUt853V
auO27EuUEMwA/I0ZdJNi4blDx6AY5NvYh3TWp2Yc2sTbpf7K9cCmfW8+bt4zF3d+X0F+EGSP8Guq
YiteajbGyWsdaTC96tBjSp6EcVt4/1K55T9mZ0JEOGVEamzyJUvz1Jv62azn08l3GokmqX+oOOPX
NCiWrnP/Mr99Y5HZB9IYiNXUwqLyzG1evJOwG3biqTSNbbgSciw7rovBsbdhGiZBOcBUnVqC/eKZ
qqk4DxYkYJ3kwV2jI1n2WhfmmHsvK8MsAvZ/cDnBHCcqTKbqcn+51CweM7qWtmQR+zfzyFyEgW7E
ITgnBrfIlO00tRu/BMxcJIqrguElONSygD96lZC2z5Dp8qGciaLlhOuokv438ercBAzmOAM63MyS
qpCbywtfxKe0jtgdFPGlkFa2zW34pKKdFMpUOrI+6OZkXHNeF4Pk58LovgMfZMEjrgUWtz4RBgBX
Qa4fvwHo4Pr8TWMthWMBA5qfvXAVrcHEiLxdKFtlmUNH+kMsupVYdHFMszAefDA6JNkHsAc60mZC
vdKV3nuAGCMK7Y5TO2Oc7rvenybL69gTQ7owxKyPyDfQVxxhCKdbpM1vpNKlzfgqmQIJd5o1WOG2
tr8rC3p5JTARpnHqfz+r/5sVBMhdQUEbl8lPxfPCwaErRh2UChMsqtSnFZX3nLmG/Lm9wDFQyIjO
DfH4eSx5ieGVdaYm6uimOvUge6OXlhCZ9Srr9uLKXdhhzl4MHcWpkpXRjV54lWSVw6Wkeqv4x1bM
V2IhtvsS5/x6TMzFwAlJWDS8NrqDHRPdamwQXDkx6Xc6HR/IBJ41Y/5FKwsUQTR2Cvi3XUZ2FZ0p
nrzVCPw2eLn+HiayLWMjj4VUx/fgqZREtqfWkHNcGfWyEfCsImAA0wgLoC6HLpH8HkZU2W4AZxgn
rGKz4rYWHPY8lH+sMLGzAfxroXKwIkdvmfbUO1lqy4iBEumz9y1DS6k0KCsju30YoIVWxTUwa5ID
NcGcRTnQRwhSwaYW25Hxp48crXkoDGqgI//+sV/YpCgj47DhPSTyqGRee7RRSGWpqMvB9WJSvXjg
J917x2pnnO6bWVgq8AyqMzc63vVQjr820wj6aMR1PLlFxGPO2mNhuFNYWvetLMRHSFoB4zTfMTDC
XgBt0TRDP0WTq+XH/KlyC4wqLTZSS4CFHaCaAJb/BP+2YvZ2uWZ6DbCwYBMK6g3sQ0PAqMUZRqcf
OHLMto3NW7k14RHEWd+tLQV0BPfNWlLrdumurc5/fuEr0f429YUCq7WsUDHfZ8CODVSRXvwook24
WRnkHJhc3w/X5pidIs+9UUoDc1Nse8FBrkDCVL10/c57ihOn1ThLlixuphoPoOnZ/f6/mWd3kB+r
gOI16eQ2f/Rzr+JRALSDDeGsyvFtsKqECMDXqmQr68oyDDclGqDyLJvcLCyozL+X6tv4ziMX1Pd/
7w9v2RK0gJHhBkZKZ/ylXLcJbgsO26R9jrgz730G1V/J+87XaKAWXlhYxlnAHhUbbNYfBeiLXaMb
XRsWYzC5UauZZRRacRkSXLgcEol1Z5c5LbwE/ffuKHCPxWfX1CvE3sLt/Tt/AbTZRGUG6rNtIVMC
xPrYJJMbbHMLifM82ACwWVnec/Bk7Dz6DHLvx+A7frs/xbex22x2bvxC3wtIR5gpFlO+4Q0f+3cE
akkFbsgRJoiCkAYVjFLbiU/3zS3cG9f25iW/mGgxbZu00uGLRv7ATc/1r5wif4pO/lAnxbRFvmTl
0lieWEwoJBqAd7shLwZPSpprRQ4iVxusHRZqIUDezr+2MvHIVwSQgr9yOy76oAuTjFPQW2mo/b6Y
XJ4Ke7AB7pStRtYyESz8C3sFU/mPFZaSuNL8uAsmWGmt7CjSl4kEdNocn3535MMHRQPe6TRxQFtp
SnQl/F7crBemmZtYQ0N1E/NwAc1U0lAG1mKqwIxzRAv4yn65vSKvByky+8VQG0HJYUkGa63om2o6
mcpkx/xLnryDW6wIFPDfOyLv06IQtngp0LHeNu2Ko52j0hs3fzHg+Rq42LZVnen1YGATGd5HaPyO
h5VzsejpLn7+bP/i5+sTWvmCoJzXMi2edO81kY5iacby2tt3IZOD9iz0aeBvUHnj3XltKasUr04q
7JrBBq/R67QZSLFpNomp2ceMSDuBwhHYIGlCh9jbqvWl6/LSOjOPvd/WHRfBurpTbFQPaEqhK3Ko
NpoV0oHiA6hHK1M+RCDWlfdIsZOVVBZbOP45NoBMznEkHq2qwXggcPAJuV9jqhu7trgjsNUoUCsm
ishbcURuFrDfRiNIOYuJDVHcnK4mO5bcA0gb0VsKpSdAMJhJQPlrrLugm9z8tWlp/FS9ZCfxl9aZ
2UP/Ju7R8g79PQj07vvjGlmBurgAF7aZjaYpiZ7JfDu5pVWSEVj3aludhq33F3S3j0i7yCbwco5P
f30U9FXBK6ilX2C8tc7Ow/msk5Aa9Ckhv3z64bzUZAu+L8IB32f9cn06WO5D9SDaCm2c53O/V5/W
Ysolv3M5c7O3uDgm7ZRoYp5i5iAt4Db71IUizYrDmfc/e9IBi0ZlH6SueEAy8WNRZ8mY1BN8t58c
lDxIwftV6xuO5xMgbCfukPZofJayuqO5CpYZLS+3adVGKA/5kn3/Y5a8DhpE8QIBihItVszl3PCd
MJahOLlh+UcLjlmy4l1vvQ4GCephgIGAzubZmCMBkNWTA0V3G5kCLNm6Gdjz7w+BhcbhuKH7RQRL
6dyxj6PPjCEUaznR+shz9XP5yoMCElBYmtgD5W1xO5oqARVlYvVv980uuDmYBQEm+joEYRYuuN4p
SgD+y1qsPNcuAmt6S0uy7X7LLwipoBTtFGTcym/ocwHvEviEuNOw8rJbuJxhX0VkhQMON8PicrjU
l/oWDHju3kiouhNfuYf4M/saiLg1Po1Db+Yv5akBG3K9Uah04h/W4Dm3TgZ0HNCjkHV+hoqw0Ewg
9TyvEFXP9VOw0kAIZDwp3AkJMiQ0e3HlifmTprw+NdfWmFMjNIWAnh7NQ4U6J9wx/MWRmUtKdHpL
scMnUJ7asaOaA0FakLw8qaZPTg9vQOc+CDQ99dvB4k3R7hweoIDJghqTeX8/3J4kCJ4jdQaiAyDT
AUy+3g5GMMVaHvueG2QlkdG1v6Y4xPYS/ezzSwvMhgM7Z+I1A2e4ssPZynvt5OfCqs/dm3GuHvLn
zBFOwVp2ciGavh4Wc5l7KTq9oRrgufVTs59ATj5ZGY1JRtdgFQueAukQ8BKCBQ6aueylqfdFkA46
3j+DCNrO8iG1pPhRFmJ4+vsLtXRwDR4itjCGdRJ/wvkLF+/lTd9ogcC5Kai5DsGp20r75Dk/FDyR
t/zW2wQPo6uc5b1/9B44d40+lh0oKoozuwL6yI0ZXMVybAup2g1lIXEuhxSdH35lRUcSCNVWUk3z
cmWwS8YQBCBLh7Eilc3sGY8fRTWfIv/Q1NvshNtlk/rAz2XoXp9W+ERYdzCP69IUs1OasarQER37
B8nztpB2BFFFydlljUSdD2HHCFkC3l97orCPS9YoE+gMo1+Anwrjq16OemSGB3Ubw9tii/6+v2tu
grr/WAICDF0/4A5hUWBIRUoZ9MawH6Do64q0sBMzMqs9UroJghaIDFsVye30aJzWlHBvDiFre17l
ix2r1q0cteh6cQ2IcLX+izo5fb/xD+F2KP76E4hVw6/7w12cV4Tv6K5APQcMBNcWx1z0tJrDvAqN
IypmOfCEf49yn2je07jVwn8bMv+MEE4TFW/4UFwr1/byuBeTKcbmmcLkORlys+wyItQ+0mpb6Ryk
z2J49r25pb/Mj1HymGgFrSFbMDPJoc+u+BaBjbw/BTdxBfNNLJNSIgwVNGowB0ZAkGA8erv2EJ/H
Hl4idnMXjT8P7XZWeybc2nQsnSUQsKBchwBpzqleT0fQ9FkbxAX4EQEbPkR/ijfvozi2jkZ96A9N
kl0HhHOl82hz2zUhIhZ1i9sLli+MM2sv9GAk1gsYLyGHkVrDvjmmv1Sa0/gQukpAEZyP+87inx+4
U4eOxTX2CzYEh31ZBBJg5towEB8zIXguwz220DM/+JmTtsc6eBy8kyistSeumWHCRinrR6FsYab+
2+0muuIN2XDgZxDgfwZHxcxY8PNKujiyvCKEGQIkOF69+/DCauu38UpC7yf9chkSzTYkBXS+KCGA
wo5tQwwg9oN3dhccwMfqFLa+m8x0Vx+UzYGz1K/6kKNzd2eY06F4BBHy0UOWZrNBuQFFquRgoKb/
7w/M1fcwN0CS6ejLApnxoa5eO/0TdUCSgycSxH0fenkeaxObp4J2dvVVu3FLOhAOp2cFuZ3737Fw
eK4+g7kTdCPUuFDEtCTgnjbQwmFIjzIHaYmdFDuRsmLtpn6LVVBQYIFk1SyVhmf/9Vmt0gDdp/kQ
HoIcSmkxFd6ajIwjAZE1JDSmlECnzZKPg4WEw99xz5tBSXK0KNHN/WHfFGH+8yFI74KHFumXn7jn
Ysv1WjJKgdqHB2N4FhWSSQ+9Dw1pgPWDTXxE8vOgrD0BfroOmS2oIIQCHf7c74Gcz/XghQHo9cEY
Q7DvuZpdDmCysCttF8l2+DhkG8mw5RIEDFDS+fLtlAS6i/dQrq+swU1yfR765WfMp/Fi6BwECXtf
ncKD5P/qhZoWwIt69TE9eWD8G/Zt8SIWZgGxPHATcMrb/YlfuCvR4TxjqNEkgRob4y+HKgAhi69F
h1h908HZ7IFBWfBI/JlDdjCESGVWrFJJ3cR1wCXAtaD1XESG9qYtDvJeZREn5XBISY4ECYibaU1U
KlrdSaXTO/7z5+/Tx2iCRptO5K0isQlBJeRPCuAYJkQr3z+yXBOdKADFm5YYZo+HETV5BPd73yyQ
KAMbG4Sp7s8Vm2zFU1nHUx11TySmVDDFXy/UVBhx2wICe+iKl5DzCUTOlWDlINy43tkGIvyZlgJU
ZmynbBIEne/l3XBotYL0YDCN0Z59fxgC246LRpif3B5voDVawjiYRW8brk+MIBgPI/087DtzQ98r
c/oDTpUNsp4i/T2Qt5B8ppjBd9kiR7ToQJYCuF56fDmCHJiQ7efL9g+khMy3WYXp+fFRIubO7ejH
35TselsmKjkhNYQHbEI3M6jmQXDw28r829Fff1srhvZlQnv6Vz3KaD2U8K9fna3g/6WV/ayTgeok
3ibkAUk25YgUveNKzltvfmTk7CbEaun9Obk5BsyMMCGcXvFAoo4+ZsSZ6heFM/k/Q4atyYOoZ2tk
K/kAaZ7gK89zbY6tS3Jd3reyBnP7w+eBp2ZMXnOyPXx9bp2ng3k4bisLf7nWbvfLcb8r532tS+dH
fPveFzBvqzQcorQX8AXqZ2NWrkq3n0f727ZPlmnB55NnqyOOShxibawHl75uXIuQE9kR55ep07Ut
ueQRkGz+7w3Jyvaqoyz72oSviUlpvWt0lZ94ZX1ZwYMuUMPI6GGggcIL8Aq45P6239wftbXQbZxh
028nq97LxyR8RCc0b2bvsr927tZGyTj6WtdBlF/iI/LixAOcC6yzODeKEsToEBMPvjhvn4OnBM3Q
PrA/KB3HGXrg14K7tc9gQtSs8zw/k/EZ9muGQ314P+aEp/uYHEBpRF8IDh/FHni37acG97/rWKed
4z6/SZTuz484gV9ry397E0NXAHoGKDcgsQx+BPHas3pdZ4xFCHbSVAQ+ZlvX5zrPzPIzzN4gLZDX
kZnyLohvsvHQe5Svgbav0dNF0IhgRMnKOknzvc+cDSi5zqICQB6C4Zk5GxqnRb3CTcnhnYO0oQka
n31mcg/JcTAznShQQITqhyk41UbfYoIaB7TOHpylCfJ3s7T/RofmnK3B/hfmCP1bkKxApht8p1Bu
vp4j5COyWsgCNDBmOUDMYIo44DKKTa/weMcQvcYSFb90hHFoLNAyNn/kTDS2IOZOH2ItScxkzAI7
00V0IRpj6vR1zh14TfWtKeTXukVub0p8q4wOwDm9imwVs9MHUZ60XIzqQ5F/tBLUxdPnaFgjNrh1
orMRrNTM5qziqXI9IaVmBGVnwIg6Z21fQCgxgY1JJ+oaYR5IMm63BOoL2BOqBOArrk/mfhhyMS+l
ihteENWA2ycBRG+CPk8IeezWF375chf9mYIh4SFCIaP1muOa73GEvrKD1iQPosNjmrlVD9JgM4QC
02eVlcLDOHLh3zyJ1VmAuTfwNJbQ45sUCMd7I/eOE1J9r1XWFyCq6xXQ73RVBxRlV3Gdv5FQVHF6
TvQHR2in7CUAa6BCIzUYoL/iJQDaKNAXdcYJe4l4Q84J20Tpkrey63VQwUvVgJ7MXm6+yiHSX6u8
DKRtAf7lloK/FCzdopZMr3xZ1zUY8so0HwtXKWowdBGwOvLR30DSPB89froHVTdATOt+snNZyfJt
2BrpaIex3ovosW3b6PfYcgqCOUmqGjNSuv+i6Eq268Sh4BfpHImZLbzJdhzHdmInveFkREJIAiE0
8PVd3nQvEjvvMVzdW1W36kAnIRJMparRHcl2SeYCFkmLLGAwVfFqPc2bmMrPhWmMuttajYU4tghY
RWqgkuAGoOpjmN53GN/XuJJw719lo67ZUe3ihg8B4Q0ZjfvjRjw30CcXBvumw4bEgplCDIegRF3C
36hy76YZIl7n0onqoQgEdv4KpjF32OOPL+ssLZZmTbl84nPl/MkvbHuOio7vx6TcL1uojPYGntKP
2SRbB/3S0byuddau14lSQ7o5FS6cWPLlqTQSlmbjsk3Ij1gaCffNPdi/EV537FTWxs4nxKOtOJry
NE2XJHI5YOqj5d3iVPZ3Rd4OuepCEzDPmsClxzTxuOj640bHfK/LrpmV43D+I268IgNFfR1qik2k
3ZXYFq8kra61tqw9YRFlO7oN7AvszWQ96cuaj+xx3j7c6YOVy5PWfH7FT5m5G2GfIC7KLoPrjjTb
ZzMINj0ciOPEF1u4u4qwDKw3hGbpVq+tewiRJgZrKDb+lZUR5C43cFy9E9Zl28Vg8WTqkqHln8nY
GuE5wcztOSP5nHc2Yrvf5rCF6bkvh3jbERm+d3bdKDu1heS/jWr2323usY80kc3BgqCM2KYxunFv
ZGMe68bVgZs2jm6n/VhlFi4fzeHVeV5gEn2qCt8CqC6k/SZlVlMkFbXIgSBqE/nJttXou92LAZtB
YV+fQ8yz7+W2FteJU/6vxKYk3HlsKq/LxBnrS7Pp9zLZDa+BwG25LIUz/JTXcE6Hfyjb031A6jl5
rLEe2zxuBKtrZ6aFAYhRHkXWg4zxP2Ow7dc40Oo54FI+79S11xl3KvUwxY9/PAxCkR8ogJL3jB6g
44Rx+dtRiOmbIrDVH8uKD10WW8BZux9xDcyAZ62r4169UxVq3FXEf/7FeoTGmGRhbDpOAm+/wwEo
u9xhnQgCfrchh2yAox0MepZ27uptNlgbikG+sV062QOutr+ijvGOEZUEfHpK/qBr3q7npfFj23+s
q93ChKCSLmAjZ0T8+YCJrC7hyjYmMmSfMxdg06a0bhCdOyh+poifw/luSvKYJgboAa7C67dlKdX+
yTfZjAslBfkIlMrUn9mFFcZI+47PKI5qbnpXKibgXCMyJDQbCtMyh1DEr9B1rKBDBqwOwGu2xKQG
34byT2mHANuVwFt836pSkCIOln2rsbyYTgAgql+2duj6js0gt4dTIb9qoeLPJayS941IeXkr0tSs
j3MrwEjW0wLrtgBrnY9nDEWhzZy9JwN2UDqpK5Qrl82lPh/1QfPbhC3NXzsyzGqsfQ20POdsHcUn
yF832HylAcwNpsHQBZpLhriMhHvgQxuqM2NTKpG61QZMycXhlp7CU/R7xZwpkAywG9+1NtH2rOOY
wXxTbM3zPml0mJMc9ztd8emNq7Um13rX6r3VObF3TbuZ60HjvlxhSWhYNw0HkZfZqLZ55LwV0zNC
jsbsRDYFM3fQMOEh7uP0gQ5hkQuL+9X8uB2rqa5HJO61XST5DEBYzq8BflawwKO7YdAJFh85XPmI
JTvU/O+go0Pqcna4X9tet+4MgED8jBClviYzbXmX+aZ8hkGwW/tG1/br4WZwIvkSy7LHTnGO7aVa
UX9t0DIe57ndgSeLMe7qriiGDe5SzbjoKxFzhdX/cTVfrQTtfmPVTqrrVqbhKTKcM30lPb40KVT9
K256lU9HuXrXqxkbBq+0tOAqinxYl8e4Lc3jUiHpC4WoxutNLSRzvd0GhtCMUI7pAemJHAnalCEV
a0u51mc9uhZU+oBP3zM8n0tfQb+EyzhNMww9I1LG0WcgYQ7RzeXxoPiKQI7CFg1c+jM3Lj3LgCH3
PLfbD8ig6xcjAv+BiS1MOJ4ZXLHLVkT7aQvDut+kIvFZQqI5XVZB0QHNZWvA6RyJnCndkRADZ7mA
JADeZHi9ZVPeZaNbkB6WTbR9w6LIQbpmRBTTqdR2911D3PHfWFJchAEXGi6EJBQ/c7+QvNfY/UcY
6KKyC9dAcbuB0SHelatFGA/IQSHQn+9pfAUI38qT2je4Q3oOxy1UJFPN92OSY/3sRYunaFG0dr1f
qEeJ+NBmn1DOS0icaM01dvXwcPdDuy1vzVhRxApskUAgPY9uuhYOth5nOtrxXyxlXM5qKusnyIk+
cJO8DvI0BzK7bqvCihdUQCt2GgCF2hMJJtuRdV4TimzyHP/KdR9XqB0ygoYmWsvdPe4FfSLVlIaH
je2K3xCqQsZrHFpfXT0z7mstGj31flg2elkrJdeHUQjyQIZx+aOncn5JpUdOleMzRAUHxw7QeTtM
ngNTNMV21x5FoT4Zkj68EUYNQ02YAAD4NHnm2QWJA/55LpwfX00uV/vULBsfv5bOZd+UMw1s3sGc
bQ+Vy5I/OptgaYYdu5WKN+0iBZZbDCCZ0H2g3Li4poCwJ/SofXKHg6zDLfu7gV/+v8PPi4Y5UpGF
2zJWEieZ5Ut2Gdw6o9NDBwodj8o9x4xsKn/ZJRMIeIL77dnUa7Ng8diF8jZmMAV+OXSb8VOzrBqT
moR7zesQBzaeaBqQVkBrE04jHebiU+3rYzod276M14NbA/0nrD7bO4wzGIFZlF7/JGNbj68D3iHV
EQJR2CnsTaDosiR6KDQLTR3Sq5HGZ581PpU5+Trm7w5Px3/ZULHlMhz4T+BuVM9GYMDsWoh5v+eM
RN7nWKd52ch4/C4dbfgZkYbqWYE3vDe+waTixSxfx6Gc4Hy7K/qSxwYU8Md5i9Zyzpo/gBP4f6C5
UnpRg2zGi1bjiojc3Zb8Qrk+lp7vjCMhYjHj1Avt4YFiyEYfEUYXfxezb5ouiG1tEVEnBkjtKtQV
PPgt7OcRRFngT7NR/eEI1Vgvyuz2n5rN8G2tPdvOK0rj3OeibBDb3WBbD1yTHcV5UHXOO38okLxJ
ezjp2ZxuvZjq8fMErRGD/cCafcEZUs2dbJL+YVJKvttaj5EiiYD3KMoD6RFqxFXumiB4i+lj9ukv
c/X0zORwYNXPqd8tqtpHMKhHYUQcKM54dBnte6bLCuc/qfSOxYI8PbZi45hcaP5hqjLhNFgcb5/3
WKu3JbLhKnUGPoe05VUetHkfYUj/yRPtn5FyOAz9XAzIy8u9Zf+1nAK34fs64Xa4pjjRqSzkDQGD
NW6o2St+rUe6ujNf96jvs50u/ixK5BR2kR7wHwHLXxSnrXA2fMYlQg8uGgtQfYbXILimdSH3Y4mx
+FxGub4N2Q4InDdo9btjRg5HR3jENt3msiaeXZRtfZbWcAx3KxzW0IwMhTiVu6HmhFHmgK3RfoAm
ApyOHa655gvvyVS3698UalzzfBs53GAnoaarn9rNoWzh+HnE8GXs1U6luitHK+QtJ77IThm1y/Zc
Q5mp8GLizJqvxUj8dMK2t78g5Cmfe03hpWN8ASCFjh+dRpbPaM9oROgpJiWM0Z1hDZJlcXZW33et
y/fcTRg6liIgtpo004oZy/nwmey2VV2opCzBAEBoB7W/j7ZPBumbnRmX41yiUiPr3IJuR5ZUqdHq
BWSldLDk2R/GEvvWCpMGwK0imE/ZLlSLzoo196vYI3SSFWS23dGQ5egkbSOoRlF/HzMBb7pNpx2y
25gQbFEWun2Ch1CxdPM6VqCl9lJWXbEpibzU+cOXFrxI+j2M9Uy73LfzdOKu8ga7Hot+NlKSP7TZ
ayBsrVcw+nR21j0cGOHf7fE8GXSpAo58pS2etzm45lxstt66lYxx7KzK6kfC21L0qQBN0mFlG+zI
6gQ60QAR+z8L4gYuEIUvHlb8GfIefTk/YcMMQ7vKpfrr4fbzmUk+6nOzWLySU6Ub0c/omsZ+FjKv
EYVQl9igmDQ+U1n49IVSPtkLzVBoUFHW+iuePP7qA2+A1FE+khNrZ9ibzzqzTzGa0Z7nA/vIMF/D
BcDvMOGLGgs6ncdVCkxQvkG41JHJuafVokNfhV1/3itQCyObYP2Lxu0YMcpGD6d8HyhibLGJ8O7y
eXpBskQFlEmgHaZGIs5SfWTlIKGRrkg4w9uA3MaC4WKpbJF/J2UZsuPLEWWQ+6ZN57Y6+O+0b8eL
E6FIp3wAwIEfmaYHXFkLJ2dWmc+qxOCKq16T15TNxU9mckPP1E4VtiyZzKtTBsXB2DHkRb6hWkd1
kuMk3W2oeapODQa7H808FBQRh5V6UuKI1bklM/+RMKwCFNpLV3brgnYIftVz84S1XA0/gjmh6maW
iPYllHturoWQHAajVUn3c9hLgYhJlOCbAo8KXb01M+uyohl/sKLw+h7DhGEnFB+glqIhmFYhqzyQ
5zHMqznXiY3sPOaVvC1hSvUZJnb89zp79cUAjea3bJX5elvVti6vSwu7MPSPUsi+9UuLjnlVakR0
m7bi0vDDFafGSOXvHFP2O5zBG5yMWwlPcqXgMv5xhNZdcdAFUzDCsHk/qmJht2OOq7wiDtvlF8bR
7zYC7s+9gWXMgcMjZwhZJ4w9VeOEyh013Z5sxgyaa0kyvPcITINnoyEZ/2Qss/tDaXfMilgQBDsC
eWyLXh/w/a0Kbkh9kDZ+VMoMO7ILL2ALzp3Kl67CIwigPU4DLldWLP608Vg0vRWYA05Aht/w6+IV
qzbAm/hY7u9HY0zs3WoNhjECovJJEboBhXEAo7o2YrfjPi9ZFOionG1OCHypsdGFJyHrmS1GhggX
bCV0dT0hzmPE5LyiQm2ZfqimbKAnQ8P8OW9Vu3QYjlDtDqqLvA/5WEx9Xo9Qu8ttNPV5MIeEw4rS
K9SZyN5hKH0iPwc2yeNVB4NeUn+stHQpH8jab3MFBgH4Omj7BuPJX3oY8uNYS8cuFbprh0NTFjmy
wrHb3ulqd+3Twsd2ANQv66fFjqEFSBjhSOcHia+BIDH4kRg7Zs1tzkv1X8vW4y0jWcK+hyfxX6aO
iFkm3zGRFAU82ZshDS/tSvDEh0zi/KvzEcf4Dj3BO5kaj/milIDAWsBWK95knS5LgxLdtbC/QdU7
sGV5wTy9QBo2F1v1uMPeC3EAaa6RkZMJ1Nhd4o6e54kgJIenet/6MEXa9NMA94+ex8r9yDcNM0g+
jbboMF4D7OFhP342Yc//6JRXQG90mb36NW0IitzQG8HUt8DLbGpucqQrGIkztM3Vby+rVvfVR4cP
aNAqFPBtzD/EGGbXvXMMuwBzO6OOBYHhaVCJEMxdvsZ+TybN0xBSc5wbGpfxhHydPH9icYiulygH
f+dFtrTzBTWPxuoc8KAw23vGyhmmyPRwj02zGnFKBhBNJzi8ix9bKSt+q2q/sUuWQp5dJuLBBnOp
NF4yNuT+AqYnwImkzB1cQTJLxxPxLJ9uHrX9S1tOMzllooLVck7qWvTrURrxVCYyiYeQT3rsNsbg
n2IDAr6Q3taIok/r7n7n3LHlVC5UNec2gxy0X5gSDRxki+xXgzVX3JtDrh65BLbIzkc+brb3Ngvv
ja/9Z4XEZpwCSJfY+2xc7X9kJy26120v4VWvZ2Taaj4h2Sywpfoeyg8YMkIHeWdaYsLdYihf+yWx
3JyJ3stbWw9TOiksBbBOj4rd6h0DyLltZyWuOinVdCB+4DgYRtJ8Xh1BBtjK0VWZzkeUhhMiNnNs
hyYc2CQBn9lHO7+sSs4AjIOp6uvk4F3bT2isms6nJlqA/SaPl0SpMMhSwSvRMzVSQMsKvOqlXS22
8lfMZRyJp3DlhIc6kSdIOVXqk+XFw1astb2N48doscqIV2zAEQGpO/BMqOVqZV3P1livp11n8b8J
T5np/TxLNL1LI4B7tnw5BZ9N98CgFYFUhuQAYXAREU0gcQKizSqWBwQhAcqJwEo/Iz4gWOSSjsfN
Vnm2IaU10gDkW5lPju8UH6HcISeAhQTMeQ4jfje8QQ0cE30DqCPTicHyFQ2TxsonWpkVzootli0d
kivRtQEpcs0/JlpEDRDjN3rNlhpH65Qg9D/BwoPqGxoRZXqGZ/S3x+1CV5AKXl/rlE/8+57b4Sc6
ssR7PkWBgNtlXbLtZiITArguVeR+YnoNl8Pjfx14JDBwTb6vGbx9gE19uN00gIXSnuoTtP2NvZR6
q17lyuR9GOcKS8ZLsZYIaMWG7Nvoo1yeyexHRrtwUJF1zdQi/ihKyKfXGFMCYbUPyJ0GqtIDX8nL
js7GHycrBxg310CIvycR0SEZM4WXsVLD95If5e91mA79XWq0mV82HCHl1wyHdro7Bsn4F3zKCC9O
upU42uBSlz3QcsiG/4KxB26YXpdPbAnK97qdR9Pj/fKwNsvrFV6Z8An5YbE2hYeh0M3XNTRYFhio
V2hOaBz0a1pkQFlTCl7SaI3S2IR+dkbBOqHZKsDwA20K8xSKuJm7MXOGwebKVKt+nRNhuBeLr8ST
nKaJnEq0ubjT1oiXeTYCGixMS/7PrCfXAB8HYYAxH4y6qj7ZXCMta+AHVZdh4KTtce4FeIvsvhz3
ezeROkPB1pycCLrVcA9zEPYN4Lh7XGsMcFeJLgKJfdZP5WM6gv01zo1NWAfXhfuczxQeCTlPCuA1
pkWM3q1pwNHjN6k7Jb1fb66KcT7tWx39vQdXhTL94S6Bzo3tj2qzaXnbUjULIA+mwvIuAHjsfW5L
cZvjTtXNeQN1ckd2zZHznQXg8ConBH9z2RsMkjBM4IhqOnDTdk/oD3S81QRrT0nh9tGoMiDqOj8+
PlmBmzZKjmEIDEdVPwCx27bzgCj6dBpl85EcDVAVkVtIGWO9dL5aXiyGpPksGhTSE/KphvUCJ/hx
uGI9JP9W1GhTcN0aQU7Czek/jlRfNJH7Mgz+fEBChojl4OfpzrVboR8ia/bqxCckRp4q6ZR4Dwdq
4t00oL8ZAPIlxhkw8NyVf3NaUYjqDlbdubFwVdeavPmBJV/2XZFtSX+EG+vhN6C6WD/jfM0xhcDY
FMJEq9AlcYZQtcKYGgSWmNHGakA16O05uW1FYYB0WW5g4zsA2wIjAK1iikDHbNEeN5QqS/ujRbLO
P+vNoR5IyVW48KXWT5tgq3gcqhQoWhgJxqYYdwZ+g9ts7sW66ONFoh15IxP6vD5V1fwVTDoIHdgT
m0TuW9H65n2ZM9ghrQdaigPuWPNdOnB/+qWhajmNGzX1tVLBlE9tYAKGIovcfjGRV5DlpjDLbkGk
XXVrYOL9VIdtqrq0OXauJqRuD5nQ2XkZ0PmdMZ2pB7tWK6i+oZ3KrkDG6Z+MS1o/erPu+A4L8DD0
qlWsetSdjd/nubf2pTRZBNNhFMWW5STR845SFUCmY6MAdLqGYyLJsFrhtTrusrWZvvIPR/fzTCpo
QHePbJl1N+nFo8kWd9A1AGXQOCKrblkMBiM+0OwNl7T5gkEjPkoXqv98i1vWmYL7ay2OoenqSm0/
jrJ1eafKGZ0XX6t8xLNQr1DqL8IBJw22emaAMxVgg6rG6se6NrEDFpAQ4REq8lUCeScdpJwDqr5G
0ga4vRFTdLskhLOAzCgsPo3BSkqNoxqv0Zqlc42i/TWkRf+0QPG+TN6hHSPUmr5AbOudmAFBnZeE
ga9n0uEziWK2K5I0Pf2nFctdVywr+z5zYn6OmSR7t/ioXgr0WcVpx+wdz1sGu9kACxIk2yE58n2f
NTq2pdHl+eBpRX7pR58JGqOSb7w6MJurioPxqTI+vMkZwRhCf+D1DvP3OUL5INDSrlM48ehFOHk5
VwiwLgr72oKIBlTlRIKcEHiK7je+tN8Th7zybsYM8PnAJuHrKDxYvIGtyCkbgk9PM7FAolni/uc4
1Oj6uZih3mAA0O43PcnqEpie7oYtwAwbW1IHjCqAaOI+Yp7HM0qK9gYmqERfM6nqS1jd8MvP+/4O
sQ8IogaUOFi24Si+kgmHPAanfXnLcSERfKBwtHfEKiSQlFpkP6t9az5v87qAyGDrKnvSOI9Sm2f2
zbV0eGYFTBgad7RfUzNICobHw3mdCQu8f95nAHdRMPuM3bZyOqM8ojlR41i+71ng4rrWyDjgRUlF
Z0FHfYpBI4qOyIQ46dg6kDSmmLztKzSCd7EtlOkOkDR/xhpUSAcMVH2rRqaBhwE7fIEfhA5n6P+3
tpcmUXjbMeDcfTmjl8Yo4QfcaZ7y+xq+b1O3RuF/cwpT6h5nM/BaVoY13NBK+gJYPVjtHivzCtzZ
UsTpsmwD/bIOK627EAF39Y2JuL97QYO72gXZVJ0TWAyKIVNglP0cv0k/TP/C0q66H7WrQSZNrvqq
iTY5fNpy8wbiH+nsbcAo3OttbswV3zr7PPJCgBEPor1OORoHUBEDtp+VEC92PbLtbpUOD1WBpC+D
WRHWb3jJk7kt64TgdOQRyVe+bodC2Gwb9bnc4RTV0zw1v48px/bZrobwAq2A/KLwMZ/2sQx4IrYP
cgOzsftuiDOfgA+Mf5LnGyZING8/3Zofj0pmQHKaVN0r9rHA4l1bvuacl1jb0HP1T8cja89+2iv9
GnMwbngG03K3OzxWlhbZO0aMD+Tc1xCa+VGbh3Xn8wbcLdvQFtHsjs9pqM9bXibI0SrJf7ZzdM/I
aMRXdRia0wUwZRz6GPL4kxRa60va7fIdggk0P81YiuqE7pLAKB+wwH3IEnw1Aw5wGGpTgbAoqVJY
LhM639ea58f6A7rTHXFNFuy5uuYEQtpe1WS9kDja9WHfWnDNVZ4+nrJp9QdwhYwXN9AWGQdhTpW6
2xePzL1YRcTWcEeO7DbNrXqf8KoVAGxtmf8CJOvYN2zW5vYHWswRQosAKx9AzPjJY5JT7FG42Q/g
8Lq6urgJep5NcLiANlYE0xT+aWD6NRRm+85g3wAdtCu/UF8LdIViWNb78kBDe8oQjPuj0iDHTwNq
FD3rWRYQToDgh54cQ4i4YTwbQt/EMLSX43CwZyokUKprO7F5xZJZWoFV1MH8bVrwUADgJvdWYzZr
8LRXuJAe6kXZ44Vwv+emUQoK8QM7Te0eCLtf0eLbS652YOGdmlb9TY/gan43+OP6YRGUiN4uCMM9
I7uw2cFKjCo/HYhRJKJLYEDqkz3wCz+hphXtwzJsEyLxAKOjngz1lzJVxb99TXQ4u4YtDEy+qP9r
kO0CSILuFKQwCPlLVU4k3CaOZRFoojGXQtFE4YOctsIjYdY6A+QAqb5kO5choshGApTygh3lajvj
sQM4AMq6gJjuSBpb9Z7gRdWJqC+5kUI8baUBRFoBRIEWooDQ5h7tawGXMGEGuLaKAjKiAUeu6uey
ELrPbZbQwK5N+UpZeyBpbUmYKCHmkORxVvUaMPO1HIhaTuV8yWXAqnwqoDsC+VlrCbywYd9kxj7o
jhlGO3cxhaHuTOMrhrrdlq6feYsZaEdj33SkBlIaWlC9PVD55hfe4+i6adkdiMnotvEEq5Imfcuk
xYnfqODIGfqpZbq3gk5Nxw8OdsxDSFGdfYXhtUdBrXesSo0pP8E8HaPuniZlTlJleXwaw8ZA9FrQ
dMeZZNt0nPdFJf4l2rGCtdEGIupLmUP9x1FPfb1/CQDVwkmX5uD3ZvFKPtmKcnr1xZyFu9YGoPZq
myj5ckwx8puo5rbG1Bn1Y7OZ0cFRm7R++gYcT3rMO4s1L7lNgiYQP8UivrKhlO1dY2pwL/tMyhJX
GGjz+8gXtl41U4Dq24OGrzmmtKrjiJT4cODl23yKqQ3p2g6mBow3EaygG7LEPxCMARVDlHbtL4D0
a/tD0gPGxz4n+35hZNDmpE2TYk8Oi1SZUBio8hI+B07ZdV5vIFzRJWHxHqOBh3crTiUdhvgAzZ1D
akpTASzipQcWQYE/AbZUQbf9jiSJpkfXEbCCpDKsyCl3YKOvcXZZXkbFAdPjeA3HmckSKxOraD9E
RTRU6SrXxv3AiDM+13EEGZLVYsv6DSKGFbAHnLfOTmr/aEHyHxdF1nGEfwLaie9aDgb4VcUVueDW
QgOnZ1C/iAZcRndawmJaSCqyo71Amzasn9oJueMdEtDCdBbR4BFSLo9gFDx6RQzCqsaVgDRuf8O7
vazP/oOJhQt/ka/f9lYk5C/VpTiuO8cUdYpTmx0nlJYc6X5xVv7JYm/gcUUSmXtn2eEXGC5VK940
j4O3H1YB99iRbfCyXUaYk7bdgARE8aoUSJp+KLBfAL9s8LvAtfgxPCZtCjBGdS2x8hh5pe8glozF
vd6gsz0DsxbxsuwtlkEBfEd2QXfaVGfgOBo7BlIew10So30i4LHMLWGfZXrdW+BZb7RZeHavcezw
P7uuG/fAEvaWu6mmZbylIKtPzNSOX8chqqPXPDHYlFbQojwOccaSNmSVMKvajwMAHSfNgZEbvIL4
Rmidb58ySNTaz64lzf6jWHKcGqQYQ3Z/oMeB4+tQWNtbfFl1OlyYwEhCM7LDGGpmOLHkUDefoBWp
2+seQTHe5tm1EnBphU6udxvenSvI4G3vcpUV7AIfyymd17wcWjxrroYmo9wKfq+bgGczQGIVr6uh
lf7LVnoIqLVySN3c0rYKtNhmIvnWFFKV52knw3SFUCPKEyk9W55Qkecvi2I4Ag2rl/Blxtdrb9rG
eXjTSCf1LxQG7/joOKqGRxkGtLZR+fE3I1jM/sRkjapcAaYmDyAQkVMwA/KFEnPhbPoTYpUh9WEz
uT2P0RQgUAHFD3eTADYA0cYRQUqhaMf5fMQwswtFXXZfCVgd98HcgPJDr9lAlQiceuB3O1JhfwOM
CJp00N3k6aRtGqrOg8ab73aQASCUW2WzC9EtCZeSlvBgT9nUjPcVMS67lsga/1rrQcC/R+JjX8vI
Myzs4NF5hxvdFs871s5nECU4sk0HOAbYLlQvGDQwIe/Ys6rJsp9AjkOOT7yrcHS0OKihT7PZh5pk
q92NmJ3YB7zs0DI0hyrkLz1jFutStrLyHFqfVafC7yWQIpYtFXzTop4eKlP7h3adMP4lR+DL5Iqj
iMj8nBBrRFVBxIUkCc1IXpqi6LOthOQXJySOVLokjAR2QB+9ShCxVwPxcewUGh7bUd84coK2Dq7X
+5BBfieA+4DJgEYLKzYt2M/zpNdq+vE/aeex5DYSreknQkQigYTZEiSLZckyUkm1Qahk4F0CSJin
vx97Nt2URhV3ZtdWIExmnvO7UzSDeKvdznSgDjpet0gvYJv05PtfIYldRrQFjf1Mb0TI0dLlLhtg
3nfZA7xJNV3NNWzPdV4757U8iJm1n1eztxlGb+aI1i6q3K7QmkGsqxADTRsW8BsrsSQfwarAt6Uq
8nXTuufeSo/SWUhUrRfvWqJQEQdrbXJY2SqhGLNc5Zyrh54+FP+1Crd1jHKCFrAMyCMa14Q5q23f
/6oaRjYmXp57uwp65XFtPPCacKwFPuDYXz+zc2A16uhBH50QPvSqi/v502SlOPzDpu6fwPTbYxh0
WUz70y/PGYke01XW1XrdlzT2K4LCzvlZ5zJVG4AeqprMdhYX1nT14Be9yUZgFAbDL2X1i3tIvNHm
5gn9KMCHlozgDl9Z3+BRhgzhXes99QtkWzSGua6iuB4krzYR5p6QDEP8CtWJfbCXMCSscFgWZsPO
Q/oqslB+pTNrH0yFyHszTqEoIoPo2D5oe1Q/LOnmLcpxr9KRYMZ8soV67TEV+nl3T8pxMkdBmmcJ
X2kzfPLRAjYHf0Em9K5BvEfUgT6fLQLyKrsBonA7oi8rIzbj3AQIyxK++R2ysWmg+pN8cIXuBMhC
780/fVOuTNBkhLG1HxKDsGJOe3u9Qkwm7gyrp9jWoZooX3kXkE/KoXDVfSavSAANUQfUQSV3tQO6
th0R7XLOuM6SHWLR6AbooRjqq7rJCP9juWKt9r0hB84JUnG9OoGFtd13SkNeQ6BuhQiRKuqWSSSc
BRxaiAzmNNl7Yx7IyEgKDhZYX7e7QUgUibMHh0t7dZYQenKc8aY1HJgQC5O9MLoj5gOPzUKzQ10k
5kNf5eYhRTBeA8ZRR5CGlROFoUGXpx1lcX6wwtBu72HRw5cQCUC5893RQijfV56KRqtcnescRep8
A3nAarBWhNU7BidREUxOVyNlzYGEIi9LOtSGrT9/Cjx6owiIkyHMk1dC4xd9qLOd9irXjsRqBERf
NXZPOmdu7Eb5Qf118lSLqnYxsXeQY8Bv1nP/4AxF8FM1ufWMKsc/mVgjN2h7BH83/BiwrzmXZRm1
3mQQnXcBYU60AMv3we9U/WXWrWg3fr3IflN4eaJO8BVOSpJeZVUSpiVxbXldQtPx2cEv24jxURrv
tOjV+ikNwG43oE8ZmdSDQ8xp4bZjue+9VT3YvJ0wov1Ixh05bP593gfDvDkra74BkFdlVK1d1kdO
3SRPca4p7Cs+shtoE5aBo2gt93XW988pA3uYALNALV4NQwLsu/Qi/uIl9RrsqUTXeFvFLQid7lns
kb/WhbivfWc5OGufoLxdhpqKOxuAmXkIhfXF91dNA1pkGGjM5Ljx2wAvdDgPlFDINvialyslqh7V
vy7mZ8tyhyUyAcjHWz04mral7QjjI9PWskniZ1MG0SiWxypeahRfnmYWhd/iMdk7ttTzTcVu9wIr
E3zXCq3jdRn041uHoiLddsploUnUxtMh036FXdrvF/PYMLJovpPp0qevvjul057HXLMjDo712fSd
7+3yhC056spBzTdTk8TaR+nhOncTzg6DNEs72B0z5YcbwITV7P0iDr29yYrmjM4U4Zvf2sF7Pcq5
RRNcOy9Wpfsvbmcx0ZWBTEu+q714XKIxW4PHvi3yFLUkvfG+9HLbwsyekDeFnKOFrK2DwokfkGdm
/XYwAbFlVCCqe4Zb8cjba7DXRP7kES8v2hZ4e1gq8Ta6Jj3lferYm85ZQBzLkq7tQYZrq7dtks1o
YyarI2m8HgK5PXs/OoCMWX+WUy3xi6RL/DJNMRyqTrMs4XRgT9vRIFe3lT8EnG9uAhhNiYUlY25E
+VqLdviB7aeY75tCA934kxmDnaVlk15nvIWfg2qL4s0VGESAptiEtmacAC0crTlNw5Z529teJemw
89I+Kb7xAlOE2jSq43bGDk8SLgdztfUct/jWclIexSTmNxS5hYqCVaFm6myj+mjthfdtnJ1O7Qc2
0Yz+0OusT3ZxdsxBRHNg100cLu8OhoZj0aI8e9c6n63rHo202KLey7rbnIzB9XlNIDajzMsBF+B8
gYV3+VxU5TWgctz/oCJyxX4IvFneFPNct0fL1potbl6nczc1QZYorR0b3YMdF87tsKg+3iIXHD2y
cgbjPql2don4yNkPDihgPQZxJFOGMq+VJr3Saz8V+9Ttu/Kg+qTybwyntXUNVAwdyiRkWHkm+g32
loMyFftEKtjyhO4M6CNIhqesD2nahXK7z1Paesum9QL4XxsF1bMXDpm95VwsCVCVWNwRWqSQo0MV
dOzzq9c+tIuFstyDiTJ7BNk2vzpeEMkzkWNGbrc6bBpQ46a+6rTVuHd8jn6ymwfa+SixwcM3HZYL
94otcR2jCi+tdQiFjaZvQCPG4y3aMUrEZL0R6NA9l3rQ42PYl467ayYRv3s9+pOsVGW8neo4/ZHM
buxsksHJsvvZXyxwGexZ6Z0kHvkdgCN8N41PJ1zMQgVPJU2/QHiCvq24KiDPEBzDG47PscFDuCvT
qqcSVWpmLa5+LPZ9NiyM3FOIgdmnRDohZHe6ZV9OfRDfCRFTH8spkO2JUSlpth11f1bz5Z7fB2+u
RdvAR1our1MzFPaVbeuBEPy4De07462QQHO9Ls597CKH2du+XKk5CO0zfrursVx0I3qfErkbYFg9
nwvybFEt8obGboEFXOWT9AhHx5UsJMd1FbrWvW2DziasXlthSYaWbl8qCMh6X4ELrFHXx5K9IayK
HxnfWxoFcM/tZ638jDABbBF0ICKfnG8qN6Z8qTtYzShlUgtkuqIUmyaj31uIsJ/h4taYCCXBhk/W
vNRJummtoATBaBf9UuSDCKnBLWk1t4MoCralMmlfNaY3eCMjmq9rO5sXLZbReQrnhFFQ8Jb1F6mr
0Y1MNUxioxiH7H1hskCLdjRDz7uR6Vzx0a1TB4qYU0vJaJrVEuydgCAMjDr+2uznpZ9vpavpfhCq
relxAqSyd0E4E2w0VtaUfXfbFcx4CJqhZBYVDGC166dg/bykYXCqcCppymWZ+/cCpLJiqHk8JHdG
0vfv0HFlxb0rdJ08zk69OprqKcwqtAxUVwsSymYOHhdEzuYT1Lj9tReQQzsyPKxylw6oXdiaU5/D
dfVIx0rqkdyQ2lbpC2lzhTkYG501DM88V0cnlmfHDc67if6PWRm7uLQ4KeIyzb9DrQuQPWQDY3jy
NGFxz2VAYGTE18eZgsA6+Dr0efVS+NA7eGmqCkSW9tXe90Xo8QXF6SAjpLDDXTP5NK9941YPKKDP
1uq5l9NG2ov6qn2xVicIUIqnmaDlZOvbffUGZOVwckFDov4ZVYN3wgZzN17O9G+1Zh6uifoscRaZ
PQV3KBJg2crR79FH0YOVMM5ZEXIWt7D/seLf/gL5TZJrDyip2WceYiUqDaT27FyD3W0xftrVfcx8
V3uXUfAigwlKgyyyFE41HRMKxux68vN1vBKi1m95Sxu/9VZnMbT9tsk2fp52P2c1e2+p6Fq2htrO
o9wExamJp+CLjRnkzbdyjRQxsbEY2n7Qq209NthDtd0Ub3oaLfs2UzZOCcTsmdnJJOyvi2lQzOVG
LafunGHKxi+5VmO8Ydn6zPSAR9Vb38vQOI+uhf63DR0S+fO6dCDDuzl4papmUK6HLYGUpzjBlIbm
H0VkGC8zb8gf4/ns2ljSDY+eGouZl6qLsH8PghpdMWe27St7+jr2DshgWTVzcgjc1sUzGp5td/BI
1PORBXuU4oJcKok5LtCPShvnHrBiGIFXy+F7PQc+jhsFCArahJFm/UmNNH+e4dnGfdK2VKP7xEdB
W29opaat9NKSlDfaO3pvt5hHLF8x4yf6rqnlNk41RovaTavnJvTSFvFI5eloMHlHbL9trAbFRlw/
4t7kYwulETfU6XGwFVaXPjPhwLVuV1nZepvPY7w89CB9lL66Dd1tCL6fUHZ5fbVhUSDv0NoeXhml
1XvR6EP2xUTVGMi5YH6NszGdXtd5BYfW0stGxF3nz3RKCvcnaA3vIceAGR8Ek3wpvVnWvKV5dWQE
b6h4k65hqoiLNmvrd65F1sZ0xjfi9VwedYmDU7cPITSR1GfidslCrO2yytyXLuk65jcGEimOlyQ9
cFpiWSMDicbxBc63RpVT4kIA+s/ieOtLPd0yHiYHG+VJHmnOi6M3xJiKAKKaKlKoZscdI+IFrsv+
7JJWloDNzfB7uhsYTXkLNDK+mcI202Y2+XJf0fNlHHpxPF/V5izahIAWj7PgoTyYAbLiGkbNtIQE
9vV35PMtXbpS9QMPMJ8B6VC3woBkjt7bYdFAMRjXxmKEsBGXRLPqU2+NbblNyoaG3wr5ETvl6uCb
44wYDkBC0aFXrhwpvxPCZ5ncueL5ZjlUHcKEs7hzsiq6RxHUAhMvMsEIVDN89fzQe69F3vD3ANqv
QynEHV1stkYNhNPnJKZMjtxpbTAPjHHx2GNjszcBukWgXrC5DYJy4BUOJVS/LVjzd3bfLtmjpcc0
yCuZnf2cxbO9UU65sN6TkChwKqTRv89WMZySzFpOqbRrsUXBVHVXXhXOv6oOT8omVwPUYUCH+gkK
o/2ECYljKnDKQh3sHh3+rYa0/F4VMb6FtXCM2qVeWjwRq2ro+DtnfFAtDP1ZCTDCd/Rd9ezOupQ7
UtLQTibrnN/EzGnDk1cLcl28Vvn0/rYT1zVbcNaG9+zBFvKvWEkEP7DqWfvmokgiAQefT59/y9BE
Ilnki6hubNfqpq1WKsQ6kjBv4VEI2vCT29WBvmHvMr9IHXC7O5qrMb3qKlW/zkxBUyi88qZ/yVu3
sfZZXQYPGfAkZ2smeLHcCLI6I0BGiBJwUCG0uQuXR5c6uLc2rsgOw1M5u9OuqgEyP6+VSk7TDKd3
B9IpngoRlPo2Dz1A7cFpnexh8nulb+PaOUuzx9BOd+VMxY4VqVi/4yGGOqK3oZih9YNzhiNOvgY9
9RL/Rax+OT6w7sYSJXaDgP+nBAtDdnjQ6xSEUV3K+Ei4VDbuzBz2j5PFtPBrBVFsf4l17Ly4Q95/
W1176hAqjW26ccuWNhWtQjj4aCeqwko3YxEyh9D3kftca1GK9RY/TBM8YrBenp26QAsx5904bc/F
2HDTt3468xpLjH74PSDS5jIPrG3e6g4JZTY58U6KisMCJVV8gCkwnwZZO68gLzlzg8YhJ1i994Ig
StJEv61B4CDzNmIRG2wf2Te9hsPXsC4sFuDsYkiZkZ/+kFRIMIg9ME6EQHo2r5NVjLB4I7viHhLI
ce96e6YXxlU03JXYXzHJhQnbEY17sQ2XZnY3SVAhmjbgEA1nwgo7ODquwDdBOqa3dwW1/WM4TWF4
8vENofPzp+TJAjQ0x9mbQsIZHNqZGtDdQnKLpTMmlsqq0dNU2FSHSHSNdg6uk6JCK+gj/O0CpxdG
nZv0L3WhDA66EaMQpK8f74zrCPe665uWNIAUeqvVVt9fmarEzZqOY7m1deZ57N5x3aHPZ54g5Zb4
2ppVQEXXbQPemjvVwQbuPRvZdLUDjVA962deq8jkkt5tdGV6mEo2ixsM8TEK96ywpi9UOxWxSzBe
2UOBdmb4SetWE6JRxoQDbYBIS59zPV0eWnwEnyc5IJ+tB2qJjSPl1D0vbuii6FtRlfJzA1V+zkJ/
zK7J9jI/ihSL0gatUsf+0PrOV1Vby0MhFj7CJmvaYm+6sf0053P17GflCgwxdcvbyGH9w6BQ8c5W
qfFUp5nVbsnoXiT6foGu1w9m9aziBRWh0oHzWqbteStY/LiKsN3VJe+DUi+aWtSVm6wbSNIZXBRh
25Df6W8W9qLPiqwJxFY6Sz4PcVpkzw5SLqh/9tXyuZNz+qmognlBrTiMJ8Bh3fIprthpxkQE5gAf
BA6vkqFSe2Fj2N204I8//YU6c9s7a/4wLDEe3XVMe8QumONeSjLoYlS6kugWRo0u2GyWrHwb1jZI
Ns1kIVjlaPwmWN56i4y0fvOB30mfwo1ottg5CDKoJ+FHsNPTKwlxi4sbMc+P5PWHDN8LhCWuBkrM
e2QR6StCJDT1ql1z4lWJ7njF5GX0nojipLuKETwlSMX7ovu2co5Tg4nCeaa3DNKocmrU/SLr9SOy
kzm7QbKU8I+9aa6vPcJlmru1rMZDt2rNVwKjlPHtuh5SaHiBV5L7eQV+P5iHYm3cNy2RnW588DxC
dPUE0m2FWHrQEnkIpkCG+xeXxvw7Xo9quKpibf8ivaOTu5nZT8thgZ5naqZJzm9jlBkaezKk1hGC
T6wKu0jbwvV2rWycyC/ahfh0bsB68PXafAYUk2fib6pf2XTrh5maQETAtAHVUp+NeuO7afadHWC0
N9jC5vBuIbYCT57MwxvgYvz+iGGr4sklF8Bwmw0IoB6HgDIxLKZ730WYxZbXkiKadZRUm6wo2XBM
qXrvkyGXLf2GcSVJr2rP5Hcop5wQTJFkIz5aZBktIOV8AFDpoKrTkUwFlaOfjDyZM1NrcYUvo7X1
J9wBqg5/nMVV9wYSQVytfTApCvZu0bdnKPlbJhnaiDrBdz4VSoZA5zNusWNjT333BFmFy6wKzuEG
VlbY+qF06qHYjX6tvgx5shA6THV2jCGeqOXRPH1p7QVbi5H1mhyMlS01I44XWuTQFAYCoEnKGrTo
LNsAhOdDYCl0mByF0dT7frfYD3W/JkeSe/K70fZwYm/Y4HTxXGHcCx88f6ptqrQhx/sdCVdYtngg
ioU2Yt/knYqDCK2K6t/Xinl8egtii152UwWuP8175r0S/vKIIN/u7FOwjDisruxUZhWuHhyBVfIU
LmQsdLeBgyqYTpF+y0l2Hp565WNRwR+eXTPNL7CY26zs0qJO1Wn3zWu9VdABInjaFplpsabXnh/v
s5jxOfW20VISS5oHVN8kQBlR/2r7pEOUCWk9TfdWE7rhMyr1NdjJZpqovERGkILTDH68GR17+emQ
4NLcrDEFBwyD29YvUxZX7U3KTkhDz/SJt5DwJnHqIfXPfm02+eCHZaopOUl/CSFuAlmEJFTOWTle
FxY8/1XtTMx/PoeJALZMSZV8WxdPV9dLO6XOYQDnTO7DSQrvhtQ/9kzZr2m1nUTuz88Da5pBxLXv
ebgzyET43I0yX2/7oFDxPR4jHFeSBhUfF5Qoigib1T/IDVo8jFmbmtWlqFsxkexAPrT1BHiCeWcu
4G9vLCI2540gBIbVs5JSQI5RiS4nGcKFPxYm3WzovKczuNcxD3OqatRwoW2fCPEt0NaPs71iJg5h
CRBf5J+U0d43iY2G86Kdwie7XWsGGktgzgV+EbtQWeVUNpw7NY14GKtN4cfLyY2Va47wU5xhrEj3
U+8EjOBMWOMPxjKGyANed3hjKR1+n9MueS94AOsuRRkuABpAdnaj9vrvVTpRPk5uBvjpV5BIsTPx
Z2bxOuGdc+X6tV0TKz7IorX0AQ5v/mxqf9rXnif7q6GPZ/NQz5rclQBRwbMJAffQTuAFPsxxi++U
DKCJb8UvSD81fIEPa8MJe5v6aH/QTbI7EBuUxzvYbn1Yq3Xods3QNU/L8s9559jzp86BiUNFn0Jl
YqGpvSjlun6UTqE9g46rArdJN7rzIW6K9JXYkYyuYazCOwytZJ5MbtnsStdW/ga5BTLVTKFG3wDa
js2B7b1lz3IN8T9rmj4Cdtl6Q9sORNcLOrAzcGU7ux4v5jM8Pvy005XWcUlTwFqdVJjXYxOOv6bJ
G2hPWUDtLkdUQasORtwADOJMe0gwicZEPzT2eD2DodwG64BqemZGOwNUCfGRt6PTBuiskx4BhYCf
7VhQ1ZzvUqftubUkHtY76QOAYk/XsYmmHjx6I4290pD0xA+fSu3M2VXQB+nZqNV14k4anAWQBha4
XatnM29FRccV0f8KBBRLjhjLb3osJYkhagFaLt8kvXSarSyS6SeyG3q/GMUpIZmpP7pXTe8nWEk4
r68aokXXHelg6intSE3Ykt1hHsUUwHOPcUzjhECP76xE8PZpiDsXxjjs+63vgjKjnRP6kQiYDDyL
tAZ95xM09nlppjl+aJg6+xqIRW8LKUfzdXHgvUHQlzCn7oW0Z31D1mKYJRAUgaM24QZCR9QRMaFE
vNg5UOQO4QkiV4eQAVQXtGY2nk2tXttz27ONFTnB/GKvra5Dd40/aeHje4a9Vc9+K5Yt5nJz7Iwu
9ytK1wQhvTf8wMaPgAeHCMg7OX00GyuAr9jRxYsjgTPh2bEMWboBgSzwrGPitncWPifCOxAiIyJE
OIG9tF1h22Wly9eimsr4NihLa0bkXYptlXsEBoR2wF+HrSLlbFLTet/RtH9v8BlgVrem/CldtZKY
6bDHbJAgjw5kJeLifW5D8/Odhf1tI+xYMvkk1PVT6ybgKLWo+1+1bdr3BmiYX6DrgCYdxGB5N6rS
PjhsNx8roK1pk9WxE/70hAV55EDQXyV2ETK+abGHZ2IkvHZj0qCiKxraukIu0Dk3s6thT/papcl1
4/XBug0hn9pdMErm6gTI7m/tc9TQbmlSc2RjNcUOiglBms12YF2dJ7c5D201LtMtVgAcExMZJPZ1
l+ERC2mqEQKKvn8f2fvHuxFOND41vZUp+pRVbgU0QLlB2klyHG7D1MoPXjViBstcP/2GZSBHEtyH
03BMk9nreT0zeq+8H7390GLLPRL0Lqd7YeIZqgRHS1bsETMEfLhTgTXQxgX8PQMD/kaOzvhOJGBf
7CgojE9QUIjnkb+Wzb2Pt8G6pmsxEn/w0JS7Dv6pIRMCJw2gRGaQG8XUUlYUMmOs2OuSxomVlcEH
Rpl2LLn1yjiIb9jlSPJUjnVWEhGuRx6NWafxhDmfIHM+/DYg1CRZEf8Nkcrc0TkmvVWjY8FRnE0c
ainmDB3ZbNbVExjQikeT0WNqPw1h0hxCVWBQhGYbnf1KNqd7u0zQbWckWPJ0OH63tKZrGmWlPfyY
xs45VS651mUUjqA89wuDBgmjqj0Rs2Umy9DdorSp3C82kRLQv8qypkcgqlR/Ri6ZJnjbkRK42xzN
C5IYCTEINkiySv058433vWSjQQLiwFH4q3FheiaP8Ed0bX65nTQ6dOTgUK77qi2G+Lqc0FBekdaj
+6twomDhQETIEUYi10WL2NkLSdScdT7eNHWFKzk12rmf50QkISh1ajvva+3qO1mD7n/xUXXZpwEV
ooj0ugzBU94OXXwXYpYEvWgti5x01JrTVYfx1vpiu71pmOfLn/Zc+uD9h7DT0PjYXyQaPGzihVtt
ZZx0j4M11PJ6BFsICGGS8jmXWUIUvJAU110xIe+xzpbIzk4GcWMhtCmuZ1zbyZ4NGUnAoG3azFAP
pA1UfpC+0WHO/RW5mePJSL/rd9nkjQah8mAl15iLExG1pllwdWFDsK3bAPSe3K44TOPHuGjl97y1
ku66Dbo2QJse0obg8fXe2FMGIoYGeDoCnZLAFKANvhPAm/UIY7ovzcoJ2GKkq9LiJk1zMbwFgoIb
cAAr/K7Jls55UOTTpYcmR4TAhAoCpDYKJI8JwWWeFK9ktUzJWaWrxFPT9W1zZAgwMya04/b9qQ87
RG8r70xc4xRKKNqlpZzuxR1bD3Z67EE9zJRn87bqU7c6gZvP843jIf6xjOPhBfDdJsbONhqXUnFW
0z2p0+sPNzAqQ5g75O9/T1q2f0+4liQZoiVRQnL+yot01cJUdoD+abhHOTxmz7KsdhVKPC6IxEls
Vit5SdZyPzb2dXAYoog39UH8sv2neNJAIjISTAdhTMjFT+i82m/nkJ/AWLuFvOtkR5bIFknIfXXN
xIoo2X84XuCczvrfTFnu2pFMWGJICH7Fi0RUi9sypZ+M91PZLTujGYGiEWJBBU/MF8RJgJ6CEZ1X
xdyNe8vzv9aY1q6FSeUxwaQQf5Bx+9v8CFuGaEoZeO8LMlQvo8zVSKBO2jTjPfzHziyHvPoZJl9I
6vrgZf+eNXy+DmnvPGzif4KLJ71O9ihxJ433weM8vDTRMl/798raDZFvv2T1vd46yVVFIkPUMM7x
WH00i+QPb/o/178IzQUBSSUxC5hQv9FStwMjTdUOQ9/yQ91Pe8TlB6iT1N6n4QcP2P7jnYNihozH
ltz75Z37GbP4xDAygKWN1vFhJTiDbicRV4QQhJyUqsVT8Iu+E9x5156Fx8P14vySk7Vvm+KDT/73
5wACJ8T5dZ9HTf8zCv5fMwb0gNHTEF52D71zTLo9HNp93j39/W3/8SI20xv4vn3PvvyoIGmducTC
cG+71SOKvltnfMrd5/+Hi9CrwgNQmsnL2eNFnTiD58bmnjTbz6Fn/8S+/hikzgcp2Zf3wrKgBsEQ
6IcAiyq4WK+eFfYiUC1xStmrtp+k/ynoPrjE5RfCJWyBrsSzbUXRaF8MXbNbEzJaXOZH1KjtsNMY
Sr2DLg8IK/7+yC4X++WFLj5Famg1BJRlx7x9HIqnIv4lw3c9Hv9+lT88sf/czsVSyxhasJbazo+9
fpfZjyA8rh9N6froiV0kPqu0KCEreWKlG/Xj0eHwWnbIwD39wb7x0b1cvP3WmuN0zpz86GefYvUQ
uz/c5oNBDx+9lPNP+NeKJI1tdkPD45rik0oeeCkif1r6/+VquXz1F/NdUuNgsxJchTDBqLQbAn++
uN7j/9+bP7+2f91KhluA4kvlRwcbSmH9DBDN85L+fpHzI//3Afp/7oTK0rGFZOVc3AkCgdZqhZcf
z3FkG5izGzFgxf37Rf74UgLYeMWh6CFw+++d0MmhamYiyjFtjwGhsjmpo3b2Q0/tBxf67Xg4345U
bDCOD5LiOBerxTe1LdKlKI/ZcAe8kfV3GO13GdLBtf26KGA7iC6CMverPMb+l4KEb6cKohlqJkV2
GZIH9vdbv0xTv/xBF2trHlaXjF5+ULrKXUkOWqYkXG+y1VaLqY5pKq9/v+CfnvW/n8DFGmMGRuz1
oEJHE17JbzURk1UAsfnhkz6/s8sP59/XuVhoq9+BmqL9OhYEmVYol/HaIQ8i9y28IlcvxHxZzHsf
B8Tf7++fL/LywoHjc+o5NmLvyy92DApb4A4pj2FtHbFOIqY7kbKHH4AEP+u5ePLfaRXNXXXj3VXk
NoGDfzRo5E/POHADSLlzsed6F884d1I1Lsj2ju02HXepxTAVvP2q/uhWzyfIb7eqbE/iM1DSdy6e
8WIHMXrDoTx2wxOY74bYtJIuzf4ab/xHd0+yFiq+MvrgAV8O9fAlo5soZzxBgeVJ72JLKNB4aRCm
5SSZ1iRoZHtyIZjQnJsnb3qxm1uQwRzEZvSvAvk+d+Xp/C5QwCzkhLUHkMa9MtUHv+q3M+riR11s
hkOWLTPZb8tpxHq5zC8ZUQghGWMj8IXd7P/+CH7bFM8Xo7Z2SNgJJcMz/rtftcSAqirmCfjJE9DP
Ruuf//sLePz559lQJDFddkpglmiMVLucJmg8xyGr2/r69yv8U+b859vhHv59iYt7sMysAlrz5UQ9
tPGCu9T9wT0/uMVuIr8bXvyaEBDThR+8p//LdenEfF9RgIUXawPQlxDE2iynon4w7VdyEbfW2bwX
Hq2APKT3eSR38qPxbr8tSG6Wx+gzIpBJJ5Sw/31hPYaWDlJ/PVmkSg8VBgnWJNKVezf9YE3+6UrM
xrbpNpmRweSQ/14p6OJYT0knTm4i6e51FOfXBIijlPpghPVHF7p8jmE9F25SitNIvsADNlMLvJII
XRZueT0sYbD9+wfzx+v5EoD+n2YmuDijF8AFOuJZnGRfbMrhOaR+IiG/q67/fp3fDkTpnTECV0qP
T1/Ki1elEsRJCF8EFnj/OKjiauhekk6TreTCz8iTacTz368of987uKRPbQMqQdNxuaFVuNt7d1rE
yW8IWC1d672PveBTtcL1VAR/3SrXaW56eLsbt1/tH9LMy94bwoC84rx/qHI4rdXGK7yJk7y6nQcE
7sS4qRuyRDbj0L4NmF0wZ6vhYIim2AxwH5E1WQ9VoPJrwj3Tr5jM0w9W2p8epIMBhmQsvnipLr5E
1DQN3hMpTvb0XH/NSbe0o9VsB/3QfvAp/mFN09sSFgnOwnZoX05iBf6zmr4NWV7EhxetvW89b5et
N04wRy35OjP2nGkl32lddn9/d7+/uvM2wlDzgE3Sp7D773Jr+kIyvWNeT75n7ck/IP/D2pvqJkXA
1jtvf7/YP9MQ/7tn/vdqF48Uo7/NyWfWk/4f0r6zt3Gk6fYXEWAOX5lEZcmWPPZ8IRyZc+avv4ea
F89KLUJ9d3YX2AHGWBe7u7pSV53zic70+m384p7ZlWaHtmuKS37ZeoBC1LX3ZOOdmlO+Ku3HH3Dh
u7n7AB7pN/JWSZIvDHNXIb/IALwH3ajjoVt5T6KBRmJRZ3bSk2yOi/xlFxwSkLtqy8oJt2jJogi/
izZ4rF4UVEnTJPyHnyzElfAIwEhoEVbGg1cBvgljVWtfBjVDmLxyCR5/AfgMkLj6I8O8NMbFzFoY
X//mCzQUWqHXvIAiwe0X9LyEdnggjxyqisHlKl9Qt126vdmF0hLj6r8xLI1mfFmN9AZx7WPhc5qG
iAfc2xI3wbMSdqkJvDGs8Ox/ENLqpK4qxdDS9DkZf9R88Z8kXbTwap99PLtjZkW+6HSmi5icx4P8
KhnjJdNhuElNXx7Lu7fsU9kIsToKnRLcI3GuqYC+Jy3y2ANWuGpk1wYaNFAh8ie1pUiaNRQo/2Lq
F84Yzp8QhaKzP4psApu0L+QMkx+fYXUCMVyIOTfGzfUiZq0iU2j2aXaFV2IJvQHIoJBEJcQySmWX
7SKoS4OR820cuifX5dFUbvletQUvOMCiTeB8NUy3CrTIylGdL2n841NUTl5ieBtUKBUJ8GwyoUk9
n7UZgFrZQ9rFwUJr+x+wDnWYmAdMwOOTndNZZEASq3HgM5JITUr4VEI7K9Yt4gEuGoHU7KBzMu/O
EmaYH4u6lDLJVV3LIqpdY9nnhRhH7KGTGox6gVzGwPuzIzLpGV0Vu44XGCMU+81YlEe8aq2TUXxO
4nETAs/KANR0aFUJuqEl4OzrigYkkZQTMMfF7j3gRftjffQCDkCGTDmaGSqIQLjAw4zLffmqtODR
32gUvGvJbYeubL6iGP67xxNQMitwojKafXlUPzVicUoRBug/LRGU8BKgjYV610TNL1YaQyOJU7A9
CekHMJGXWSH+xuPgNlD9VVxmPOaIBQeN2SPFt98nIPgeAR4AxVKwCGtEMIbQExVwt2EPNWIJvZP4
0EBzrUiRMnNdVQQIkopGBqR7qFXe2tu80UC7FTHcIdMB7brqFllnhXs0BIeFDdi7xxp0f0lvhRHJ
bIlJfkYQPP6glhigyPlNouxGcKyhdZt1HouaXxi4A2S8CwksrxEGQQAYpJBjoueAwZBOtkNT+e3v
AMWFgflz/1cLkwSN51kEzxpLLAwd0WPQoCKNm4F8FHiKPiBU0WmAWZzHy7o3LNhBhLCw5BpevMiI
D7BC8SgPEDQ2FVBb+GJc1OC2WniZ4FGi9FlRMgsl1ACbIvNT8HnloxhuSPIGCdChxAP4D2bGAsML
uvRTDuTPx4u6t2FY1JQOoNeP11iVPCogU0uaB0kpOjLQswGonZV8AMAn6MxiytMANwVwt0YMwjRV
UjVZ5ZCIEKY5isWoAnMJf8jxeoRBX3R8nMEv5YjKqVZ+J+giCIIXjD4Cc9WJMNwp+BR+9vuLjV5R
GVkIzLWKJ0JCV1IfI4RFB64QdUAvO0KcxEzZRP4LRUEWp4gIZTg0bxJSAG/G4Wm64w8I6lm0xoho
KORTg396fHRzN/paDOHtxRJT+OBu5g9ZDCO4YoIjcF3RDPZYCncfl2LPphAGK4Lek2+8eTXmjAs4
ukMofA9ojmSiUw1I1TRxovgbHUu6mIBeHU3ex8eC5+7AtVxiF4cc9XdBGfiDhwdcMRHXSudweW0/
lsLxMzp5LYbYRUHOhW5MOP6QZoAzUF0BRIzoaKtKVP+ntlCQetTtEllQuQOed7AC+GSyjZQo2AzA
JaB8zSSMuCDgrNdEEb4HbkEmbqNYp5j17zzlMKB1B7UGZL5A2dG9UhEsoBA31uPFT/eNEKcpyM01
uB+cLCnOxTOKHIkAAGzD3wKAxVErM7z+yOfQ2BqjPV6z9ouKcgfvhWospuwlUZVR3kOagY+6sm2Y
pWkxxxYph6DgHCbVx+dYOHQDt4nCJ1VeaTJF3swJA6ZC1BAKCkhk4ddvBQpu2KOpstMOPNdYBRBA
quBYREtguQOOrtSLFm0nzVkUOEPB0C+MB2WXZ/JadCmrmMmcLB/i0kkFr1asYYZGDcXBPybNu6Tt
MbOqi+GCQ09c1BtN6/g9EBix5SA6YJIjGhjHYatgbAqAUAXAwxo5ATXllyYVlJrT3M4oKrISTRBU
GTkvofsZRqfRysO5hwgzN+ilYivEjyt0prfojPdBrYrCEKaNX2U7oPE133WrTI4AuODclGkjniLZ
2ttRqNF663nHruFf8nKZR0bd2CgwAgh/qzS9pQGctWQAQqWNiyzZSsGBYxwvqChXbsYpoYEDQTyS
M4QsiERvTwfjN5iS4iLviKFJU5Be2BFVlfI5++TRu7FFBy+beQawdswuf1M8ivu9ryLdCiccfZ5K
dQvADO8YpapdDEA6B9KCJv4G7ruRo+2Pc2m0v5O23955bDbw9gX4J1YTZeI2BAOLtlhJ8I6AcMLk
YYC2NkBJag6QUmjvNDM3fQoucO3QWigq5DsNKLzGQRkU7yhvASwpBsu03ymdpsdyZGXFG6NSLhpN
HrE0MQSdCtjavGPeTI9RgJRJNw24+jDObwJG9LHtvC9rCmg8Qa8RijXItxHl3uoNmvl4GeAn4XEc
dp4Ti8vB24rhT4sDjMJTI+KVHdD4uT3I3i7uUEI2uP4zNIHNxBg8s9CYdQVAZBcYqkXOGEW3wKig
D0zzOAxoicbdmd9+qkDkM2BVBER/1ITH7MV/w4Grh+K7OAMubhmv0I12dtGrTtmeu0iLEElY+Q7U
sSAw7MJj1b0J4PRuvh9v/52nJH4/YVMBLqdUsovfL7ZAGlELA5PCRfDeNm//Xo7Ky6jyyvCPAhmy
qm1Zp8M4hMe6+yWW1U7NYZISeTgGXsdQzukuFseaVBH3BYEj/DJLHFNaSF3NRC7WpCTpgu2zGPCj
BXLgMc+camjaJQY/KVHWfa4moB0I0QbMAawxSvS3aswOSEwBIDduGwN0Jla3gHYuMfwQUNvW7q4n
JKG4KkwJNQo0ZFicSJhUDFqP3aJibfZLZofpX5t1AopXu9eMWzGEUxs0xU9CBqTXzao3IwfNqzwt
v71X7kmEhkcNdFVM8dPtnmmBkrCMGLDbeonqtInpJb0yP72DsQLO1Obr32rgjTDyZQj1SlDnjdi2
yPFNzeA33PKxgHu1uxVAXNV4io8G9nIunQW8mQ3aByhnwt9boFsZxHUtWA24SJ3PbpVnDIYkmGrB
AM5Tv8H2/XL3geFiZZ0ZHFD03nWf2tHVuyWGUGxl01Au2Z3HvWjh/85OFW7Prgb7b5F0IbutLA3v
CpqhrQJToaz3PmkipEwadBXydRivqQA0Cg0xOwuodbZqip86r6OWRVnP/K36Zz2E0wPaWdK0IdaD
AbR1aDKGcuQdxqSJmbUTVzqvEtcK8MUYN05xgpWFbh4TBUHYifS9XdDUkaOdEGGRAIwBROEWktyj
5jTWdIkxYHKMzvla2/FLwShs/hfovzRToDgt2k0gojHw2AM8jYdk3vCNfC1YHn0faasjbMdYtFGB
gS52O9qanfSO8IHw20jXos4ZgCs15J12AGCr1pgedX3zaomKJgIyNLMiarlVyyINxUDy40ktAUW4
ik1+WZjoI7FB/0SxKvfJxXQFrmQRZoXnXXARgqxhOx3iYEWO4rhm6viOYGVmbD22YbP25UoYYV9S
SRXGaXJqu3xyaB5y+n9vImZiIYTFKFG0KgS0AmxbaGJgJdD7zuwtA3m5Gfx6vI75aybLCrpHUATA
S9jtCQEQJ2GYtGDRQx45gGyx8nV0yLeuEVLsBlUSYaJEBmj0vgBJ0wWrdNcEANgqXbkG7VZRJREm
igPYMVtMa+qsdlnpgYV40BQ35SKjNLjO2sKrzSNsVA5emtgb8slG9aZoTO5SWWG4679uHWmh0mbI
VAkLAiTisl+GZq1zPwYQvZ7+ozYQBgmAIBoXClhQaQPIQa90bRcZnAGCKcqSaDtHWKUGvPepG2FF
DbxijKERxIBGfWQpC5o1fv8cEPmw4uZMI8ga1tObk/Pll3jEN2iWZ8aKoysQATsHI4e3bOJ00KqP
51FMOEOIb4QQMmySv7imNzKIgxlDcME26kWlATRk6rWuZ0tmSfO6M/t1I4Y4llwDBRYGTaZjAXmv
wcL5gY+Ccvb3z29otLvaMJnwCh5AEIIxAIl3oWN+36g3oBo1Q9jqAPDjGCaJDZUmUri3qTciCecA
mi5R5BssTNjLx8muMkYKJHm9MVlz9UOzC3N+D8/BGrIb1DzQNUbsIwdwwDBrlcnv9cv8LV/3uEXK
e2CCuI+ytPtq37Sb/8giu6070I8qeX2RlexaIDc/dbBGFcoR4BHb8M/unjOyL16PV+zafaIa28ls
E97qRjyxs2DpKzEceRE/mfXYRPvo5TYXNhgaDB95HsVITb/xTiKaHdGpif1FazB+fhXr8pzMxcDo
w+YGOgbM17kl6r0B1ncDwMYUCz+rq8hW0ReKAqIkSoSjryuU3+sq4rZJgilrfwLCP0pIwV7H7ih5
qyo58uhQEk5gydU7zHwrjExb70yCOSXM//uESbev1sv5RRABYJaDO+ON2NR26QcmrLs318G7qqHu
mI1rZB8sS5F7GSEk9/laLuGwx15igIkBuZXF7IEsXpqBqRrjptvBr274l8BIAKEN4jrT3dfvAKUy
K9oD3oybwMOZJiPvxVPoXTUE4C/Ye/R6IreWQO9r+qfgKXiarCzYluxkA942sI75T+mu1COTZqhm
r9aVeNJ9MFWMghvYR7f+RtrX5rbciKt6Ezi2ze0W4Od9B6PbzwjVSxcUHZ+7VZImixjxxHAD/iTO
XOoynh0qnPmxsSSn2vrw+a4zmRFe59f0POFSk7s77SuJhMli5XbwhKDmtgDXA1Wx1RnKc7eYQprU
qYzBQmKJgg1gq9b9sltMiazrjIYGQPdPcCtiAt6m50f8TCiMVpf/bYNEeIqQCTBcPGIbNEfaq0e8
7h+b1WiDCwbBFpjq04/qE2z0i9wArwUS+gKJBeUkZiL9m08g7FvnBiHA0fAJvRmb4CYws6174Jej
ETrpFtzUBnOiBRRzqcyNTMLoIF2rZAYU2TiGPNcjR7gk2hiaN9Gu0j1rDmWN0zY+OHuy00ApBakT
1JLb/hbWPuLyHkqWG5pJFUQ7T8Kk1KCLT2IWCxNwnbJdZTAGQGENoKN0Jui0l5R1UW6RRCQCJdBY
3HFaV2dNeb2LICNZtVhecnBhL7y/SkJvTo7ICJBnKWUSTieHyzKlof2mMpSn1BlM9KbTomiqohCh
58QPIzIulNPftGayA63R5fQ6E2BEq5zmEGjbSRilvp6g4hWYiAaOqF1iTA1MbGZtAqzK4peu48II
MEcJIXZuKFAe0ISj1kU91VmncGUUCEulesAxKGWcKkh5L3UhwEwZ7X4yVqIJvGujOkx2QDMZajFP
mHztg5tChq4yWAu1ZLqZ6tFdFTuYQgssmzvvV22iTRq7vkeZb4+WN0cDs6zeruIXuTRHA3T1ra6s
GjPexTuQt/5lDfBa92TCUoEpXdWkFsqQWS+VVaHGeVhIR1anucXZ6BZdwxonY94DYTWh5Jiyj8Im
6ritvB0/lYvFAGGxBY4Qh1rInQv2rmURGl4yTSdXgD+5lAG5597uFu2yNSf7nzreodaVRbyb3GKI
Cw3MGP2xCZlU+v68/1kqofIAD29AbwDxzQpAmAYKx3B6Ia2hlbZIQqNDWXAD4LvDThmI3I10Hxwn
swjugv1fZUJXG0q6VNh6DiDzkIVXd9RV25NrtpP3xPHxuvh3yR7aLDGygBZZNJcRWhkLMQpMA/fn
toYbdTuaqK5aOLxli/ug2r71+MhmozaEjDLwGESAWsrEmSWd4iUpSB23IE786U3+RaiXp8LkFsWG
GSzgLTn5NrP9bYZEk1lItJh17jBhnQANofBA5iM3uBmAg5SAT22r4Wao0FD0vRoAyzIRpdOykznH
fS2L2NyiUdm4BvjUdlggY99qRv9U6+nq/yMPmu4ZeRGuJREhCVAB+0oMsSplD7T49/akOCEcqrqp
f8r3dFfYIh4BXGN4enyY920b01De1W4SyQ/sDFBzW6wQxKDHbNciJpXWrln+KCvPEL5ZvQbSCEXm
7Amij27qigKlJ2nkXdflolJqePg5Rm/32cqzcIoLzEmz678xMNqVLOIEOUDIBMVYQ1uc6TE0+K6W
aGinBLFzHvNaCHF4rSSVXAREwsudn0wnwvqFhADv8cbRxBBnJZVVN9HATPsWofbergAHr6OLm3LB
Z/3P9XKmOOUqIS6HnMeDdcvjYbfdV0dh7VkZKlXtQvwVUOblaUsiIsia73hlBIH35Q0ZtNqVCa5k
aDvthKhrInxqAB+n4jmeh0+d4n3Pmsxyb7g6ty1+PT6mufo4Zqz+0W/Cp0ZgzMw4D4sqTQzb7ALL
x/OC7yB4+48KQVjiLB2BtDQpN/D6N1NNarL7WBTNDE6ncGecrhZE+M8s4yp5YpSEl558WuSI78Nu
SlKBpmgCWt8cs4X29d92USFyU6F1ubryIXR6cmVRmEmMcQUIP8Ol2KPLGBixPEC1sAJK1Sp4Acie
aSUBBHIsDjyeCbtd5KCZYSOYnzW6ADoTs+HvZ1w0q3h+9szjkba1MwHQjWziCCsgayYYjOC369f8
wFvRetQBym20BgRLBuBrrcSOF7S9nSzFoxUTB1orhZDzPVY8bvDsC8BcFO/BfbNJDv1ORpApnCiH
OVNju14mWempgGzHSzGWqehbzvTWub1fHqx8Vx3OzhdlT2dsyo0swuSHI/qfxRCLaywRlawAVdpQ
bxyJcvnm4qAbOYTV1/o+ACAv1vQK9PA31mDQFjAul99o9NXf3ngbcJsg94O60lrVxJnT4y5NPrKC
Tn+yzbMKoprX+gKbKTa7pCjPURwtKAc246N5Dt1LIqYVMO0mTt9w5QMC9P1wwlBNV/7Ps0u0zdf1
bnqlpzZXzK/nH1mEEwDEtwCc5UmWcSnB+jqwr6fIbio94U3W1BhqkjWnkOhVnRqlNfT7scT6mmAo
m4Yr+W0oVxiBtBj2TUl+ZIUKOjEniGfRGouuSWGCVbvdyCZpooQLRX4rLlpk8njFRHFt+YTuWIu3
UWs0WbhwyuHNGZVrmcTipEgEBUwMmdzePSZPzUu6ZC3BPIExySit9CXeJad6J1id81jw3EFeyyUO
EqlIxoBqiN8CZhSMDXYlfT8WMBeuYi7on90k3DgoYzxFjCCBARjjBIismG6+Zl1ws2RW2u6qdlHm
H03KLHPpl1qYJSiAaf3nc/bl+hsI9w4ETS6tMWGwZQ13Fa0/Isuz2O3kn4DeCTPamXjGAO0muk1o
N3+ul+Zm/YS7aPkGTHKtwG9BGGtFu3YpbDiMNLd6q8c6QIQHU7YFqzRg7k6UracpFeEzRC7nMUQw
eaqP7QeQafXT02JxwMNAv3judNor1NzryPVKL9b3ygAlGRQJ5DJIvQx5MZofhb7/HZtLYKLAOcrw
zOWUT687/eu/bvLl065E+zWgqbkBmww2J7zTMvq43J8Wh6kK8g4CJRRvj7SyAUWnLoX6K5FiySs9
nk8nc9tBZGgDWRTVdloGcQ/oBCBSoG1MGAAYNRJIpEOlZAIQRUmT/oBKIty09t7eB/r3d2mVFria
3j3jh6I3kxskY41rkYSbFGoAoQcedhNvtWivyFYFyjz1qnySndygvmjNmqCrBRLmFoxodeMXWKDv
oyJtb0/e5Wrwr+yntGLM3Hy8Opq46edX58aLjBIkAcRJUaaP7E7MQoqEizd/tH+EUdXaELQT7v9p
o2iIVmBlBs5rugGxUxo/ICKiyJy96phi1cC3JmK4gLBwDEoswA2Q+W366iUgtjDzX2i7LQQLFMKP
929W768kEfYsarJOEwpIEkBOMxqyhJpHAJ/42XwFNFc864mvZBEGjJXLsgQqMLwT4N83Tx3wminZ
LGXfyJSlqrxRxEgnvwWnJoZ9hkgHSpCme8D0pBkpysaRwJ1S4MWS4itTPhskerUFI0Q+6IJnDA7I
KB8f0lxCC7OhypoGYE7ubrBZiAFMnEmhsE1C1279DSaKtDa13TEDK9yXFuxUtjaFPLEpcufSlGu5
hOrLVZdqiQq5VYF3cRnw3Z5RYKrdVvEvStZ7kMxQVH/uyYdHXyyL8TJM0AHJ7/ZGSyDXybnIF7bd
YCVOB08jImqqPsFvLQL6YKu90UReEEevbjjmA4F+hnkaSZIwVoMx61uRwhBlYivX6VnGu84HeOEy
5oB5FwDQsC8AJyt09rvKgSTfgaRoFS1L32ZKe4QR/ez7BWZhlNCMXWtMAEe/8gLwLK2iX/xGfMJc
LFjcXbw2/niJNUam3x3/3QndfTphKcBREsHeNulZlc2uTzD2Aq5JPQbeOmKQNRMu00LPnG5Pq8xe
0FPu9kyZZlgFTDncQbsEEbiUPIVPz65sKEDW108RLEdrHoAcZwCsaljU4HvXi69gUZ0nnhowR9bI
qD+BJV1tAnHZSJSUiXxM/7MXV59Eaqus+H7b45Nq2xws0Rq+7aV8WKRwQJ/5j+jA3SU2ZoIWGNN6
enwOwuRnHm0HoUI+Vyt+wY3pOVzKx+j9VfzZB0/KWl4mm8Ao1164qK0fVNeMVfIc2NJyh8HQPRor
8Pc2b9KqemS17bIVGsopGEDH7OsdKhXLZEM9FEl2FoEeWSxBkgWYe5AqJq9ty7EvdQCSS1MArjjS
Yz5In5sxYV+Azp68ZoIWe8bj3SEM/5+vUXGVMSCOwJ0MrgYfPwNvQXZuan+02SpLweaefFY1Kz23
JUubsJ50njgLgBgD+kYUUAPEbPrtddZ6BQThlZKdMYYtLtWA4+2cLThTYcB4JBRgRozLWKRoH5kZ
TIsEVDlSTLRJikDxJqoe/MBFXN7U2ZmPTVnSy9DClSwzR3gq0dmy4IYn0Sy2pbwWOEdB00OJFwVa
FEuGl38+Ao9CIrBPFQHgP7dLFwZ/4KW8yc6MI3NbHpy+ol5sCiAYDjp2Hd2Ay0q0UhAPNTYwNPNP
Zfn4qOc0D0YUIzwAW8QzHIlwJfoer/hSkZ0/kJcVRvI7O4FJ3g4+KHJmdApyJvRVEfS4LAmClqe8
MLI+VuqiuQILrcZT4YPDHdpURGCQha8CpRsnAR2V0ZvSM8bRkl4iILUU0r+dB7xsO9q3OCAgTFhB
d4sGwWXsiSnOvrTrbHVePTPmStz4Ol7Fvl4o5TVywPaPNAXILqzAyoC4m2zRVcxbtn7Qe9KQnSN9
DPRoW65LUIWkhrQD8WqjK6mdMzrNLRMvcX+EwpwAKxu43ZgxvhUK0gKGa8Cfee7YvDOZYlB0vuFE
JwfLns5k6aArLcizYl89dZrnLsaWpb1bXVA6iIuNy4XD1kRM893B0bdcEbq4+fgG12V/9YHHfKW9
oAlmCsJCgAuUGQDaxbjrTsw4dp91C2p7000lELW7kaSB4tNto8iMMNQKVrk+9sAOPjRNuMFIWBWZ
aZSFrw07+q9gGcUkOetXHSbLlYCD41AybuN1MavpGt/5L27OSy9lWrXo0lMY8Sy0aU4bv51zaJiQ
BLUkUAwxYEw2ySHqA6W3NjGtoiNQtkCFprSAE4p0kMMYTPHBv+FzmBUv6NmhK8APxBnyR/da2LJr
qJwBmDFdZmtaMDrj6gAzgO/BaDcG9khodR6ckWXjc955oq9R0DEX8WgXlJVFD/qtlYdZjg48ZnFv
jcLu8aW/5D23CoBJRwmo7miXBCDyxfxdaX7ReKIagZr5bL7+Hqx0ibf2esnovzP9NzZC31cYoiqM
DA+A6hJOX9eNZ/PneDRWGH8zNxvYQjw6xfqbYThH/OMM+vNzajznBvjI0dOzWq2MZ4dyc+4NFW6N
gG4SdHfi20nnBzzFpAARvXviijfQrulVvYz8g99T/M+907sVQ4TNvptJILZn3BMKVJYX7yqAbwB6
B7OuawEs6I8Pghw/hDW4lUaYIC8r4H0iSPM6czDypaKjZeUn32y3Wxv8Dcvvz0HT+1Vv6JvxJzrQ
ehBmbsatfMIacW1ddkB6ck+mvECX9Nb+qAxw9uhL8XD4xdq5LiOqAlGQAbR8SjAz/WpSB6/Pk4j0
VD5SlWgSDcY/Mf/hon0EHtLH+3t/xW6XNx32lZ6DDMZLYFbckx+fi6bQg5pyk8iixp8DlIQJiAZF
BuCS3EpgQAjWjULGnBLHPXwv+lW72gEK8gvvwGvJHCj6QuTl/ycNoTnETWwGxJ6xhey1QtkwJ4BO
6X29nFjLBvBvFh+1/KuTKFWA2ROCbZp8lQICCf52bS5fiiMztJAmoV+/WiTKi4BG6sdHNBPoaCzA
sWAEcblZxLa3UoYRL+dqyjCnzIqsZKFuVH3146FfllZpmDMg2BcRHeIAf0C2dStIRtubUvUuc+q9
xO7zVVgJelVti/rfx81Y0ZUgYt+ESszAqgpBWtohgUPzgciCglXRA/YzBuk9ZQPnLNa1OMJiVVUj
Vm6pMac16Bcx08Ef0WepI8n+5AwrtYyVvKZky3PXCnEpIGsQNAGai9jJUiiEeBSxwFhrLRk8cxKS
98ermtE9RIEcygmYykJkSojI46oGAW3inWO5/FUG5QaEr43uB4n1WM7MjcILJGhHsBzkHZcqypWF
UJWwC9ux8s5pla0AObN3pehVS4MPoRj0Imltjmcp12om/NJuZBIH1ou97wtq5p239h4o9RjTxx89
atdLfbHU4WyNlePuYiS2z5SQ9zLjQxjdG9GEueJKSa7qDqJfX1njRbZeOgNUiY6km7a91Cx8wgcK
zZ6OokMJ6rS1aMoYfTLqxbHTK2edm+aP8/gAZrT35osmRbg6AIURtFCqC+8cBJojj6DplthN0XNm
UtZGVfGUzZ8VByMzpVagY5IJvQq5XHX5xPPOEfiIeStoJKBZOVG9zrOEcjHnnCteZjlRwJCvAMhB
Yml8G1V1L6reuVkVqlF52FBBT1Udg5n7+pCakmtULhju4WA9TFG6uuieAPz63hWlnr25FeV7yIrg
5D1uvofwHiC6BTA1w3tnzFhzr9sQTQU2GOd+QvTbGC7FMxJ13TthhOsFOa0UtWCEP1fjonhqNyy3
fpdQTZK2w7+FbPojC2VdTD8BwwOlx1sdYvqaTYoo9s/rRN+OOsdZw9fX+iVGgeqrcwQasONc1MZx
V/Imo3Kls6HrSy2LDu9zFy7beg2wwGjtt7YCsmJWD1wHRYJgBAp8bMa+YAriug32HPuaaEu+XqMH
CCVuZqWkFsilzT7dRK5CiXsuWSR5z6+/kCjdDH48umwb+mdMG4Me0MaULjBWdYSXX97K2HG/+Wk2
uLa+T/u9/bRh0BttPB/N1+3aeRY/gn1gpobjWl+K2emd7tA6y+avxj87SPa+poKSj6If+WdeWoe8
Xv+qwJ2KCWzZCJUVUJ2z1QB4YL5c8mZ8HORtcao4vX+vn5jUGJRj7h8eW6GZqhPuxtUHEXYBBZIg
6CocqQSiAPeNYzhL0hzBzc2u1s5SZmfAWxVQgGJLoF2vqtwENa32XapbkLzrsUt9qpjxsSATAAor
EnVeBFD9rY4B/qYvAAHpn1lDXYlWtRh/8YfAYF87MzFdFyOMLOXGzrnCa4mEWxpSXktqP/PPSunI
hTFUmLdOh9+oz/u0Qub8doOpTQAVxATzR9ygBmXeVhqw3YVoCwAuSEzxudz5mBTUrG4X66mp+PuK
xYvAYgTjsh5jguxEOfJpB+/uiCRPDGqgjUNIeLvDzUTaDfpMHHm9GOUSnTPCKvTeOzzN8CjypuEy
UaMF7yogWq8MyaU4vrnAF++7gAAE2JkAV0RYLamVwe6cQv6wkPTiB9zuoQ7SZc4wIpvi98l2k4uF
xGaj4AOYfsDqEerdjuCULdLBP2NK1faqF5BtJ65vtuyRD9ahPFFFGwGYMPm3Itc9xmQVQ1JeKBs+
F9NdfwSh0mOuTRBvo39ulOdGNTTV4dDn3+tqZg7HyD8OQ2VyWQBINHtY8kjx5ZKn+MBLywN56OiM
BNkD3AWA0IhviPKRi8ca35AHup3EJlfrbxjL3KW78/mc2JGJhn/9Bybv+DeLn8rJQB4GESY5fd1X
klp7rAyLZySWAnAmBiMii9ay3iXjK/uQKPXjWR+FIOd/8ogTDypFLHoJ8poV2kDLU3qIrHqjONlW
Nv330hF244pZ7MCXAL6pla83H5jCMmhHPnfH8PQOXBfkqxJgZW/vWOmVDZ/EVQD202dQRgdHpbRA
i8Z7K0XbJdHG+2JWAo2DajbKvZZKeL/Al4C410KqLxj26++t/9ksKqPS7ckPviIzT5eDoaAnRg6s
g6zL+hDgRW133oERSy/18/Pwa91QNG/OuqqYDAeTAhTvDpVPAyewliiufw7yhV+fymad8m8Kxij7
TKft+mSpSSWfjApqewoHygYi8ARpYz7GAovyXmcFurcatoGugtt1x+sKGNb+xnfCsExMq5iEAIbq
7SFrJVo3hYgJzlnjWZL46Sm6wFt5D1QQzW7kA5sZAUbDs58a6H6bJDTBfW3IopGUi1ijJd+TMGLt
2F1wyokq3lTvINDwFlYUgceHZ61eyLHDscfOXYQSJcCaSSMwbi0pHARMEJ2EhvVCKAigmg7Pbb1i
BKMWzMga/IM6fj02G9PvIVYjAN5PhNIgEkB8e7u1vNioai0x8TlqchN9usBn1cVmGWxLwQl4T0d/
sPlY4sz+CXhZFDGEBegEpGa3EgOulf2o12LYqX29GmzqoM6Mct4IICxwWYWDmzYQkO3GdWry3/ka
rASI99CRq526D8b+mwWh0o1ICq3xJBxmkSIEqEXIEwe9rX5Jyi4dV2H6/lgKP6MRU2OsDNsOBII7
fisuSUq+KsLkjJHKrNRrU9HDU71pN4Ax3SCnHvWnVs+tQwo8ljS16hcOZfJnSkwxEzTefARx8f1c
TL22wUeAbN0SMYeUeR+P1zmjHngoRN8di9hUgIW5VY+ObxSuq4rozPVw3OMyAJZoVxw9ihbOLARO
Q0SsAgBTUJ0Qel+mbpwPGRZStsmLwtbokinL3Hq8lrkI7EYKsRhgGIm+CLbwc6zt23YlbNwgNsBr
E3PbIXsVxkXVg7uQFovdvwDiiftqbYRPbEqQEI+5nyCyj5RnafypxmNY7FLvxFXIh5ZhR4kFZowI
IlwRRgTgkOgwISqsZRagySmKknMn6U0d6WH0NPRvZW33PFru/CMtH7/TERhECAKcL4rGyFyIw2sV
Hox8cpaegyEEtmyc4+14AYKhwIgjnqIod9eOkEUcoaiWSc+FUXrmKsUMQWnns3aC5ukA9EAN+/lY
Ye60EsIQRE9lSQA4YXG3yp+lylApAZqEwDKkee1HW1ZfjyWQMDIYvJ5sFLof0GGPtwvyqTKfEGs4
rk3PL+iu8PEm1L6+cgBZk2zvwK/XDE0Z72JyTAzgeqHPAkRu4GElzkrIQXEC+oMcb+AwWBiYZgDm
5enfMualRwBlIBh+vML71J+QSJwYHuPlPmKE/LzO+/UHmBUWLfpov0O71UETZhwb/csxok8zo932
mdObin5wasDjY0Uy9M8CN4hCLyjOyG7M39oaIDyurXu8+V4vtNCktl/fXTssFB0VwFaHI5WQbNxq
ixdksur2XXEWFxkeuy3fBovFGOn5d08pat7FloSkyeVe16MSDWVGBZKa4CuWzeeG1Z+HgXLTaMuZ
tvdKiBQyfNpOQhJdHIxUdGRNP6uuSUmUaGJIFyYzEV+6XHEurKllN0QhWvt/pF1Xc/Q4kvxFjKA3
r6Br76mW9MKQpfeev/6S2ridbjavGbc7PkYzXxFAAShUZWXqgUuYN+HiecZzZ3yEgAwzB5Z1FBmA
CgVj7v2gECcKkI0VM7i/+C6/G9G7UuyqJdhD0QoQ1nMu+BD7wByPej+NdmEe3P+jwYmlW5Qpn+dW
GeL9sfY+ssQoeO0qxgRNeWI02x30mGgZLA6Cx8CCAggqjlyDtvm0ACN0bqG61pEerz2o3UCKZi8h
awV4Pn9Bc16iSbZah+eSOoU//VxE+Zh3Hn3DyHNqDxpmBbS3LPQhVAPltpZGpHRVsFusVq0w46fD
HN6FzCNrozlOJam2M6XNrdwA+/l6jtBz6oS+m9HRiUkXrswlYpFbmbfEviba1pAzQhdvbaAtuIN0
mVX/G0LuZyMaOSnaygI2carcipWtIJr1K8XCe/zomNkrpQB2lsylAmfdZhSj+FIqBCUHt+GSLUNp
fQQM6pXXgYz2v1K0q6DZHfT1EZupkPmCMgIVqNwboDLC7JZ5iJawnENv26A9iEyoMLpzyyYADJGK
CotxThGoleSYSMyqt9UShIPNsdfnauxjscXhCgYpBN5AUB7C3v/Lpd0cdIjhu8oL7MJq89cAmDgr
vApISUbLhiX+TibSNl5DbqxfyQaHRNHzE2lYy9FaQ14J5xGE23gwu4/2Ck3XnB8qSmGl1atfqbUm
1ucoJTI/Y2fiyoCIGB6wKLuDB2/MjQfEXyQzSVRavn/quYVkOfkWjtQQt53hueCGDTEeEl6TqMso
qM5ALRQ/v5lP5EQy6OpxpUXrFXIwn8AZSYaz8qzL1s/Rm/yxYpF9AS8LaLpMZx+rqn465z9rdKOi
72yutW8q/oC+C3JR0FAD2cgYQ9FnnSLYjVhaYaW60M00okyPN95aan+xsgtQPZq9sg7KpdAvWJc0
yLdTGr+Tf8PXPJi5EB7TkfC1248ZbW2n9/y6yeUSl2r9jRY8EOYB60pAwYwwDBUPQgLg0lxdIg24
3NZzqZvBm8ZLI7DwAQSa0I+hR0vDFKlYU2lXWbkIvSRb4Xo1SiEF/dyn2YlrTwTcEa/iAW6IAO/e
A/Im4uwKPGVW3ucE2jrsS5gvBwlEUkS6D8LLhQvSI4k4vc43ZgZEdQHldJ/UH3JzdeW1z6+rSk3c
t+ff9Zf1vh8+A1QzOuWHJyb+Proq8Jj3KyliWytniHiyoaRs1rnOfYEgaAGdu94xXZ50qdpkm57V
mkRnuH3oQ9V+IcVaE6yBCK/MjtHS4tvWIMTMK1C01O3+O2B79fm3Tszh/beO5jAKgyRgHLq1CrKF
VyLB8I6qwYAcGBrtPf0Sr9OdoJ5DFZHE94zxx6Ds3vjITZFl9OQk61s8Wd9DddvpyFkGEEv4HJKn
l61C3q8eefsQTEa11N31Y8b+Ixx7ECwbNA3wOBqeX6OkFKXwbSxnQoswDfz8gd4vIsAPg1yLQcXv
aAJp0J1uqzNmHw+ue6uj3RFxSinzgtJaZbvrBMRnYQENykXEzCGTuMd9eG9pFKWx0HDkvQLjMyJi
7LX3Tm2NSu+1npSAX+jqBlnqT5AZkshE4zN6rXOi0msVpzWZy1M/NqSM5nr41pvjWomjVswYu7Wi
l3jDXXkQcPeLUwhTLs6jTC3hcM634hPtiLIB+CRmbqZxkxbu3/vJGO3KngHsiKnwAU72zZTr2CUl
vwkqnrDxW+CnA/ATZNpkxsUfzyhYHVrCBslsEPKOkiSU54BIk6EwbMJ8Ge758L6kvsqlb4gk/fjg
JKBh7b2940ho0g4Z+BxnPuDxRsYHQGIU6Uhc+ziR7uddcDyF7WWns2C+C8kW3ayXYOWQ0w//bZ6W
4dmMexU9u5/87nvxCxLbuaL8Y/vWMPGAJkGnFw0mgF7dfwFFhT5vR1Fnvaxf91tv/Qnlmt0epSqP
nNK1aZo7/dyR1eqjWO6sVai7BKDf4+Ll+UQMyzs+lG+/YrT8TFiyic2GmAdwB+ZXqQgIuNVmlntq
w2E5seIDKwRw4fdDBfQglfIi7Syv1+1C0kNG0Z8PY2o5by2MtnRe2Ino5llnFRHI2oSQcBw2bmA6
jKQJAZ6b3ay+8GPsOJTv/xnUaP2Yzm/BTpx0Vqq9bLcoFiRk3R1fX7fvrrq/ZNsLrngtZtRTS5Y9
WdpLh1y49TJSTUJ03UoYYrkggwR89bA4+2Slx7uVT6zfWP3Wnk/O1MnKDbpmPMoajxlCnhoKtBE2
WxMNMrZHv39P0Q8cyTPLPGkHEGu8HQCXhbLY/TL7dt/70bCnUuTCh9SnjOCKFgGgKH+fj2jKa4fC
OvpoAPSCVOK9pdTm0rpTgs7Cf9QQQUDXoMg2pEYG9L8y9EBA02DuwmGTKtGbza5L2uKY1+cmJmft
n7E8qB43WQGRV7+DgDM4k51NhIcBE1yddK5WNzNpY4BxXQmOgtu0syoeyvJRjH0YQ8gzC9zl8xFN
bfeb1VFGm1Eok47qJBiyG7ypFNT5k/I/WBcoRyLExdEJNPPo/qhklk/oMO+sOqg0JgR41NkJ/ky6
dky+/Hc33loZXRKNBPXWLIYVpIo20fA4ed3uaX1vHNJFTU7t+nQC41Ktv33wLPmgiYb+jOdT+Vcv
G5/Pt58wOjqBnahtSLwOp8zrOiGSgmNmaxj7E64qs98duGNMNh+QUjkvgKMI1ZmjY2opkX6HMiSa
A4FvGG3pjkX74J//Vy1A4klM5OD9+QinvPLWwnCy3wRAReqLjt9igEUAzIKric5Lyswh9P6Plfxn
HOMDQ4hYqQhhxfMXEXnZJgM6Yb88CciIW6fm8MWTBrFHDXoEUJOow1yiB2PmfJwZ6l8odjNUqfHR
Py7jI8rhfFR+BCt0jP//bKKIh7cfuihBxDDaF0zdZpXkdNgXaOEuYsGwM3mZKXN48YmXNIqFwPSA
5wlpDTSW3K9aGPg8V7F1D7wLGKPhk+0SHejaMtgSHcJhjpqvpI9UXcw1l01kN+8Mj6trkEGLRYhl
9hZHctcUP7xgXbzTh6wmNhrl+IVySD6fT+lUaIEgEVq1uD5R0xs5KM3kfsklRW9FADF1sc4DFOBX
J7yT3wN/JnszTNt4t8MOGvrRh0rjkXw/rXEHfZyiYXtL7mJSheeKSbWUI/Qr5R8VLl1F2VzPzuRj
79bkaCX9Mk6SqOB6PPbWHdixARdSncU7aJ8MxyJRpcbAPcxhhiZfHci6gQUW4qPorR62ys1WaNg4
8OVa7q0+MJTQyFqatEGiRdzVo0hDb6pKR8vq8vlKTtQfGIQM/1gdruIbq06ltLGS2b1VQx5BJHGt
A0Qs8Wpd/TKqEh2gLQsegOjVZhfPLU+u643h0TGah3VGsykMs8rBWzFQ/Qje6OTN5cx8Fc0RlkwF
prejHDlRItmQro8HY86xgZi68JMmZtge57AlY9btv+txQPbROAUkxJCjez5Ad60TcUJvbbeFujaQ
RVrUl8yidBNdjKpn0JrFqF+doX8cIxwR1SI1f329Wh9nLqnJAYPVl0cjMzbq30vrZlmZzOa8RlF6
C5l6TjbKBeeqUE+eq6xMLuKNmfG8FknFKx3MxOm23ncZaXAQxGD5kJWXEtIfz11mMgUlgjAZyCAE
1KAEuHfWomIgCJy6tMWQ5ZLST45+2X++C2ga3X8ul6clKQvDoWZxyY83vgQwG0pmyNGhjDpWHsuq
Kq6qkqotumctSkhVgZs75bjHi3CwgbZSUCsgUKRHjpPkjpvlld9YiGhwE4uq8smscROTeL/8iRdf
V8iBAz+3KkpyXlg2cRcfq0VDjpLmXGdm+TH6vv+U0SwDYZBKoRM01gtHuD0YQAhj4AEHCFFkDhJv
9NK8vqFHblfsz8dsDqf6iGPCVrydidE5KFNgzO0CmJet1+4XBADqniHGYBzxnbj5uvJ7sELudqXa
EfcdnE3fz8c/vdr/rMToROwDvhCDEiuRdteo3GfSTK18wovvBzg6+cqmCSWHxwBTDczmxqvBq/3Q
fVU65KDHKPNsVupi8S3rs6IWgxPd36X3lkfbVa7oRsqTsEFgWZAyovEi1RRHi5RADcHmIhULJTRd
Zp8LhzBeR+lst/HcB4xu1r6U6b4JMLcceQ127yjGuNqFWyyXhNdMnTZW6eqME3EuypyIze4GPo4B
JbdvA2awu64RmhmxFhqXn5N/BZX8SnX1BXVYoFn2uR9NJPfvjY6eShEl+RGbwGijChUBZdv79rM+
X4LjJVktl6agX0Mkr2OQML0hOCQVM5TgGzLLrDZxKd1/yOjB1AlNnHh/Z0umD9u50d/fy4tC6iFB
sxXVi6+dzHhNos3mLRH0Hc5wch7abkCXO3Prz+3uv3jk5mJilSpLkhjOTy1eXkF6kSG2ElVjCQZk
kNCffiR9o0vo8gdBlLU6KtpxZnfPfsCw/W8+oGrrLopcrMpAoxeRIbrD/YFJ8AgoEc10caAk9arr
K8xAuD265swL+vFmvl+M0fHWdbIQ1RTsu2gvtJu1nFoM+E3sWPWzmXfkH7Pjk/3+1zt+M1ZfVqpW
GY7STI9Q0tvy+n4J/ZODzqx2KouLRJtz+tnpHR1uXJGmVZXCJFAJgsFoS/fskHqIC/CuPAHutNlE
Gg7uFTr6r99H7ls8zfX1T6SR76d4dMxJgU1BrHbY7SA1WA9ABaAV6FW+wUIPtNDtOlAl9XC9QtQB
FBI61xEdCnsxWOxSAog6ln6xmFn2MTU2IsP7jxodfUEcZU5eDx8FjZ89co2425H+PJlfBAefd8CZ
D1bsb275/BT6ezY88YE/H7nxgV5xqSgY7IJCbxsRrdxsDQm9trZ2OrWnDaGOcAWg7PAundlqM57+
dyjfWLZBr2MHNCxzWbZEvsro0mTtlY7qB72R1Kz+fKQTsIm7GR7D3fK8SNwohb1ce80+ttwG8SAx
GwMlugOGeHYMbWZRJ95s9ybHUZvislQQwmSq2VvbFAxvZS/4vb3u5s7Nmfjwz71uJjOM/vcGG3q1
ttt60ydkv49BlesQe2MekHKLRQIm4jPcaFb7YW4pR4dWqYC1UBl2lBiZZWHa6LiPIGLYL6lgNo8y
7M5nDjuKvwLZTtNcga3O1HyPvOKKyoiB8hMGujwdJPVLPr8lOMc06/cIeoP1jNtykx8ggZUIEjCD
LuZoUeUuLHw/RpTEg0q+QmozU41TsD3JF69RId20DI5L1yjX3AlViwRbxzPU+DhcVgu5HzB7s0DO
CcgI/Ozmk0aXVuZ4cl76+KTuyAcgQtniKCdLqQd+1Da+yA4purOKt8DMVEwu+43Z0bKjNTDKIg5L
AY4qTVRT+S3yUtXOzIhRn2/ePxTVw6rfmBqteiIJSlgruDfAFHysv4bHMY3gn1U/Y3SBYunxJ7O+
5PCCJXb1bsdqKP4mqACiS9fIXzZXDjBeGmRBNfnJS3Jil9fKePN3wkoHSZB2RJsAuK43Yjc3ScPc
P/vy0Y3Hhi7b8nzUWJXN7qqAtiiGm6vPT9TEBwcAmhcQJnqokd5HLZkdZ54iD2ETMlLSELEgG2Vj
90t6vwMiDV0dOnpYFjGKZ2vnc5HNto89+oJMs7QiShxyqEPD6v0X9Blb1FKJgmVFh5pflsvKpnKV
tqMdK0skpqVQe+4SzDCm+4m9szguNGVxzTS+G3eWRrEk+PF96Ejz6yOlwRlnTD2ervemRtPbgacq
6F0MrlFpU9iv17K63oILCzGLq2Uzu+rxfQ1jKJLihBnyX2OEHVMnZV63GJftql5G0O+qzeymCfTk
YEJEHQirBS7DUc7bK9Dt1/UoxIJeY2i6f393FqAl6Mm128sV2anHPjaez+HEGQXkPEjEwCmP/kK0
W947iIKaXeuXTo85hCYnAGOf+1O/ELXCAM43WRLV8vWG/PqzusITtzDQ9DwaI0ATNJDcjnagHeBF
QVVCZ/nVqmv0VBJBTbQrSkC6QP4qlV8gbCBxOpdUfLwn7s0OP7+5kmuWdVkvg1lkTnX86hSCzI3v
qNRMCPfIpSDcGxptPT/LpdpFt7r1giRbrO2RDwnWF5DloedPWRfqZ2HuPcjoMcg2DqrG++VGZ9cQ
7rM6UppWYoiL2lytahNyQOdSxR+rxDjThCYdem/ngCxT7g2KI6TLhi5jkI/cT4tY+n2YCm5vMd05
XmeZpXhG0LgzLj7x0MCk3JgZjuWb2Wf4IlPyBu7GrqpjxqOL4yskpq7vhkLV7znU1UVpLM6Lj0AL
zeeuPnUUIh+Io5iXUe6RR57OZmmURlzcW47tqKWytzng0fw1xUVoh5RnjE08HAZpXYVl8IQAU6Iw
er0rto8qZIK6QLyh1ilI8uACFB4PJ0n9RI3uKmMVIee4RfYkN+ewUINrjc/gW+OjxWTtIs+rEAle
J1yIL6mIYEdClpf9LXBs5RkCkHKWeGLq3L+1OVrZWnGV2okwYGbTooU3XUiS6lEgQc450qEaes2k
4/MFnTpB0IAkQggPKA08RUaBDtPEYc2FTG1JVxz54DVOjIzXeGVbW3a0xJ3+3N7ErN6ZGwU7VQ5d
K6ela4tf+Rp64kC8yUQqVRwc17TLGVaNCW+9Mzb8/Gaj8GEvlGGBsfGqRBldrGX5a7YvnZk63eQc
IjIYkLwo2aIx+d6OUpci+PXLxmrpMDyIQrCVmyQjrt0JepXl1LLxI4bwoLGOKlcxBb6bE/FiBs8Y
eSs2CoTswa82IGpH1zgQqhBo5pTa8lqN9k0hHZgsqVV0ZU/JZ/bJNST6fL6S4kTkcGdyNOrIE5m0
tmGSp800f6s+KeaT99TUW9MxYTLNC4jHLN32jcYyt5qQbrP4mILMNjZbZRvaL1G3LwGnFEB8+xMo
UAmNVzIENbttYp94/N9KqIuISrB4wrF7B3WB2Bpur0WJCip3TzbD2KygsX7uVxyqkuW3D+rcVUyr
WXl1wy9R+Iqbk1ipXLMUikKN7I2Y6q209FaZX4PjpFTB7ip2c8ouE5cApgWHFZqa0Ns35n6v2wo1
khwlEz5d9+eCUSmj4vdBN7RUJe6qasHmrHMyCNoPMVqwr+0cFm3icr77gNEhgsRDF3Kxh7RHo/Ed
iX479xcl6qg2K3HG8yf6C8CrABnNoTkEQdefj9zsMI5OS7bEZWSxmSGQFALHKWTPDH9fG7kRm+Fy
Lbuqa/TryLKNPkRakVNtI8IT9iy9/2lKgweDmrk3pmLAu68aHTJh2lLQXsFXgd7yVbDJFrDZAT5L
6a8UiPoKb125pppaM2fpxHEDTh1aFsFZLoiQxLw/BiIxFcEpHLZW3ItwUVqNIQ0eI6WcoW3Pf32+
/SY2PMdI6IZFUW4gCxiFYCjAymHSZK0llZT3UuN1SnixtWe8eaJ8IHOMDI4+EF6CRWTcqyIoicva
MmD6EqRecoY3QqjKt64Gqqa0Jrlk9SivokpvI8KNNI8DKKJRw0ZS+e4s5quiAHddTi1SV2c44/kM
PPJ/gttNgoIsUH+4wAByuZ9vX3aYLuil1vLRBdUaebThhZQcM/eHBRcGipVgFMZbutBsSs0y06HJ
8w+YeJref8AoRKgj38OBDOh49AKGL+O90V815zMgx98FKisL8Lpmjsq+1TSJujX+zVwObmKngwVg
AEwPIrbo+b6fADar8djK8ZzKgV1HtshuNAhTGvue0Htx32y8Q7H0V4uZUU9c4XdWR55XNj34nFgA
l9alEQIxQYJdRjhoAF1OkflTkk1jbL4kFbDWZrlqt5Y68wFTr+O7DxjtM8wFwlN+eB3jHmAMUPrU
WvvBOoBonbXng52aYRS+eZAGoJ0epJj3M9wlNCU6HY0IFP1nAgoV7UvcX/po0SlLSZ7bbBM3Kode
OwCJoeQBnx6d3CJChbhomd5yI5V7rT4CwCiQfDsQUfu6Xne1jvZYUCf+nPMAI52b1jnrw89vznLJ
pTK5kWC9zLbg4MS5yaHxhyh2TzpOzRDKgNglWEiuyl7cbDcnCT2BxwEzEzDU4rCpBtWDe/thEIhB
WnaAVklGtnUZIju/AAKsXbxkQ3vjCPu+XjgQ9KP1//ci3xkeDzxvJPA1tXhP+QuWWTkiYeWNxNck
YVU3mXm9TYQH6KSB4AhAqehMV0Z3k5KlFSXneFaU3Kb+5JXfvL0o0syIhImriGeHtIAsCaAMGb/T
MrwQmVLB7cCRlw6CiMKr/y3+thvGAOW9KhgZee+NWqOhiCObzQcDjSsT0IZeTT9wS2ebWt+8oc1h
pZubjf7RLRmdd6Gqe+3Vzdtq9TunYDqxzXheAiM/C3IHHGWjg1SKa7rxE7azwvQIukol05QAnTYl
VGcQND9f7YmyEPREboyN/CxHUysteTC23u7Fj1AD3bpFpFO5+DJNHV3RIJCkwLnOXpvZA3vi6Lwz
PfK0WuEqQDCZzmLNDGGRRz6N9ffLtkAXWfiimKsPainMnGBTp+WdzZHDNUUa26UAmxHJXiTy6i+3
zC598WeOj6nHOg8ENuSOQJkEoNLITsiXBdXXmNYECbBYS1QRbw5QStNLPGALxF+2Uerya6Rle2op
Hb6FC2gvLnOaPhOlMKzuzWeM7sTa9u3ObfAZIIxnwOO7KzG57Kp/1fk9ZdWf6LVs0bwHztflmUE/
oTDjXoP3jB5igKDjdxEtFqAbGC0xbxcJZgE7r0t+Cn9XyKfn7vsHpn00gMcFi+7sRwRq7/coprZF
awHO8Q7tRq3f8C/yCth9EXCCENpnjpnrwTLLNcm0ziiNKNrvIBIAcjXqUKOBsYSEEFQeydwunh76
P182upfxBM7oqC1by5PoYh04grwT5PD8fPzD/D0Z/h+2++aWKhul5Jg0hxGbfWNZp3rJYkSX6FqK
t88tTQ4H7W6AuoOG/SG36nRoXKgyTLTru+dMRq89N3fhz5kYzsWbwXBCIdS+XbXWS9WpEQQgsKT7
1PjDBG2iJdoPRU59W51Ro34+tsndKtwMbrxWbEv1zJ/lV3a1NQYpzsQ8eSYCdy3T9DcIz5HFr7IM
UVWZy6xNLuE/tsfpcjHm5Dqr6taqRWHR0C+08kmLvf58hFP37M0ApVHkRpdUC34iOKOT/JS2JrVX
xjN8N9L+AzNoORmoRdBBOKY/bgsQ+NRc21pp6qhy+elwRp2eCzy9n9uZeuwgXvjH0MhVoj4Ajwrb
tZbMFHoUo1tbsHMCD0pIjMZtF8DhAJqEjM/+cr6kpmDeq2uUp2yBNzKpXTos/6K00YwHD1YfduPN
V43ciBMAhldoLGWPIuaFLeTAcMMcQMkS+BPXzYJjV/OfOSVzM1DCqQBHEFD1QA8h+jaFYWfd7JwI
0iC2QKErukjLY8N6epYdu/5FiNk1rcxl3Cdg8ajuoNWAxQsY7aHjRHQbU3j1Z8jL2gXAMp4m5iRW
gBgnBZT0+m++RGvfKryWYHIBXUf7K0JmngPz4Uw+c/IuH4gxhvoZ7tjxzhGEWoFwDVDA2W/kvNoM
r4WcntRbn/uQeMNvIaIDVZ1eeZ1xviGtP17mgcRsKKrJPOp397PtumwNeWSHBtiDVhOkibfULiXR
wb66MzmUqVwqaCyRNxMhcQAMwiiMiLu2dmI26i2NuTIgNfk0KxS7Y1Jcq5kzcCIYww0KIR4UCQXE
ySNLXCD2uR2jluEvS0htagUQcFA/Dk9zLxsQRz/OH9DT6HgVwMLAI9F+P39VUPBlkCLoV6BYslXa
3hb1okQy2AC9MSOTMCtZV816m2+NkJWoz6zl7dcuaWvKpOW4FYkzPAxJ4GJLqAnnCqCRrUUq+Wk5
twwuVQx1Q/RIyLxDaAfgdxUC2kF8kkSnAOgoz5CH8MIkDTdyKXmiLqa8kuhJhOztN3TfbdqApBwl
I8EqJ54q8wLdaTlf0/G+dSNh0B1Dx7I+tJTGRlwByUpYSPJSugJRCI44Qdd5Wts4vrhs+kY5clEd
cvtEStpwzXcJ62xz18spTXQpmyNQvU5ps09QR1mDWIH191FcCvmrlEh1cqh9L1eWGdWklOmkYJZX
i5qvGbXqm5A3lDbkmHWSdl2+YiPRHmoIrC1uIUOfoTmlsTnGiMPCueAMdNtz1HlhsXUFwZXUHCTk
kLQTMhDOJrnn45Wn8CA9V0TeKw9t6QO0X7ZUwu260C5rle/TDq0ZXQQJPM+mAjDxsCFd6YLNcu6C
yeXWA61TRgdWwod1/CUIEZDs0M/mPe8T8XEHYqnATih3h/oAnx7FqFH4hdSCmP8oZZWLnrIu5yjC
lmyW6GEhhR2mPm+9XpWbKIneYzBWibqHhEHxVcqsk3/xRRU5YK/qCypeVAmvNCuHogT/BYw2rq+7
6IINL0ngs0FG8gKddFA0iHxxV9eS4FmQX3DQxoYaEJrolaBNUe/JawVJecepJChiF2LMnJykqXot
xD9nJcmECn9NlTi2AoUJUr1JndpZFzkSI7+hw3hhsyrqUHB3VFWJwht+mRTwiEhq6veSK8sSGnax
cgn7sOtIC0VDVs+qKEw0OwMhs85GiYIvUnyp3ZU5BbXlqvNZ0XSS0PM3Fau40AljeTsQNkjQUN7a
zm063lIhEmImDhAZvyg6zNdcz1cUieo6afXOS2JIqSd2AbHVIk+EQJUz9AOD/qqIu/ziQOKQ86Gc
ojTxOU1Tqd/EUgbBkZBtQ0rlKbRHLbg4YCFULGGSGJIiWdFAozYpnWUJkdUYbN1xzOgVlXPROkvo
GJPnNqUAyVRENQxa38pAbgmaJRWK1EUTZcsoapjsAAaCUAK8t8u6bmF7VEGfBbkFZKZXxFx+dxpJ
8j/7JE8F0+kosUDhQ/RqvbZDpVNZ1qtdgxGdgMNScS2/60WwJIleXmUrxu1EkFakkHY3wyIPYzC2
ZIzyRcURBBFop3IErYfe24+CFI9rQMrScfdunrrUjsljJtDDyMlKnZK9NjEYj6XTnNQ0Ffaag2YU
+beJY0oHXUt/bUHt40D1qGl/Zi6ZiSsddMmo+IIrDb0gY+4nvq8D3MJJb3kl1Kl9ZV37Fk0vJc9C
jZIowraN32v5kgWfwOOQzPV+2zbVFPvHi8DzqvzOfM7Enfcv5isODG4oeI+uhzzqYwBNhlK3Y1Al
gWgdYyKdLBNG0OTMfG5t+MVGFyyq6kj+oWaE0Y+bpGOFsSnwrtJWLMqRwVHyiyB7RkxXvubT3Zwm
8sSzA1ceZKwQtYDRQxjFxlw+BOA1mhg7X8i0uPQcHbiZt+dDmipJIkRB+QCAGFC1/IENb0I0rqxk
n3bRvhhSaDDHc7xKd0yF6SuRnBcuQo9GjJLg4VXqoQNKDSXXElnWxNn+1KnYGQcuC2oxrKjygAlC
2dsJAgbhW7QTX5whZ1ytpHydGH6/RD8RUP9UoyqbICfdXEl/6qE1NMYOeqrgz8GD/f7ql8IwFP2s
oq3a+WjZcxJevRJi0CXh+4/Ig/pBc3CLYOUG/Ln06qVP2WY28Ky9VihURaUqe4sMaLfyI3MTTXB+
hR7Z/Tm0PDvhfhABQ0crg0AI8Kz7j+x7MWQDHhlQfrt9RaH1fW2DYuirNeyUhNf+lIDtZ4dSBrQI
gdR+mXGUiZ0Gmex/Wx9HR50DMQ6czb3VFqvq1Egkkq40ZbTc0SsAmM/nNGQm2obBFo0lGQjTuSFX
dD/cOJFrSAiLCOdb0km+2jqKbnu23gU7Gic2725R41vRl4jVWSBbng93FHYiuQk+SB4yEHi0gJlt
TKpXANPEV37AbZHllENC81osEO+7u/hW68/YGj8Y/mUM7zPwriL8BKve/UgTr5DDKk65bfULCr9F
vaB23K59CS6BAWDYfzCwf9sCo9m9raaueqFRYoieCwQ+xFxEhIYX5zvR5M/nlkY3xWhUWMl7S5QD
zRapgSVZVoXaAA3jb5rhAjeem/m7cW5O5Qc77L2dgM9FNhjsUITeeu+yP8iEgD+zVoNDt8it4lNa
wl1F67ndSQ+5mchRNrzIaVvuuYjb1pHqe7GecT8RRELRuu9uKB8Rx/W/szd6S7uAlaR2iGGCOx05
BTo1pJwEB/+Ur6jDf2dqeCjd3Am0p4RZ68MfqXNwAsOSboOT/dLRZI5xeG4OR1vcpmqaccrkb0zy
C3MF4bDnoeODcVSGm3H8URIEbgKVAJBS/+kvIG4ZOb7b9EEI2mNl25YyOjxoEoapzqb7EBBXCuLx
TjbnmIMH3DsmCHPxHAcvwPBG/tv2N9MYZH4qA0xrbwUXIsB5qWe2vIwZMBV2lRZj3wFKE+Q1ofwA
isKHCqoyHcXPETmNXrXDuO++YrQ9UsqvnKSP7K3E/nSBmcToGJ2Ji+ZMjLYCxYIGh8J7bFvxrOGH
S7x4Gn6ua2rSCDJJoOBGVAROgHunZBSlQ6RX29vCKUidHspsUykztfpHfwQsDL+Bc5JHKmB8OPJC
R0H8pnd3crASXpl9yum0/10o+xC9K0U+k5YbBXhYmXtrowOySyA3B8COu3M4R1GrKGYIVfC5+nwz
j3E2MCOjUi1CKgDU9khKPTi+G/mp5Pm7so+XUXL2eBRq1SQkeOBofvqCBzGBooWu9CTvlw0HSBxU
48F5vvfrVPfFWre7OS63YbHut8b9N42GnrEpVQZIRex8Xlll8ZlrlKUTHut4zvvH9eq/0UP7EzQD
4K8GBmfkNmE10LihpXcne6WWSdc0hmgzGukcV1OONMJK1iPtjyLMHKFj9prBLiRhARIAWR4w7g/R
e+9BaCWpwl0FzkyUDXQUL2PNNxzT0RmN0gtN1gCtIrkZoYYK2KopQlupNCzmW55JSI7xXw/fMjoC
esUvwdxRh7uQJbV7QGeWV6K1l6tJXK1r5pMJYjX+5gTTlyVVhjZAVxIqXACOx1KvJYTf371Ik6s1
RelNRgT/GsbnyNUY3yfOPs80P9t3AgnfuXwZ4CFPX5VZDdfHvQK2f7QKQJgSEuUPjwO/Dzo2y/+H
tO/qjRxpsv1FBOiTfE2achJVKpmW+oWQ1Gp6m/S/fg+1935TlcUtYmfRmOnBCFAwXWRkxIlz9NSr
0uIPeHkRGA1Ptw/KtYO5NMHtybAE7UmTktQLgIwsut2g28hf3baxtB0vxsEthUq6ACSZMII2Dmgu
TQ0VY2fIt8r95Jia1TZULh0o3t82uzY0zkErXaSN8girkFNMxAOLHFleSfUvBLFwMojT50LcnD7l
3IzYB4HmM1Z4Ql25jByl+klNWqsHRDQf7VTbmeAy7lmyCdsV09eB5qVlbuH8fmiVqWgKLzOefitF
7RipNW/ffk0bjU97zwfpYozc6jG8WvMyaAuvTFwi2YHhVDFwCLQ3Ns39SPtwJYRYHBlUWA0DzTKz
K7m880oly2KzKTAy9V1okOwhyESW78jW0UheC5AWfDJoLf4xxnlKcVCzSMpKDK7trDh+UNoPUmxq
MKjd3oz8w+6/Z5EAewsJJRQReJdM4mqqkxbrFfaVxaSdHu4RtBMA9YX4XvKfBv0I6FQ4H8IVT7i8
gAbSHTJ0XoFjmYPEs5DMnPJWKoSq8PxpV4eCDWEbkdYFekZfiHis/bshXrkI+KrUPFpgDMDujDon
QjE+QwV2zrI3Qr30oo/JzY+fgtUfVQgJOgb8vnyw2m36Qta1PK7D3Uuz89Y6G6nIIgNpWlJ6Y/uh
fmcdQFJ+ivjCYQJac7d67/hfcrxRjfv+YUzMl86whuGdQK1aD5zbC85nV66mgJv1ZgiQWteV0hO2
oqW4sZu8yGC3Hg7QrUitJoa6yWQhxePUIHbo5/SOCE1Pp/ilrir8Xkd4l9My//xsWqaxBFCwxGrE
uwncrcBjSDSz8i1aM9/M++ou3v5Fj6JwNBxpd3sWFhcEZdCZSxud5SI3CbFcGSLJ89IrysIaNbxO
x8BKBjeWt3IASUk0+f8Lg/qsb4fWfvTlcAb7sQlCvMpLj2lvoLi3xP4+9gMblQZWAPSzhrNdcB9g
n8ZbB3rkSBDz3fQVmQR/bOXSy8bQS/x8I/gVLfA2bs21iHa+SrjoUVPhEGfBA+Rorlo9FTGTojqq
ZoIW3042SM7Ql+BBXoGWLMVw53b4yDnQlVCaYtjp3PS5eZ7Aty/R+EFwKruD8LfgIJi7R57e9t3B
+hhp8BQ6xjYDpB5akU/mbk3nYiEIwveY0CjVFIMASXC5eUU9j+G8ssqry9gqitjq2crULlnAwwcS
QHCRypVGm1y28aApeeWxKJMOAzFCJyYogN7emXwr5o9DAKpyVkebNZV4lRezKDuprprKK3eyNcOS
k63oqI52GOhdYOnbyUlPpfXSz9io1Frr4F8e5D/WuYuuMAXU3+UW1g1WA6VRSkc5jMYVr7eQl5oV
9f4xw62WqvVZ3dYYpLzPn4W3aIvnnQgxe1DAq3eGG0HL9n3l/bo4MhlZWhx3HIsfFvUz71bnHaRE
Ue70kgncTdkB9cMVp8LXC/576c5McCGJFmiV0SRD5ZlbeR9/gVLNf9ft2mF3kuMfdGikrrUwLd6g
YFf8z6i49ZqYpEYFw6jCnfalvGFCX2O7/swP0Q5VYnMfnww3dGZtxNvbdClaQPoXYArkf3WEKtwK
RkEcsdDE+dfygirMQrLIt0VoYW3y4F7CK8GIq5UD+D/YBOOzht5RQ+JDPi2Hek6C9LPXQJhcdtxj
CnLT/Rrh1PKc6ojSMT4UW/haQjqgO14Z+wp07fom2aau4CASCn2L3SkQGmkPyp+ZO/9vvJrWn98a
vPOG2/7/ln8m4HyPgjwtkyZY1h4GuwalkXYC/uBhsj5Muz2QlTWct+OFNRX8gtAThkIOIjDk/y5d
plYWbclAbeOhS6ewahK2Wx2y2k6Nl5h9e7vwvGnQkr20xV24oS+ZcR4klZcNz1n853v8HUIl2xaa
w2gG1FAfWBZY5aMPUpSGas1D/Bt/j5/1sO9egh0b3TSQ17bT2vi5eKev20CqDHyTrryBDlgiu1B6
EsL3agotMaTJrks2MTj60N05osplEWnF11+/Cy9mBcm7yxVQTGUgsoIvaPq//tb3/2bQRqseJqW3
2eRCQ7uYXqVqjVx+XteLdZ+zLihQotcToQjw6pzVUkSdTm9bDygNp9QfO2kvk9xKoSXcBH9uL/zV
HEOnjOBaluEkoIzA0y9GRGmrStdrr8rStzIJ3LyEEkXbvt42M7s5bkgocINmA6q6eAz+3DdnBycf
tF5LIcPusTFwCuUpQvtoX9z341rzw9J4zg1x/jZhmNqshSGgdp7jorSMzLyf1GJl2hbGg/txTo7N
LBMQR75cIqKyEmCcCOMpvRIyokb4Qkq3MNdoEBa2AjYC4gwEuUgf815cilQwH/dj7Y2vakpVqz5W
qtOa7u3VWZi0Cyvc4S/1vjMKdao9IuYWi4+RMyFnfNvG9VnSsKdBLIp0oghpdl6NCAw7JXACMfMk
XUADblcpYN2U6s7Gu8YuYk23EuYnVtkllWXKQUUHJiRO1yRr2ISlOdVxwNC5Mv9L59yKmHV1X2pK
5Ymko6mmbsToK1FzyycQpzfXkrjXnhXjxpUBhiG0HQEKyG2VOI97OTWC2pvK9yn4KioZSB9bkVFo
Q2+M0hdboTymRfgylK75u2+CTQMSN8kLxa0mAyTWWjppgboE+dGDOYAg4Pa68Dx2yGXM34f0JDh8
UWTit3JSJ10u9kbltbW5bfLc0r9CZRa0+C3tY2YlzyWhobIVxH2aRK6h7MrhnoVkY6Card7X0GRN
X29/knrtLNDbgFQpKChAE2XIl4erbaekGQyCGHesflVmZDWJuhJsLux4IgMehVqJYkKjjNsD6GsK
h7yvGq+UJluO9gNashJ9xUksbDR0LRugsYCs0XyGL8cRtYxUU8Iar0j20vS3Mk07jk1LDidKlHQl
O7vgkS6McWc4LQJJz/W68bTasOT2ISy/uvI70leAHPOv4Rw51gTXkqKivoMb6nJMqLAMXR0Wrac3
nwJwZYaJJpgAEm/yvSy+aCjF3N4L188tPAbABoI0ooKKBDbEpUGlD0pF1fvWC42N0sSoPwSZrbG3
ppGpYnpsB+RWRJzxq3gWD8mueAZdgJnssVM9/cDU7e3Pud43KpJvCDyhNyIBpTpv3bN7LM3SUUjV
qPWy/Njo30Z2F5Ni5UQu2UB6EYpY6OJDLY/b/qFapAIYUFqvBroygmRegTxT97/NO2MIc74Dizj3
1fOtkGUu6ixuy9ab3AbvA9D4gTURzKBrz+Xr/XJpZx7s2YSh8VsDMhl2jBHZM9Ex4k2cbboJWi0r
R/raa8yWcKbxbAUM5WcjnVkKlV4tUSxqvVbRQ6uRhgcZzKwra7MwHKSyJRHhMrjCwJV9ORxWBcEE
CH/n5babWEg1U3UlzTvv58sDBtmLMwvc6rd6ZcaAE3ceIC4gx4P4285wH9fy5XxjObw+1JLnvn5R
niX7eAcYEbOoWyXuvFTN7vtnvUcE3+zMGk2D0UsWPk5t+SYO2W5k/j6FDCcYGAfVZbpqQXs+eA4B
1EUnfnpf5JZSPRVRcadPqYvuIsE/3T5yC+uKLyUIUGUg3K4aTY2xlfA4qTrPN5iwa9Iucjo2ft82
wgP4/t98/GOFW9iyroe6HFnnZdN9G0AA2UpD3M/qR3hUs8HSHoIefaJmcRzE/LX8q4dA9jmBnK74
l4XB/mgZQUwDKAHph/b4bBN3he6XRs5GDyBlanYtyPRvD5SnW5gHCgvwqYgoQezF47W6XOnFMutG
JCTQca68Jaf4uX0d7pojCEw2up2C0DM6GqEdTg7byfSP7tz+gvnEcxtcExE0A4CLMBANR5dHSAiT
PhGYPHoMSg96FlpScUhZY9+2cn0dYphokFTRu4Or9ycqO5tIPS2yYhr80ZPyYauDvkEDY0Se/5LX
EnLXEAVMqIyxzLAOyDCr85KeWeqbXBcbVk/eaE32sFMO5VMAHuDB6u3cGQ/o9T0G1t94Mz3dHuHS
PJ7bnX9+ZjfKIFUvCtXkvdnHtZf3vNv5NTr/3fPsnv1uVY4bGT0dk2dSdfPZHRqwzGnWY+Kuci9e
ZVS42eNipLEmAogRYGm0PrNNbBf3xk7d5dtpw96Y/cG240ZwdQ9ZaahA1rbvFCsnbuFAICxHqyuq
DWjAgoO5HOtkTCSv+kL2hrFPLCDtqS/8isWIqt+a6ECQBMVLi/ggrD4V8mvN3KIO3STvHyIfrO5I
Upb6tO2KO8jby2sKZ9fXDTBYs2IfqhN4Zv68qc7WoQ5BgSQHEoD4AMpbxYR2rEnWw206lKBGUTPd
FXSxRRle0Te3d9eyZcTI4BEAMRqfgyBGgQwtkpdeDYxJD+xFbmRUHDbBrmBvEbSgb5u79nsAuCgG
PDwCHtxGXJRnEDEWpjhWvajW7zWhdEE5sxLxLESS4LsQkU5DQI7stsJtNWkkGWqKpuo1oVMeYx9V
291kUGOTfadedld6skATmfZ3dWYrqttAxk86Sm5kS1a3mkm89k+XH8PtutiHEmfiG6o3PoqgB9AP
EkioEIVFVjTsWLs1IFz8PL1COG1strJrtrvbE36dRIWcEmBVqEKhyU9EcH257Quj6kewO6hepQoA
fFqK9IjuF5K/lLFM9Xafhvdyu0+MvSZRMhmWkbqx9hkDPf15+0uuK1U/X4KrF4oqSFfzWWNBq0il
T2hlJF9GaitgGWpOSfAgWNFRix4ysIIIm6y6rw7yPtyrXvyoP9T79DR9S74jU/mXRLaAXplbxbBA
yDOtXCTX8Ri4jzQDRXATlzJIOC/nKamZXJQxvm5svloQUTbmY6b8/atCybkS8Cz/dXs2rmsUmI1z
e9xJEMDh1usZ7A3dhuz7O88EYf/Lh/f0Z2VgynzRXjp5WAKzD+YcyqhXKK8gS2dZpETzlAfI7hro
lTgOkxuc0HSmueg/TTe9QfvhBHxfXdDgUL2akivfd+/Tb9LdC+6kOnLjTuRR07e5MFglBJ4rV9hE
6pq0xfVVd/mlXMjQJHXTET3TAJLpqF5BnX3aa+oa2OH60oMVZEMA7YabQBPq5UrLoTQEhPWa549W
Uk/UVPGKOEXo6xrCmqohVVU0kySJuxYRXYNK5jVHjAumLWlu/uUsm2ixHjOh07yo+tIOwizjaefM
7kB5OW6b6GEEKLwVT1O0MuTFeT2zy/kAbfSlVmONBs/3WkfPOVa8/FdrZ8i4V4kxB51cwqBuemFM
iknz2qjxJpJsO6PZKNqw8vqbnffVZj4zw8XvKBaGujkMmqel2kbrU90iY/lVIymbml3mRGlbrlxZ
CzfkfFEhZ461k5HYvtwuUlb50JUVNS8t35Ma3PsuS7QTmsZpL0TbcBCc255haYTQSULz5MyOCiHh
S3uFnhBlCnTN64ecqsEvTe43sf+Uo4FxqLOVwc0rz0/nDLhFCg7BM+RaL41lEbpEQZyqeWB81Kkw
gT+oyHOy4oIWcqMAtf7QbqNciNcddyWHraChsVhWPR00X7kBPuXklKWvqhaha8XRsVEGx4RUm9OD
gZ+AJeozyd3KnLup0bxmKu8xwFYN2B/bzFlNKCwGDLohGTN6be6m4SZBa6OplRNd9fI43TeVQSGf
bAtYXzRohLpM0f9raWB+832/sKYPyAigA3Smb1eU58DcltovE/raTxDT7tq7NFpLjS2cXsSFhICx
AeBofOPlGsU1Wu8A/NRBUf6k1KdY3qXRSjJi0YSGygOyfTMKmdvjfT5kaGOVdE+dHvrgaQJisDee
b+/rha1GUEv5jw1uls0A7H1oWNO9cuq/Bqn5Egq2cnSu4QxwsGjWnenV555EHrNRj1Oj9AaCHXA2
Uk2xZOgS12zr22D3/PBtgMhb7RQdob5rj+ILW2vRWzy6Z+a5IQ4qUptwDAjjBzSSNiF4tKO4qmwW
RNAj13SgSMxRWRn0wrzqwOhDKI8AZgQE+eX2AG8m6cmI692XGdsgFRiDqxPah7dX76eTjfcU0PNC
hIT3NhoQOMdLSrSuJL2CqPoZbyHHUenJtO5OAXV/m9T92kT0XrSgRe0ST7Atx7nb/3K+6cfdx8tT
ewA/9p8QzPpPYAF7324ft9u357+PT+A6tA924L0d9r51eFwDly0tx/kncwenNPquYSPOdTM11hC/
kPHQk8rtpAcJwJbb87MYz50b4+52PwsmZoyq6iloRijrPaChMnlRc1f6FCpXVZ3sRdkbd3F58EEe
f9v4wvGdVe/+szbzFjl7Ps4a3SzOsTZK+q4izdvXNjrvb9v40SO9tQE4HxH4Ylk2A1G9A/ghB3dm
GQLpG6ijZJCzklmDykmcgRo2VIECcBHs2R0SCZBJt9eSCUuhukHAu4a2BeTO+VOeqK2ipAlu5GD8
XQzbbo5oAtpMDxE7iJpb52uNlktHDNUjcHHhnkToyO39qjEqYeZ58CpfpBqazcKVasvPK4yfXKSz
4bskvMXwWrtcQWAvcgDeUt1zoclo7Z4n+q3bKv0iDrG+ffv7GFmVrVMnBt7laUt26dtrRqHycfqz
1jI4+6hbX8L5MGMcVHnq5rFqh9HzlR5v1d+AjKxsp59FumWHCwnAKRGOOcGIMzruwTn6ZkLr4JNR
k9Z3b5/u886wv390eWzTOn71bxCWoiVFKh5Mfu7HTD2WuI+HArKfr621RnW3dKBA0ilBMAUE2EhJ
Xy7HVIVGHpUt+C7AMtKO+07ZFlm3cmoXZ/rMCDcDgtbUkD5iujfAVxjAooK+pQULavFx++Qu7t4z
O9wFwQjy6k2DwbTBAMEwwtBSUyXjSiS5PGXoz58vIvRWzF9x5oPE2sjNqRt0D9xHeFLddeNWAifJ
7aEsxeImlgQIdYIMkipfGgGZSReEea57owFw6Su6N8oXMqCnFmmcNX3mxeU5s8U5dFkE31UdZ7oX
mIfpS4ztsqotia09L5acGUhmf4rzuL1/dCvO5k3q2r7WwwphEQjIY2XHmGiNYWUPwyPCzgFlV9M8
3Z7FhXsR64REAK5xE0gNbncbYJIOylTRPVMbx4MhhZXTRNJmKvV7hnwa2IOiFYsLWxACt9D0VkHj
MCOvL9fNHFWIiAhwKkoNLqYYubCOPd8e1MJyXZjg8ikkKmSQXMCfSIlKFQCgVSSYJjfL1nRuFjY6
QWcGnkvi/I/JbfR0ioImkWCoqv4AQxNWIKoeVrou12zMPz/bFFMjkoDUsNEkvzGWlmylYQU4vjhf
SPuqGlJCGoK3SxOmPnZpM2J7DynohbppfNZ1JENUAbxkCRpebq/O0pZDWxyeMRo4PPDIurQmB3kG
qfNe9wS5CJ0uLMCzPRkJ9VmIJrMsCjdtEX7etvmj2c5dMRcPJy4l0ZZ+2EoZHk4DSK3vCSX0Nd68
1nYPucoK4h+V9RBQiGVuTsfj+9GwT3SEzt2dBJ07q6cyWAt7uha7LE7E2WOOm4hMAPwyTeEmK7N5
bqLBsBKjhZwESlYQgaadVqr09jToMub2ahrOHl7cSjeKWLfI5KOlYj/uX5mDN7XVYEbwmsafhNZv
UGpq929QvncR2j1/F5YwTxdIVSmaFwrr9L07YVPsdDQERRZUYiD86IOfCv8504OCNAo386/OgkiR
SLea/fhvJk1XkBAB/QTAKPxe7Zg6DmNB8ALWAtWVgxTETlnxVo76Tm7l7EFHz5S9MmsLk4acKWSY
APwDHRk3aYg+E6knKfE08jKmO8T1BbSz5CL531+baPcns845+vpBN355MLKxHftaigguZ7QwiLlS
2GmH6nvPjH5lIyxtvX9MoVh6aSrNtbrSNAGPfFY/xWr3qg7yLxJJDQUxuWaFUHV1b08iry+EIvTc
AgIkDRBePznPS5NBasBmlBHvrYF0b41nwivSOXZqxXg9oNvLSh8YBU+K29iG01tvsgOVar3eohhw
+0uWHCpCBiieI+t73diUa1o1pGpNPFPYC/qjKH6buNFv21icX8BSdLRwIz7hRRsEkmhjFxTEq8Ip
tlADO0LZHQkHDTll5TjFm9vmFocEvR3UvGeVKJ7pGsClSY78hnggZqMa+tEK46OZXm4bkZeuCVRN
kSdHIwwAhJy/ImOoCtHYEq+Gvk7YH3rwV+E2Gv8OzVFMaWe4poHmSPFY6cjQqRtw56X+IZ8YzbeR
cBq6hKLOQQchoKPf3wdhSX3Ia7VHcQ16fN2VMG82HCLATgH4u+Jy6YemZnUzEs8PM0DFFTdsDj2e
L8FObmxNsnS0Z1hMNv/FOhAsgjr3eqHeOM/g2V1d94oB1g6FeFIPLWhCmkcBXGkbH4m8lcrmT2WC
9+TnpuYdeGEKfQJCDFOt1bkD/mgolo9g1scjHC1KQJGd8t0AQWYT99sDLreBJlYACvYJvYspPQab
78ChdxFmgYamFe4fH1vL/BexCwHsA4hOYI9EPpeIBHqupWAQ8aJJf8bV/qzXpLL8QRZXzttP0HA1
HQhhIZAC9CjE+i6nI5zSEqSKJnw0bqp0l9DOltzRYfQBZaytZD9E9LujXym9K3Yl6NZAEoGqr+TA
11EM/PZJ+Ymab30N916QZvLoMsDXpPpI1dY2wbr5R+g3WrPx84OeeXHILEVHJspEfw4kjgC/hxAK
242Fo/Yy+F4HFyRL0DsCLFs4mMoOuGW71A8j2yrxwYjxSEyspklA1fsmhftsiGibPLDWZQJIevGm
s3SDil4EfTE1Y3avQ3Yh2GnlaOnd2mAxs7fGysXAQgxu7mkg8Aodmg1BmYvWzdvTueR3UCpGvXp+
qSCzdbm2LElKnPHA8MhwbCawZ0bPhgIuwnblilrKQ6BpC/TqM3gIAAzuTKFoEURhjmWrcW4K+gZO
JpsgNkJNjuJWAi2Gid4/3cJmOkE6wvn+MujXl0r1H22DxrHErzn8GanhPCY23tfUjq21AsrCuxeq
LNCzmHVzdEXn3k9dJTdECWPDU4IPcfzIB0az4KPKP0ytclQjW7ktr8k44ErP7XFRSVwNldKUsEeM
TzG49xW3gnQd6z0S4tYuKypWVtZTNbXNQxSD8Q78bvkuRFCoj4+NnICHZrBSyVFGBRsQ8uxA3SMX
mD2xyk6l91GyJqj+ZQItq1PavRrdU+JTbUq2ibDWWbF0gwHBaQBXgw53VHvne/TMaRpt2glF1xgg
UQEOrpbdNpueVLxCmvQpVh5k/x4aP0H81WR/NeU57nfj1wT2Hg23VPwuRqM1lBSscrSWQfbfMyrJ
f5r37GlYU9pYvL/mBZ67TQBe4TGnQ9sXQaVlhpfujOHdD5DrQ1Vsp2476K2r3rBSFF7KWJNze7z7
JIluhhXsdWBXnYrsl2b+EtvQ0h+0wgrMx9LAlQIWhyly9ORRkUAAPq2EpLzGwk+AeP4NvNMMwagw
t014g/8ghpafP4GZnEaQppFs09ygTUVWHxFqWQpxpwzcqINDxA8xqk91CCkon0qr7cXz3uZ9GwrM
4HBCtQaIae4+b8RQrKMEe7/HRvWUCgmY4qssLfD4pcG2ilcc3UK/zAwIQK0XzwwoJ8rcWaugqiEU
QWl4EJBQmKMdNYDkvGB4r6wmY3QCUUmxu+1clyqe5zb5Yj2S3KWvBwWmHVBtcA25oTVsBQcsQ/Ro
0F85HBp428CY6HvoGLezlSL+NcMM/MvZmPl0wKhXLGSzfW1wG6YfunIARLSDwJ6ts004MqthD+DW
zfKDKtusWOtgnZ369Rr/Z85/IDNnPqEdgrjRetivzHKvCG+GYhFxJypo9AzDlT2+uJ8QokNVDOU5
JPcv/U+shtpo+DWO9ShR0FxZJrNThM4xOQj6UVYqK1mr1Sy7kjOb3P2cKiWYWYEw9hTFUTc9gcQ1
JhcVa0A0qN78Kl8k/+/tPbX0HAFIAO9YUB+hgYMbpqHFFchme8OLNNFu8jcRsKEieb5tZHHdkCoF
vTFU5IDGuJzLsW4ltagN4sVxZkXy1u9Tm/hOozJLWNPi/HniX20S7BGQrCNBhuf5pTFd6ACsZ3AE
aFO34128E6GkjgNJA6qiSBPQZxMBQwi6KhTBJlugnyhCbfW7Y3HX2+8zmMun2e7upad/UitHzAkW
FxQxZPflz+1ZWdxheHQiQ4KJuXrYh4Ius7yHI9fC3DN87OAxOSStjeeSm4zD76SuwPr+dtvoUkgC
JRPAoYFbBXSEi5tEqWhRjoZRgyk0TxA23WWb1gRHXIHgSVp5hy7urjNr3FpUTZ3ElYYNrcMllvKn
Kv8Z8ay8PaSlUAEoKSQtQPELsPeP2zpzC6OZJbkshHD9wmvWMprqnx3btf1zELylzTZtaAsEohjh
NrqPcy+TtoMGjlmxAGjlMzbvx5nRoAVf1lg6tVL+aoJmU0eb0tiU/fb2ty4e8RnPB54xCYkxXm03
kKamKoXO8KTACTWnKDbZqa0tDcmAEHBm6cTWbqqlFT+3yF2MJFODOA7nEx7hfR1MwnuQJ07hN+jL
+qqT/q3H7Xx7lGsmuU3W+kUbpyNMjkniTCpi8eZ5SB8KdBYHae+ogrbSXbdmcP752Q7IMLyJdcNs
cO/vMxbdJf6fKjhB6sDOo257e3hLB3cWGISPwfVwVTPTWllhNbIuXgaZD6E+SMa2F6gO5CFIb423
VliJNRbzceianpnP5ka7n5DwbHh93eeo4wNbJgOsYewHvHSCbXlUXLD90d+qU1F9P2fHJfqcgPCo
o8/Mmgieq06eriztvFs472ogrWRi2OhJBcnK5UxLQTdCrhs5XWxkhwSfcsm2DTFogRD79iwvXBoX
lrg1TYUyBT8GLKX+70as6fx+kYzWThNktISVJV0clgqVU3Tc4R7kZzjowgCawCHxUAZBMBG7qgyR
E72wJHEtn/sDubmawp+mFCAhUFybnebZaiZlNwVVFZEZBxHFO4D3J7LTi6/J7oT3ZHCSsLSTF+gZ
NJ+jdBex0QJ3A4AZ7U4Znkd9IydrtbElrwQ1QoCwkP/BC4ZHCVWJWedChoRv1kOpdnqppZNqOKH+
uxSyHSmOSlC8Ksqvf7HAZ0Zlbh5QD9CHHEa7BES1wzfQhnZTfLfo7UAlbWU3zSHG1aTjbkDpD5cf
sr2XxkRB0fMIuhSeGGWylaZA/QlptcbTsbiNzqxwp6OdolTsphJJNGk/ZqgJoYLToXO9hxL2uFa6
X3qCgMsF5YdZvBLoTC526xUQ+OEWQ+rqrRHtzwka2D6IcuI74xS8pitYl8WhYepwRvDYBYf55QRO
UhWnecyQio/fjQZOXP1k7JcsrMErlhYK3Owg6geiBslBPlYkUap02Ui8wXiOJs9oVqKuJbcyo2J/
QkPotXPjqEnnN+hoIB74k6lWvQ8gbjDz1wrCOb32cXuHzy6K33TojZmnC+0zV23sldLHcYzWNHRx
OpNc00J+SifUTR4ZUs5rnnkpJQYQ43+s6VyhCDWMVAbmmXg5M3ZKcS8WYIOK36E+L+UfIYiwfKvW
4NnC9BCnoV3WEnh5pv2Q1g7kzOmU/BoY1NbZzghfyZBR33zw+8ewgPyIJYChfkBiOjok0BoRd3Pr
7sT24IrYgZ/c6HBwT2jrBaMHzQV0e+R3IJ5uRypkJxJEVB7t2zO7cAVfjJXLM4Ku2Y9AWEE8Joen
vtkYumABxo7upwPadPpdI62ViZb2JYQt0ZuJdCP8CDe7vZnWEIzCWmbQC4hz8d4Qyt3tQS0dMQP3
Kl5ieGiLfCXK9Nt2BLUk8ZJCVWmXyqZFFDTvixmSK2UQkJVLT5kdxNX+NFEshToAyDl5XA4RwyRr
G594928atYG6ACjwdc7Kv/2+/4ztT2ha0zf8O6AoI1tzLl7Fn42eWt3L7aEvtGmixwV9TniXoFgM
Lu5L9xKGPTrEZXyKOjhKCwEIO9MPSbjV25047bohsXqvYWDn3ouAXU0hQni3BmJkpM0a5caSh4CP
w1MCqWUZYd7lpySqMoU9VJ+8gI1UH95V/wQaEpr0xzpeY8/9GRe/BCbcAzp9EN+ZfNklMclYYGsh
zYCqAXKH1TYMNxPZjhhcPIRoeMRlmNgJKv4dHSb8T5kG8bPWP68swBx13PoQbgFMI1ICyagMT6i2
ehNthcrRMfDxVICG1twg35HHf33FqvG++gbrybhWUl/KLuEu+2cquMuzkgZoe42YijD9XRCXsXbX
RSC201yi0a5/nJtUpu8yTWhW7IY1LP3SSqD2hZI3SlMicLmzyzkLy1pVgLJVxQzPN9/wPAwy3+7Q
amjk9b02ZpahJtSMDxBkCY+KmVulvx0nG/0ztrT2KQuuxgTHAPRQ4AnQ38Dd610gZVHZS3jPQuoF
RP7pmt7DUuQAC/jNIEMwwQDMLXYYKEWpM8izNsamhT7sVmgeJe1+5pOpHktdpRU7RGsMEAs77MIo
t759G7HKz1XDM/NnzfycC12N4q5s4wWXZs45JhBZQdcIWMPLVUS2vyuNQsDhFWPIq+jtRMFQLVOh
FMNNDl9ndeEQuxNQvVRJGjQvmxk5iHFrPOpE0KlUmv8iawnPBlQqVpSABIN7yDC5yjOpwXI2wr1U
bfyjoB1SpMaz0+2xL0QbyK8BqUeQWgCfETe/rKlitUowvwmSLSIeEXJyaNkWpYAAoWG45jGWlvPc
HDesUSpGn0FICuz39438UUb3Gvi4/29D4s6kKSRlO40YUtwiqw7trdKVaoXKlUPu4n8RvKPDHMsk
KTPRkshtHUNu0qRVC9PL0E+cSM9Kiwqh8NbKaxtiqaHwwtI8tWeuRgW/VZHkOehx5PJXitaWEaKi
tbphvkt6dihMSqoP1uJdaDdrWNxFPwfpIYK6GtJC6By6NC4VCjPbqDI9eaNOmyQ5plAP8FtLkR8S
yURpb6e1p8bcl8qzAErf+EVBp/Wa9ObsYLjb5idNgHywLIJNlFtYdVSViGnM9Do09Tdg9Jg01Mnr
wGLGSmpo4TYH0gAYRg0hOCh9OUt5IUdNPAkm+mxyyGfdjVlLm3gnRY9G/3p7ty6diH9MXdER5pBC
GMwu8L1M3DMfDAXoGQcy4LaRhUgJjk1GpICGTTSH86i6wo/iUYixeaL0qdLsPLW09k1ieF1E90G/
SwFFiHZ99psIwOxUjglixHYDAFwjbMkKZuR6FZEvkRCy4S/cJHzWJAXSrul0nJi0FN8LqXoDygVy
NKR3U4WtveAXkhRo8UYDMDKns+SvzPk3sZLQh9ZLWElJs0AvVdZzoKQh3jei0hpTV6Rq6dye7esl
hU10kMy6cbNZ7rXYJ8ihQxnU9xqEmUHjtlBp7VfwQcsDOzPC3feskUcxMkLfY+nfOD6Zbp7/F2fn
tRs5EnTpJyJAb25JlpGraqnVRn1DTDt67/n0+1G7+28VxS1iBpjG9IwABdNFRkacOMeGMVNHWfiX
oIhuNm09sj9eFYgpIGsDdQTFAHM5lXTSj6JHaeIUKDQmem95qJ8qXz10we8kewSY8u9ncV41+J/A
E37gYOnUIoD1IbJOIo2a43Rf3olltFWcnMPya5fCmC6MLJxqrUCDUCmBdVK1dicpjzkyDYZFR5N8
yKLnwfqme79Hodg48yuhFGa5L3TEislXLosPGfdxHU+cgT475XJ076HqhiiGXd21M07I2PdBd6j8
0N3szFxpm7w2vbiwrDRvLFOorFNFeXCIvzwPSIseBxdJKC86ZK7522pgDuj2Rr4TtNfba/r/GTg5
aQrujHvphwwVFYAkmOdbylo76/9EQJqeFPmYTdxmE5lTR/H9L/WkbuymFWYEUl4SmFAVakBu6sWh
1LWiqcKMywP9mJdXGIoAO/8yHB3ZG8EZqPShcrfz7R+TzX+SDz9UL+74YLmArZzxCHJ7f3sq1k7T
5fcszm9UpgqS1XyP/kXr4f9EJ1HfdWRSJflN3STEmUe33OcqlNWQ1AN0INC9vr/9EPyZbjYcJhOh
hRBkS6gdSvF771n7qgpQEN57Ks5KMp3K4w2JRK7yZAwTzyatdtBpFtvfYrU3EhJR8F3WB2OLt2De
dx+/EE5k2k1RpRDna+MivDElJfb1YLJOiFJ/CoQAleHKf7k95x+vdfaAgveFrB9ssLnY+7mUNHU/
chlYcEvXUH1Ew0udowrLm3GT6Xh1gckGzAUfmvyMRchEx39uIkHDQasVJ5bueBL6IGpNM7drObMj
2pQV4SzGh1AYbEEeHFM/5MVEJ1C8q03DVs1XH/3j2zOwcvnSTKVY8CLR4wiO9XqW1aQKVCP0uA7B
uWkPHlk6CemLutk4blt2FtduK1f1VIoEUEKrPtVhdqT77V7l7RZtdLNvGVo8KMIqgH+2wtA47DTL
btJDEDhbGJbVvXkxa4twMJTytLBq7lq9i/8xgxjsDAItt1dm9UK/WBptkUFSebLAks9IJs/xgNmp
B5998+WXEbl++2k09rftrfA0cBhMuhD4FyHhEpejGZGYSGPqnWJb+CyCfAxeB3cGPbzCgY7QrG0c
dCjCHo37UwdTzW3raycRyrqZ5UCFHuUdtHRx2hN1UGf8m3cytMDOiP1ohlSyb2INWLnb6H5aC8cu
bS08LW3hktClGeFYfzDUH2X6XGobJtbOOuEeZY7ZgalL5HxYe4lHWcU7oR5vwAUcSXY7PHjKnaTc
61srN++2paekWwVLlHHQzV7sRr3MoIiYauBaqfhIcOLQuuIKgfBHJ6temfKj3P+q+o0X0YbRJUds
g7p2oY+Fd2rHDNgyOVbroRJ5+UGP3UwJjb0GIHM52Ao6V+2ifEiyGT5zGoKuHZbHkcjjqvIA5qj3
TcEBt6fR8SS3vte23perG+XC1uKSbNWsSCORifWzv0X8aqq/S+G/BJwUi/9nPAsHnHq1L6gR49F0
cL338l21Q3xpGH9E8RPsk7mvbXj8lbwBz74LiwtXrCgNvKAyFnVvOHfNk0o+WjR9SjNPfv5SkKuF
Y1eXHoc+3VdycLx90FcStLN5KMAgAp+xK4vdmqd6MY0p5k3KWrak78b0ZyH9o/jPVvFZSo9Wo9ii
YifxfTwqbvYfbvwL6+9O98LPTNMMKSkaD5SPZJeAd7TBOBq9myICrG/ceWu3BHT7/AMHA3HWYqtG
lZrFks+zjzoZEgbB4fZMrp4EWrtnDRcdRr3F/TDiCLRWw42FRHOO0dTuEGqGk3feoet2w/cmd9B5
2jC6kvhh+eZfTY8HU7IMGOq+tMwildg9YePkkIlS0xCOw+QmqEap5ffG3BeBE/o/QlrL9lHulOW3
VtrUDF2d24vPWGxikYJ1rPd8RtwqiDjZrf55Knb+btxrh8GF6s4DyALXX8msCBt7aM25o/ZN5wlI
7TmSu3ZBtRn6Qx7i3Mfo2MRviFuB3bWLpLJrycm1LQKK1RPzLkNkzLEwOb9re1FgQC8vstDgQJxB
T7906l1pOaqnO3n22DShI0LTW4nxrqDGIcKs2f6H62zu3Zbpv4R1eQkZzooxEoUJZ0/XpCNFe6s4
0Jvila4sP5rFxs2y5nUvjS3iZFPu2l6TZmPTl7mFq3pCJ+y/OMFLI/L1nJrJNPqpgGsn3PCqyo3l
H4kCG7f0LfRSR+r9Ywrtkt32077I3GxIts7RvGjLS5vNw3yK6LJAvnn9AV6r1EmQGt4pIneZqA5o
HpcmCCBQJNzSh6bbt8lPs3jKQnSMwr0hfP333uPC/vL+hkyUVslE91DD3CU1j80heSmdUdwXWvdZ
5PEfbjVjrPQczOgzMJbsIXiYlgHmKEaR0MkW56bXD2l80uRfU/Wt8h7EPDl4ao/rMlz09qTmZ+lH
O7g5n3RrM3M9b5/lxBPjEjrAuEAGYHHhyo3YFJBeC7hNOizGz0F7Z5awjsE66DdwSw6dbdAGXyrR
Kc+lz7dnfaXnYa4JwPOC2iL8NfriTpDNvqzx6cIpepzlFoc9ZNqkW1gABDFO8cG8C3dCupP7feaU
x613y9qbwiTUIIENzJ937+JsBW1fV7GsCvO215PYDcJ9qr50u/hs0UG38+RPG+NdyadhEHZZ2gEt
lPcWvnLwjDSJE1k41YboNKWwAy/TjkjS17bpHYzir2j1jrJ5ulYW+crs4hUopZJasHrCKU8+D9In
uYXV2DCBWdqQN+zhsSRurd0q2KKOX59gUHDU/CXoNZbJbCkIA2UqWu58KHWl0KZRKp12jQkq224e
WhXa1S0av3nDLjY0GkKoroB1ou69fDqFHLXBrDA5CpCXI44VIOzhaw+QKtzdXs2Vi88kZoPHATZ5
Hbr2a5/V5G2vRwKXbpebdyZZCjN8SFPzaOqhIynfDKhEbxtcPS4z4wuUGwDxlWXVs4iGuhxVGTct
UAahsASrGo0/g34Xmil9ZM8IrjuoNeykHHo3Aw5nQHIqGRyiajeSv2f+Z9n/omxFAGsxNCyeM6Mu
iPGZe+t6JgJfC2Uli4RTlyBVJey0jD+PkYLj4s0nZXY9tge/Pshpvyvzf48tQcHlwvpiHTTJ99u6
DYST4U2pXddglbSTXthlp8H/tYXrXF11KCRU6iUgTJZl/jCpZJRjCqyhBRpEbOu0PY5KSJgB8j8p
EEaSNvPwK/EdrWEwB1BZmBNmi6dX1rRCy3oKNO4hoSfLrZudrWafe+fMK2zaD+CyJW8WQKGaP8jl
OUsf8mHjilwduD6zY+o0ViBpdb3IStwnrRBmwmnQD2bZ7I0ydA1KxpzmSvmNWtfGbl8JfGDiQNcS
Lk5UetRFSFDrEIAPZHwQb9ZF1yoo4ISClLmdkW/xgqz6KYnJRa2cc0ya6XpszSB6fuzX2CJX4bCX
j0IgDncdWC7XTPIn36JpP05y7b7Pg9EJwOhtjHZ1dql18HQBaUCB7PoLhDFIxjYQhZPHzrUSsgYB
JauHFiKUqHkLkm8brmTtJsKahNQQ7a2UPa/tTVY/Dl7KatbpgxfFbv1X1R2t0c5IPhhabPP8Freq
jfPttnTNlzYXKxrDitQqEjbTytanwi52Lfir5Kfn3B7c2lyiFY0fIgBnRRdj66uuawTNEk6V7r1l
Zb4vEpggYfRJftAJojb+Rsl2zR7FcCAivD257BZPzzyW5DaNWbvWcKImPAjn+iC1siOWr0N6vD22
NU9waWuxT+IwFL183if9MNlhC3x/y52uXaCXFhbnvMwaI2uKUTh9DRp5pzt1KOwEkKe3xzGv9XIv
AJbgtiDBSaZuceL0Sm+k1CL00kv9aTCP/vBqendFCQG9VHKB7ILn2wZXhwUMbSaAp8D2jtu8SHVo
ah7VM2jhlE1oUgmW03gowSjiQdzS/1lzXBTU6eMgzaEggXZ9tMpWKuQsJcgrtK+9/pgZ34OtDsPV
G/fSxuIolQm7sSJxe/IgsPZ29dfJPBqxwxRmtuGGyh/rj7lVktsYl7HY5oPZJN7UYdOS/ybtX9M6
F93b7UVadcQX41q6QV0RSKTobG8FHyQmDxIMyMpJ9I7ki6s//rep2iIMXTtQtKKCQgZPRq/mIiS3
yr4JW1P0z0bSi+6kaKM9ZdkWJcZaXZn4F4C8RsIAsdjFDZ6GnuxXRQE4xy3twKHCCOuWsSt2b18K
6BvF45bFtf1+aXD++cV+L2uv8CQFSEuZWRA07zrrZ1dJ0LtbGwdrdWgQvgAyJusOJmgxg2YRNKYZ
6pRqrdaNadkKp3/Ke1oosh5EfnEfV0+BtZ+4ZEaJDLz3qEdv6fSysXPWLpfLr1icOi0PrEkIDCBY
6Z8Wnob75ntlfeH5AYB+sOFDFxEOcYf8NISOJz/yJUL7OMVb1AVr0z5z+yHzo8sAFBcHMxEhFu/l
wTtBI2QXMTjQ6KmcLLuLmw0PupYIIwn1P6aW147uT2aamBMQFwRGTbjIwCXcZ3p0pD303Fsd6aiX
OINK3JSeNPWlajcwNmsnB4WImexnFm5aPmbrqKi1LOP9U4tPoxBA0bDhDVaWlIM5o8xmjBkX7PUW
7nQjN8wp88+1Bd9Y6OMQuPPiH0HJk67eDAJXls7iGQdAHRJ4AvuFuaSQar9VkuCc/lXvaWI+Qz5x
n+7ip+GFzgzvsw8Pa0TH7f72zp13xNVNiMbpLLQBcEiEK2tZAfDHJFLKzgjO8MEPijujDtQaQRBb
Cx8LY1/2G9HKhr13F3zpGMYp65sce1KYoWX5I5ATWxjPVv0VCUS3yu6r6NPtEX5Yx1nFleQe47M0
eEcWR7OVGj/vPdU/d3WyKzP1WPWHJH4uLfWLJ7i3bX1YxNkWuKFZQfq91eB6z6Rl8X9sgcICKnMo
4R1rDOGwiRnZMrRw6OaQtn4Um/659T6VvQJ9I1LFqWyXW43+q4Z4brEhZxzykg/ZJENV8WLwz0On
uBENR6b6KZqsu1z+eXvqPjqUee44Air3Ezp/2nzgL3ZGEokwyvZBcIahqerRnYxGlySHq6b5/aCE
D0kCto0ef/qC2CNi/mNzrGt78/ILFpM6d9fn7RAHZ/AXgxffCd19raMGqKZuXCM+mKSu5P+5Pey1
+Z1lJyWemFQvloUjQynqRLHS4CzyuIStQe1hj/LuNmub63YMOOMB7HEW5p9fzG5X08GtDUVwVpOj
6P+ZCU0ghQj+NaMti8jz/H/MLLxYVNJ3qzeY6fxxV4TI6cVQo8W1U5fwm2xtzo8B22xuhhsDVSCV
vWwtLEpEoXmFYa4ZHQkf9haFve0FJ9/sdtqXUfgeR9LGGf8Ik5uNIqPH24En7AcEaTaOZZOMeGro
wg7CsX+OHoO7oD4pB32rtDb7pqV3NnWTFP2sDEKG/HrVyqLphkDqA0h06VJ59DkIT174RZAPwdZG
tOY3zwdb896AO2SG5C6Wzhc0sxubLjg/fP9h2PXufJbss2X/3u/Pd3sayc77s/2ye0FZwH55idz9
n1eYDh3CSff1z+7T649Pp29/4CS0H2GquT85b6fdp8k5Bbvff5+/WnfPD6NzNOzWvofW9e34+fk3
5OnPzudnZ3e/sUBrDn/Oo/zfgSwcfpLTRWjMA/FP6qfGro6qPW0lTOaJvzVZsyu5OE6xMoVKlw/Y
8CNiH73VCfT8raDgPYj6aIarmbgdgPiyHxiORL2K4SM9S1pk6/k/nRraQQz6bvyFPPSkho6cDoeu
2JGXK/tjM1UOFKKOGL9W+kuGAk8v5DRaKS6Yr8NtxzU7w1ufttiatMCAtxIqHNc92kn/bEAxVucX
8k6eyyqecZnu04UhCSNpCs4xjH1xAlXARsS+ZoAeWFRl5wCPG/t6Ads+Vrs+tzhZiYZrL3FVwViV
7u1JWvG6s+Ynby5Ud4hRF49WPY+Bt3smQd2L/Ulz5I0gfG1/XP3+ZT7GC8nnNfPvp4V1ClLY66Wd
0ZwpGNjG8U9hvJqSq4dfhTSBwdoeVLcY7bi4E6W/QZIQNfwHqCgVs8shy9cT2zWtVpojE9t1qXo2
C026U7x+o3V9zfFTg6ASwfggHLAWVoIu60KKXFzVcUDzEByBR9RjI+UZhezY5tW11Zr/EaI8j+vC
4iJl1BuKkUgeFqdfwJHtV9N9/Xn+FDuxUzvfBRpqeebZzf23x7fd4Ox+m869/c9RGTZO3UdmnMVn
LI4drChNHChecFbiR9FEggEuvYlE5lxvKhMdbPiTOkZuYrS20ZoPkhIcBhQapAfB/N1IuaONPwv5
LfBf+wHGvUMXua0GBVYQOngJPNBG8L1ygV3N2uKYRWnfd74usEFLyAdFNwJK2EL9YSXf8qSkIT3f
3T5xK87/yuAizolTvxZTlfmhxPcpsDy3Fh8sL3CFfGMLrgSLGEKQnIoTNBtLtjilr+UwaGO04sS3
sgOSmbmKBE9b7aYKWmjamzZ9vz20jzX7ee3Z77Pcytz6tPAmql5lUZUn4Vmpvksmnl1qEMQO5IMs
wBTuWXfQfu0sYbjTwy+qIDht82mSAQb1W5xHK86TNi+JRq+5KATw6PqM12El1rnP2AdDCuCRHOGM
TIt/TRczD/fCymLvNJk4Zg2KTecu+qEeIu3QBl+bbAdn9u15XVtJeCmwRh8LHDiLeCFseZM07Rid
m4kur1Pu33tdBnNm9zNLA9tKrcnh3XPb5tq5uLS5iB883QuFVMCmRfxI1+tO3fntUx5oDloD/94U
CFu6j1EEpBd6PjEXoYpejiEvxDw6S43TzaLjO5CapfrJa56EzbTQqpvUZPIYdL5TF9UXA+u6ToL1
oMFaKu4ENBy7aK4N9q9CcfB86SnsEF9FSld/FoJ9CcaiojPKCl+HiCnv+1PZ/ekF5Vf6U32sa6ca
/kHitwy/tRQaB4KfqL4L9KMBiU5zF8k/InWLy2fNfwASZL6Iunk6LPxHqE/tJERldA6n5kAhDCCb
nj6mEhyQWxX8tVMEP4/EloPeEuTR9cJ4TRgngpVEZzn8TYI52krTr+1rnZItCMH3NNni99dlOGpW
zFJYBKZCN91F01OZPCKpY4NJ7BuUFZp/LT7JKSKdRLc99WkCnsW9HBk1VGGoFp0znZYhpbOj6J7E
6MbpWZ25CyuLu1jlRURNqGfm9Miy08b8TaZ+S+1vdfoujCycHJOW6ZLVRmcx/zukT5rlStlX0TwG
emyb+Vu01X29FivCffwO5wD2//4+uzinUq+MhHNMneS7QfyYiJFtqNAoZVtcr2tb/NLQYmDNoNUo
TWJINj6LWr2TDO7/c2jU+0x1b/ueVVOUoYib5hTqEqtIl/AQClPNaWoqV+5erJZCr+BY1ddI+HPb
1NqzHBozwHvKLCpO+vv6OIkQbyDZyVtJ9rVP6ZgdzUq0Z4kbLx53sTe5igazsWMKX8JwC8e9snbY
NnijERPg+BZXlZqofSLI2O6Ul6I4ZigN4NK3JMJXZvPKysI36f4gWGTyg3NrSrldgDzVo0cFxeph
0l9i9W5jQtfMzcOZxRpoTltqb0FpqEoIMIdnre+nwyCVhe0LnXcnQSXkyNKouskYN/tAN7w9vVQZ
dc08/zr2PDUHcSSFkLVACeOkdMXEgBy/yNqdLyZbLEkr5xQVIMoAeOv5pbVwOeiXSR5BMYGY5R9q
OC9IsP9u1NQeUprCFc+V6uYHyur/3J6eeUkX719oyuemB9J3ZJ6WiyEgba4OXKv9ULzGcfo5g2dO
Ubbi2bWXDpzoM5HdDPJSlglzTa79JjLi5Aznz3iAZb+02ylCVNM/CcAJ5MYn9MttZH1aYtBiSwR3
ZZjo+nGa/jeD1/I+7BRZScu0S84VtPfx4OhvE9rVt6fyYz1Zn8UD/5+ReSdeuL54Mgyhsdrk3I92
OcL4rgo2rJ6lHf2Tu1CS7YPdbYsrWxuD9NrSdQkd0DKvEolZ6Hl0xpyryox3bBbxqTYlC/BcFnw3
pLr85KvpFjPQ0iiJSnCIM5k1MBSuyYWDCnTRS0MIMM693IHoPRj+SQOOVurGIVI28icfsumzMRpZ
4IGirX4GmV5PqSIE+tQoGPPFt6KFXVoSbLlA3B6iG/NsGW4nvbUoMKWi7RmSE+sb5bnlvpnta4iA
6PC8qxC4LgY76J41ZJWXnBUvsclrDwBGYu2/GJl5WFhG6NqXMI6UMogVgx0/V1pt69q3oWpsYVNR
dHUoF1YW96U/oWwhxmF6Hqnk9MxfPrN4QI19e09+eN7NU8YfQOjzM4Tlu16yQe3rqG+k5BzH0r42
UdMLsi+0OqneUbo3pIOoZXdSau5VoUE0pIZID1XqraO4fJi8fwRkiiAMZ2LSJS5ckiqha02mFCyj
6TaeC3mX0zjg4G3h/vPv33/Tcw/G4/bQ107GLKpAoDqTTyxryRRY/dRM2Cx5E7xAYEfKk/3p7aVk
l4tb2J/VozEL6fCCJo3PxXY9z0YsB6JSzUOcEO0o3I5Ai/TfXC5PSE/U8XAXWoNd8jqZUFsogr8p
TML/YcQyD+iZwwTQ1uIb0GXxygp5nLPIHeKYvSw++ARKu9GgC9kras9O8iE83jb6oV+IxUVYgycg
+X16jJflEjghJq83sarByyJ4P/LpKA/5WyI7Vg/LB7z6vQtRqGL9FLXUtccGAQ2K3Yq2kTv5sN5z
QR0Y1Kx5aPLamn9+4e/FNveSANTqsyb64r5CqwV1AXcaJ59MlQa9Zp7Wh9tjnw/p5XUNExuxGTBW
LmtyNu8NtxcmBS0Qhlixwue8GQO3DmQJgL08bdwrH/fWbAZGP65LBf6PJZ5HrWZqLhUzMLg0/Z+m
KB1llPZZE+71Ar6C/lvZPARhB+fmKSxPTdJsuMQPKeH3gV58wdLxAm3T+sYMn/UEyprEFcaHLn7U
1OKNsljbSTZ1xoQArpZ/DXQ30OB73xbQnul2Iz8J3pE+G2Xrm+b32NXkv+cfuGgJzwxg2ovdXkww
uKct692nUn4X5lF/iBNJulc8OrVLv1LsKaol0K1SAymfpj/FRd64TR3KexHlz09qYM5Nu03T30+N
NNlW7CWOUCD6KHJ3u0XafA009afQohNfWmG0CwKyYrc30DLEn5lq+H4KjfgMTV6uLGKnZTLqSfPU
Sl67y1RRdzsuoEM0ROgyoJF6d9veh8P6bhBkGF6YniT2zfUh0aYgEISmbJ4C6lhZ+mI2LzLBUVe9
dNVgG92PqpfuhKw/eN/quz54aLWfeK8pMDbupfcE0eXqzR8CIQisHBJFNVzH9Yf4VpeZfV43T2hn
3PnSfdN/QwAIZesycHw/3KklIi3eg9WhPS0gYNJ98oOd9ylpf/paty/8p0zVj3n1RhNiwP/waejp
6vP4VRekQ79FI/qhc/79a9G25GN4skAqdP21Q0jyrkmG5onczv2Q21arQshs2GOC3GLz6sct2rF/
dLpPyBPfK9m0qxvNRdwi1e/64j6tZur2U1BrTgZXrWZ91sZhZkrdwMG8P32Xs0rbwDtSi7h+KTIj
VlUDj2zSPiVGWkx21WvFcybNorPyFLSAqXwx5IVV6Yllt74RPMhjEnp2OSBaLoaUvE16ZyEwVCs5
fC0L8NS23qrmfVR6Q7Zr00o6RXFLs2fpRRnwKMFMf02RD4698NvoV1lqvQ/7dlU8DbwnfgRxJZLF
latocNWsMad9psQKUIEp3WJlW8ZTeEjY8tnZUK9SuV8Cq/rYizvPtIpTHFtQaiWpbutfvUTT97dP
0DKUmXeCSoKNoIImIJo2r3eCqobwXGmkOWu4VwsvdLXubyb9aIIR9pJHc6s1Y3mpvZuDvEWlKZRG
4Per4eKGkaax1X0Dc+DDvJIT4e5t9tS/HBMM7dy39AMCI8YhLWJRXRog0g5y4ckPvac08djl1b2h
TQ+x8KTGDU80T/p22+QHx4dJSpgSQS48FLx5r6cxmHylooQsPOnRPcXlu755GniJhuqX23aWNzQh
gcKCzCMzgFYs5fuk1u+6mB16ih3b3PBhH8dAAoomNMI+nDeJgusxtIMF7fzIg0uYKjsxq2NV3iPw
tOuKcSPGWtncV5YWFdm06LOqTnT/NJmTIwuTaAt981tozI3C2ofdRphxOaKFm0vqsvMpTWFHbR+J
Z90i8x80P6X3OPqVVFv1ivmGvvJWOFJi1ZldkCASeqzrCRwLNTb8ggksHgmangbPhcxF+8ITpJP+
7bFdmFoEMJ2SK23QYipIvPv+RSl3XvsUpz8IJIlSNjb3Bx+xMLaITAQpN1TqpExjFt6bqIbA5G8X
qUYXN+CzerKhTb29zVcW7nImlylR3W8n2N+wqKafw5iSjOm5E3wLdPsG/t/btla2/ZWtxWbs9FZQ
48LyTyJIkLB31O4x40Ez6hvvt5VNf2VnsRmHsDY6NcHOlL8BR4C3W95Lxca++JAl4t64srJwRMTs
AyQOWOmFb6Fufuu89GvmyQ/ya/Jcqq7ghy9yRtOdNrVoLm40wn/0TtfGF453ygtLqSSPXWl8sfo/
Y/ovn0Tvg5uRxvQSEiG/c0Re3B567nl9Ogn+KbHgihgkLfzc6nLv+FJV7LuyyE9lO2ylrdfWDRYD
YBTgOyFKXbjFLhWmsQ+b4NQnYm9HQOnvU2PMuPrFLVNrDoQszRxEkqihvHbtQJA0D3l81MGpUctI
2EGGQdSc1ylAYx5tn5I69SsILct8OJRT2e480e+2SAtXjsP8KkMymk47lV7/629IE1yLP4bxye/7
8LsSEn0krdfvpKERnLGo6o3K64fcLYuKILAFXpA2I4odi0HnRmJNg9XEp6FDP0/2IJskg4oio1/1
u3iKD5HnOa0enmRY3m4f/XXboPhoKyFSAOZ0PdiyHlVt0qT4BKNy8jWycvEwKiUybpYSOwNwc8gp
JGFXWsL3Rup7tyxzf+MuXHGuPBdIepKcR4dlWQxsjCKShUGJT7nVlel+mCbtc91VAI9MK8hLKgeq
mDhKVmah64VxsNUytGafaxIFFD6DVs7FejeGlwl6NkUncVQQX4vK5KC1dfdFlH26XsgDPIiB0BwM
PZW3+npWthrdNhSR58geBq/FySoncZTitk1huJf8cw5l3MFqKs/NcnPfVaV6uL3aa+Z4XXO4IFOA
8nyx0caolWujKrOTP2XQn/FsztPWKXHFNDRtKcJ+SFSyrWnaRP2U9Zn7N+d5v/BVWSeaVR9M+Ulu
TNfwW7tP9DsvDI+x/JT6kwOPUS+YdivpTioJZ5Xidp0qD62xdSWsLDDCH7QzzQItvMUWsxzXQROo
elmcShJZhQGLQZAfrNi8L6qhdaKofZGFcHd7qj/UGRn9O20GdDMzqfwyWRnNGYhabstTlZvHzv9H
KJ/L9JvhnS2EhIEoaFFzDMfPvrxFp7/irQHgG6TVZVYa2tXraTfHnD53KStPkpr9bQx/F2k9raxR
snHRrkQoZBtmchC2rkKP7rWdiMozqrN5eRrrcJdWtJSTl9P6cK8mr4q2Eceu3KsmGQ6anlEXBjkw
7+yLveSHrSfQWE0qzE/zZ0nIsoMPFeZGgLI2JNJ/1nwiaY1cvi1y4O6eYYXVqVAcqJiP5igdysh/
6uovvbgFFVw5H+yMWXCba26+XhdjYgMJVm+hS4cie1vbAv3x92PL26w5a4d0pxc/vOkxQ1s1NX5E
1tY2+ThWXmmwIVBhmrfoso9CFPt81JWoOCUdzdT+D1HxyUHe4aRdK1Ts26fh4/JdG1vcMm2cC2Nc
xMUpa9CTqcD6bzEQfWjwozNpJkXlJoONlxVcmBCqsEmNzoxPiM7t83vpAcKlP9qxdnKwl0DQOxsN
7nKrWPfRo85WKUeotNLxJl141NjUeySKsSqJyW6ASyqm+yuqvcfUKJ5vz+HHc31tahHXtqhGzjIi
MSx6dRS6pvESJ1uwpi0bi/BVqCKhgls0oSsyo7m+K8IEcv/UdPW8ab7eHs/KBryausWCUcnp00K0
4lPql/aU35UJG9B8EJXcmcwNMqwtW4ujRrpdy0KDZRKfc32vDV+bn6jZOkm61Vm58vq4XqX5Sy4c
lQbGoohSLNHimE/OALGLlZBfHJXgcxBUbiF8TqPHnhq2D1atl7aCmdWRctuBNQV1qSiLFbQarw0o
PrAh+8zJ/OpbVPd7cQzsxOcxnn+5vYYfw3XSTNwy7Due/XSLXo+2McZJH8Q4OSUlAptPbXFQY7fR
jkL85NXPqvj7trnV2b20t3iHG4mcj6mGPfhObXGXueeXX4U97VKolzZMzY/e61TG1dDURdAgT3Vi
VTHdZI2/E/OHNPg7NOiljg5s1zRJ09vZ2Bbp4WLoNkyvLSHJOwBy8wLS5nY9qXE1msqkAMWvBsEN
bV89mSa5yOxXvEUCsOo0L00tzkUQl4Za5Zgapm8TrQEScrdyt/dyVOKPeTweFMP1px5q4wKKntIJ
vb1eD3aNHPLt6f6gjTi778svWZybwFOnVtNzPM9deep3nQvXY+P2u/YlO4PVevOf+k/NDoJxRALj
wnaywQHOf/sjVnfzxcQvdjNCP6WPRG5yUv3v3B/Td6je4J1qX9NfYraRKNiytdjJXkJWuzeL5GT4
hywo6CoBzbIvSzv9Ddms1m3RmnysE80TPPcHAfSgSWxJIzZzrHiS0SanSdhP+5pGBOFnCmgwnY7S
9CK0v5X7bnoKdYR0U3eqdmO717fSgyuvTTwSbzywUNqcLF5kmmqU2sdIZ4bTEgKbw/CQfqcbNaVe
8XsabH8r175uD/ckIXiEYuIyKV0JQpwaTZKiU1Epks0jfPDtLEJPwvGjTpoTQEbZUCVr878pVQ8k
rkQROG9ZGeV/uO5oQSFsnJ+6Hzor62gYGrFkg2tqvRfTo8yZHpOHND8PybCxkdeu8Utbi8NUihEl
BrzdiWKRX39JhE+CtVGYms/C0j2SAwAcMEcdLOnCSSl60bY1ntiKexdxb9ICbmDCmQZF2/BmRluJ
oTV7sKYyf3DxwWe5CLT0RlSnrCuTkzc9+bOY5x9dv/O7h1H/0VvH235g9ZpB98OAY10Bo758MIZB
aOajKGCs/jpGdopYNjxmUTfAby3ZIqgzX3eEUtvJ069xK4W4NlLYFhVqfhB7k66+ntlcqbIw6OL0
JIiwoKfBk+DvUwORyjZ2BHOHVPXt0a7Zm4tsQB4IG7QllKfyFSUcpIFu6lC814QHoD2O5734qmtk
ENC00PfcNrjm+qAhms8BU4sQyfUA1aQTyzZVUy7xQo/sxnv+Mwb8/atfv/rKFoRmbXjmrNDB3uH9
uOyNHYx2gjjFSvF7nu3D3KP78H1kjhaSgcg+54G38VT9AK1g7chLIu4OWSU9mctuPiPxgUfVQnaa
JuAVJA7bXDmN5RelfWiU187qnxPTe+oVu9CUHc0rjvzoUwwHXFhMHR3QmjuFv4Twvv12e97fEUuL
M0tjB41IAGBnMofFmbX8YvJ8L8lPZhbdhd3/4uy8euQ2ti38iwgwh1eSHSawZ5QtvRCSJTPnzF9/
P84BLqbZRBM2YNjnQICqq7hr1w5rr6U91W31S7HK3xooaNglBwxOY6hdbcRTJchOTSIa2kFI+Cqp
xdGvdUes51chPlF73vltG0GPagC1okADGRYX/dooFL0eFH0Uiouh/xn96WWWY9tEqKKY3UD4mMPL
Un/Q58Tt+tAe/bNqdo5AVVjoH2Yf5Q/q0vd/0LLe+qyQWKKbqQHE5Lyuf0+c1aovDEF28U3f0VRm
ZFUj96Ihlt0y+HR/rc29v1tr5a7rPhd1f1aXWMAVuhMNSqfi4JvUzYw9guu9fa0uXxZEqUmZkadB
CQ8KE8HyJ0Fsj/mwk61uPb2YP5NvoAMpbq4nfGJqRmZh4cbqAR2eRC0BUhQISkKwk4hOl4humCrH
mZk7I9sb+N94/1gbXVHwkZTx1xV8aBSmOOuj7BJ0tVNExkMy1V+sXXqwGxjXctNNkW4x9RsLMq2V
q5aSXjAav8kuShR7dTMexGh47oJPnfErDSy31e1ZV93Bj85BM/xU1S/prsbgcmfXdgqFnLhAv5lP
NlbJQtXVyjz7eXbJRSlyujFsnalN/oPLpqG7UEmD7dGBo1zfhj5qAFi2bDSc9d+iVH1qphZFzM8T
+r7RJHpaIH9Xcu14/15s2SqvIC8hEED1hohWLntNrdIqY9Yud4wWgA7ySgETQ00w7TjtLYvBUCFr
WEaF6ftcb1DOFb7Q0C6IHlGyzc4SYFi25IPkT3t18c2l3p4GpKipGa1jYGZTdEZCl6XywxgohIFN
8xxRKdjxqdsLLZ8NdWI4Zld7In2t2sgYskukqPAkf4kG8MjJTvNqaxFGdgBpMn4PEeYqTVaY3csK
i+hBgHH00Bvy76EuRFtv9T3I1pal09qVwQSBewaxfv2J/KwoxdInbKiFgQrRhyIadw5sIzDRlqvM
GL6IEtpaFVnre9MaqyK/1HNf+I/Z2NIU8emknEphav2HUFBIkAV/smJXoJ134nUSs8N9o984UMrP
9A6QuVo6cqurBof1VIdtnwPL+qialDI720L1+P4iW6EANJD0kCUAexb1ouvDzIo0NHV6eZcoc79Z
h97+A4W283r58u3A5L/9tbMhkth5UrcK3u8XXZdUrNLM1Dhj0aSpXdjwUSAZUUeaiuZQxw+t5Yw9
TGQHXz2Xydc6ehSgK76/741gEEIWmdQTSLEsrg+3L1IGdZQkvwBj049GFPqHmvEcKJ+ZwzKV8ljr
CLfNSrlXbd96KkArMcK5DAEBrV5dxiwaCznkXxeeq/JnJbbDg16MqoMqwvAQteZiUVJ8KqdoZEi6
0p3Boq0fSXH2gflCwUmVvNlxr1uHQdMTfnekzQFsLe73XalyRLMxLdEVuVRCYj7VhSUdGoKhR7ms
xMegsoJDPZSTq6mh+PH+Z9iycQaFlEW3iKavvPz5u5XFcOrhoM7Li6DNR7/sz3nsTJV4ur/KRlhF
q2gBQHHgpIwr1yRa4Ty2c1FcOv9QVT/l/vxt0P7ZrYFuLcN0AJA+HC2VldWXpYU68jrWHGOZ8BXT
mHhxFB+GWXkp+llzqTzsjbxvOCoaR4Q2S06Dq1jd3jkLxyxPihI1JOVRyhmihtYrNbxCkVwtPfcn
EUWf+4e5dXnfr7mGSeal0kIzRBO1HT6ZgReJP3rzY5eKDxmluFR5UdGQbuTXGTRqln+ug+JU7hXX
N16ApV+2zArBns4TcG02luQLNVPDJcnU7Ajjj6bYC1pl/oZVNIVECHQCdIuJN9ZvjAi+JcmrgU5x
cpbigwgUvyRTPPT91yH9Kk2dHaSf0+SwpwS6EemAFycWoFSF71/PUPaTPvq+QsrYpXJzyNT2p4JI
ipMYkWhnpVm69z/mlv3AabOMmVFeJuq5PkhRSIoum6aCwKqbK1uPRGY2Yez9IPU0fXrroUp0VI36
uEIOWRB3Yq0Nv0OkSlwH+B2e8PXMWUE124gjgc6jBSK8CR1Uk5L0WCvnQcgXV7wzV7BhNswxEwcx
RYLa6BpkofhT0itlTfOx+yZ1rR3v6WptbIiSqrTM6DPRASrr+jjjFGRID/TrEitqfQ4m6NULbZxe
GyVNLlYhA2ES5AA+8sDY6WttONKlPIUMokn78Qb8Pyjj0Jj1XF4gyqNIZbXPfTed4/k/9G/xNUxe
Ah4BALaeagBC30nDlNDrn0cnDHQ7UA73TXKr5gZmAewofaSlJb16jaDSyArZAi8R5MKjiZPp59ap
DNf0azvoi4+h0cDZY/TuUJm236bHNtvTqd8yFJmUDh1wCRjQelZ30tUAgWyQE34S0Tv73HR/7m9y
b4FVot835szcVVpdmvxpFL+Nhb/npRdTWzkw0NcL3oZzJMhZZaRaKYRK5vOh8vSYIz/7ALWN6hbN
WT4yqiVVtrnXNNl4/gxCKcIpql7AmFYr5mGVxdEUVJdsoaoORc+Aq109FAo0tjsBy9bxMSu1TGZh
KGQd1/csm0vRLIumuhRGLR2KZhadII12GjNb+yE2kUASqOT0ayPQxUQumlKtLmpZO90suyIyFXoT
29BTfYD1cSfn2PD85O1gtFXZAHu2hpzDYDmaU1/USEDT8QrGR6NTTwoe2g53NrblKzg7EqeltnzT
e6GSLJLVJPUlic3qoFrVy5B0xTmPdox86wAXrbEFqrPMAy1v7LvgbkYiYGw6tSa4S4+DEF6k8sS8
Ir398uMujfmGSaB5RAoD3Ak0gbS6UXpZh0mspw3CeMXX2RqdPK52Oh1bSxBlgdOBUYkC+SrYSrJh
GmgMAuRqeshKDD8+9F2619/YsAOTsIZdUE0i8li5P8vH/6USaCq5Np96I7aFGYImPXP76HTfCW2s
RLAKRIYZu7cOx/X3EWiypgqDcxcIUVw1+t0WX0XICXepRG/PjcGdRQcEfBi1qTU+TBayMld7EMn6
LJovo2YOP4KKmub93dyGMqxCTxMQDpU4/ML1bsRIjgcpIJTJw/5ZHfIc/hCUJZWgtR78GNaDcTRL
NIIb4WC2k3W4v/rtWeJqiUlBC+MwQEhfr84geVnwYhaXZigRkElj7YPqG6nrF+P4iExhuLPbDVTh
4tupqQLvoIy5DhRHGWr0UC3LizIEYHNnoZWeGzE27VQSjOexyeOXuSEUMOsMzLDe+Ppfel8i4JQz
OHa8v/nbi87HxePzizAkPsP15iM9G0LdJ4uLpOkr7InPivgdpaauqRzD2HPLGwk0q8FTBL0wrQvC
5OvV2iYJB1RtlnEwucjcpimr73gYbbDVPpU/jEVBQVvIKwh4ciFS/4LkSpWfB2amQ2dIavgtlV6o
0AqbjXLn1d2ygmVKGYwpLpya8/VPa6w+M6JKLC9Q/kzBhzb+UEdOPezEelvHjfQZWDPA0mSzq+OO
60CL+8wn1msa/TwFhX/S/Eg6pEmsuYIffYKPSt5Zc3Nn1EO5wuDgzXXS109iHqsx4URbh0dRELJF
K/HRqOLSqfTm5317ug2jl+IrbXriLwJ1ZfWFpazVilxmsaaY7KUJYkHPiFDs5Cd2l1gHytw7j++W
8yBchzGFzAvHu/pwBeEzMQBOt0k+yeKPUjqExqMSwM/YqL9jfc/H377AbPDdcqsvOHSNJcJ7Bb4l
bl8RSjqP+negRHuCZluGAuXUQmxrMsKwrmWrcVBWRk6+wx+fhjQ4NuPkjT35gZyCcY93rH9zOd77
heiYUcN1Ta0bhagrJ6zfTKRTFALsnq3uz6yYv8Tp7xAukftWsukCSbfwAsBZqJWvAs6FbrBWVam8
1M9J8k/nysfadJO/mw5NK0f68uX+clvfjE7u0luhk8s06vXdTpJOaPpGLQF4Mk3dAFWHTMOa9ih8
ty4a9GsQavGK8elWth8GfmUZ3UTqga5k3oilO2nB93FWPwmq/vX+ljagQEwUM6XOvAEzLszZXO9J
agw/FBKZxajDool1DofiOMoOU4iR4swaKV55lKevhvVJTFSEygjehhfR8KboeP+nbNkOXoU57EVe
8qbYnbdjoaSVWV2q6SDrlyZ6aurPRnDWxJ2FNp+P9yutrCbRUr/wQ6Oi8mvrhtMdCjv9W4tsZp4f
CrjAEc9s3HmPQ22jC8pRQ2FBrZO8DA2F66OO2jkpCR+qy4wOrETRFz7Hh7QeHkRfs1NLogE6fonL
9Mtc7lUlNsB9C/M4weTStaP6sXI3dQYzXRrP1aUH1UdywfhMXXlt/T0zVLuIvVT6qMk/RabKW/8p
KaB4zYRX9L128o6Nb7yMjhGfUfgmWFj9DDlKK3pEnHzGQKF0hBNs4KYq7k5otHFRceLABxY+wQV4
cX3SqHDMaegL1aWTjUsLSjCSn1Br/XzfYJfvdZ1f4+TerbJyB1NRzXLEDNolTtNHXXfgC7WpvRza
fMdgN7dDGYIDo49NwHO9nSEoIk2Lqvpi9t1BNFPYN+SHVhl/39/P5jKGLurMwMPQuk47hC6oRn9m
P6mgWMzNyiDYq7Q9hdQWdhz3xmO75AH/v9RiJ+/yQkFEpRYy2PoS9hhA4mlx4ISx8ClqoaitrNhO
KjiT/L2m3vYO6U4a0D9RI1sdZNQbfq1ocX2xCFLTc/S3v4ei3bQJQIZ0UKACBe1wvTHNLwi7q3BJ
eGObsYpDQfSrxtYhKXau0tZK9HFRjCODx2kue313hF3VNNMU1/UlAE4RpbqrJI9MJB+r9s99s9jy
W0gWkF8wDYNIyTqktRqEuMdgqC9SIXUfkmKqj1I5zb9yTW5PdVkgMSOpT31kzMdZlB/bqNjTT9hy
Gwtm8w3VACZoOYt3e41hWK0ZOKwvkNq5eobK8vg5EI6RoB6r7j9ctvdrrUxTFzK/y9qey3bq9T/m
i9H/un+eWx+OfhfCe2SpDPutnnehKA3fT+b6kidfghSdlx8AMn3py/1VFuezdk5vjwwzlATQa8aM
INXKoVGk+gInbVGeFOX7/b9/I0BnUBWYlgzPDLzSK0+uW42gtwlBCrRx2UvIPr9nQvEoxvy/yozM
Q9qmoo126r8fHKdFSXsEfAFDbezt2haCvhFGfWD6K+0OpfVdCz+YzU5TYss7vV9idbXqPu3yUBOJ
D1K6Hjl8ViLd2Hz6qFrtQRRfU/EgV6f757ll4kspjlzOoIi/Ll51DRV3/qy6cIN6rXd79Udl2XPf
OWod7PAJbN5oWLgJYkl3gIOs7pPYB5HUm3p9qUv5pxCJ0rE3zMCpVa1yGWOSjpICzUCRBbnbBKDc
unSwfv77/aJ4DICDPJnG8+onWFkfwIJEZbBtHsvIeiaB+RRE0UkKpJdW3ynbLR9sfRkYg6TeiUoQ
prO6cjHNkrqPohZp3xR5LA0Kq9SXdt60rXv9fpGV6w+aHLSsHLaXFun1IT7N1qsw2OX8H/w+svO0
PukugVBZLSNAgxP6XUnAbo2iJ0uZk03GYxNbqhsWSuze/0xbm7KAy+qLQg8y9ytv6Lc5ox6IOF8w
gwqeEFjrW6ke3FSrzr7etjvLbXwoup5LX+4N77Ku6ouxQS879ZtL3bbYnm5WDq2gBNhcuKe7tZUF
0KS3GEjGKNDdXmc+ip9YYd21FyMsS6Yt/slj0NxRoCruNM7WpWWc6WjOgnpOO1E5NnKWvwyhkR/D
LDQBv5b9zpfd2DyNBthmFjIboNArt1NF5tQYY9zwygE7C0xb6TtXV3Yczdblp0HDKPZSWSETWRU6
LHmsurAOu4t+sqpH3zxE1VNrNDTWHoqiOMpGxM1/+NdmxJowVJOnk3mtWTcbw4iZDk67C2xjJj3m
S1r8/PemQ11RJI1F0pE0a+VQcj8bcTNN/xZSdtrHUlLsuBOdf7+R96us7kOTBpVSz3V/GWa7nL52
rVtIrwOd8vvLbJiCRvy44EnJyvlK14+cPMZ+2ubRcNGL30P4GEqO0v59f4mNm/1GoQvxPog9c+0T
ISYpRHoLwyWbvTj6UoKl9hP5YMG4fH8hdfFIK+9LORz0DaX5JSFbRd3NJI6QrzfDZeEpe4xE5fcU
ls919Y3iOMSKypAxFsm0DaXq1C2ycyfFjq6OZyX+VMavqvW9D5xORpvoF35bGz5kyMWXbpHDwQkw
2ney5K9avZSxK4qHCDHU9qT3X/RIdwKLqslfyquqeUOYHkxxfmqnz/d3t3WMwANpNyEViMTGanNR
Bo3F7EvDxYhiN7dchGzsRvsS6dGOfW/VupbqK54fr0UosIq4piktU93oBtKzlBL/gCjoU18pH4Oo
eG3LfyCa8UbFOBamYptRsuM1FoO7+YZk0tBUUvyF4vvaIMdZHMckUYbLdArih0HXThRgY32w6935
8NvIEjE/rrAGywi90HUkFPXpOIoxXG96D8SGp6Z9it0o/LuS/imFf+5/PfVmWxBBoNqwfD2a1uso
WUGafaZtRAqvjfaI+x/3yApubzICukCzTKqiVGDX9lHPlR402VLITmvZpf5mDyq6p5L6b1UyMT8m
+tClgvkRZMb6pY6bWSdujCmtpHpri2EDctk8iRE8iknmzKl4GV76JN0JJTcOkIKStvQ7mCUkpLy2
C3800maeyHcltfJgHvwhWfmO/9gwfJAgi66qspziDSfLKDamnkREqx10MG46S4ZTGNmL3oapa1UQ
ziJxVrtJTZNLDs3GHefM8aG+2LmAW1t9w+IyNsPraa1uelempVmIVGGQTz8kQn5Q/V/3rXH5G64v
GS1fZuion2P7AAivD5Oei9+HDdWxsiztLFIyWh09NbLa90pVat3AVP/xZeCgYrXzrN1eb7IAemrL
xqiLrNV5hF7TKBEa9SUK0rNGTUYPvWDBvSXBs6J+ur/NW5cJbA/uFThK6ZRSi7nepqwCpma0tr9M
4CIfSgUJCdkMYzds2+nBUApx58NtbI7jBB0JPJKoR1sFemgsFFLWF6xXtGfgZt9KH/IeAUkiW536
RzVRj/c3eOvB2OC7BVeWUidTFpRy1V9yyzjLzHiFlWsAzJqx0MSXT0yfne6vuDpS4gTgc+TC5OJQ
XtwkOJIaKMNoNoVXxRK8pfqYP2hDajqqFM9Paavt9bpXXu1tPYrIzNNIRA7MgVx/QvQlTc0Xi9Iz
mAhU6btG9AYq48f9Xa1xYG/LwMLJrOdSLQYmeL2MoTZmSs+RZeKCI+TmPMKkCzl8XJbObAzK3+2U
Jh/7AY5JaZqMJ19SR1fOh+FxivxsJ4tc2dHya8AZAchEpYiAaV1VtkpanZEsN56gTs1RmqMvuRF/
1jXIWqwgUx8EH4qu+yewcc48twAKaKZxzutiR541AaqRSuMpWDDDykIIlW44wMg1hzsmtB4DeNse
LyAFZvQGeEdWh60WmQKrs4zEUyglxhEhIB/YbsfAq5VEAvlBpDNLpDV1/S0skt48CBLyHHahCMHf
Ppqtf3VNL3xIuqk27ayba8hl0cJWIEpPi/pQw+HFVHeei6HNRHK5U7JZ97Hefj2iW8oiI8t7exPO
DrwbRmU2Xi2l5WAnQVydA2PO3KIwkDFs+kGgtRHkx6bTi1MijOJP0JKtbIddJRyFKobCThS6xzhC
V1r1obfuS7/e+Zzr3OvtVy4tmIXdjGLP+nsmyRxOYW40ngEPCEQZcf2hEQJwZWM6O4GZVkeh6VJH
00OLDpGORiDqjDsf+u3WvHtm+BFLfk0p5G3qlqzs+lYVkw8rJ3U0b/YTtB4z2dcCVx7nZaDYN0ZS
tCJqvnK//e4YglPsjjWw0tbOpzH4NfS+AjZtaCsiM6mvXsxs0pxa0+JHSFzygFaLOZWkryO0wWYY
6vmvaBr71snhryfF6APlM3y4hFqi4s/zIR07v4H3axQ//9urIwE5gktPofi5IJuvd1lH86Qnw9R6
hSwVh7xuJMaYyTh6zdqtkC+h9/pEeVeIj/HANE5WJ9pVS34riqwFa7nrB6mMAEITIyFo+aZbBL7/
ZTQK0JdCOJ1rpeMiyPN3RJzjHQNbFlr/ELwFhC8L4Ti0VdebDoo6KgUN+yqM0TpAwPXZ19PknA8R
VaIY0dm4+XeP65sxUctmNnbRVEZQ+XpFo1G1OlHn1tPnEuZsg7CrnVVEAGA2PmBnwwkUXftw/9uu
AqX/LQpEkuRAhzliXcKI+gC50FhqPSQ96w90HCNokPLCNapuOhANNqdOCtVTOE2h4896/l+WJ9zm
Hi/zrGtQhQjlUtZ1fG69RL5Z1bLhO9oMEgob6u8ka7IHXRUaJ+lr2aGsuwdUWfdyl93TiSFW40Vc
gOyrRFAT6ZSbvtB7uthEn1K9Ke1aFeGdNUf9FMGMeFDGaDqMXdE5AdH7sWkrwSHM+aiAGXLaSq7I
nofgm9G3e429Vejz9ttI8gGwgvaTKe1em4PYjUx1SUPpBQFFC7NlAKRXDYfsRLIran4fTHpwr2Vq
KTsR7O1LyRtJLZkxXEbmbhjCaUOVPV3F2utRBRztOmiYE7UEvRNPvsrF3zGB24CLUSIIIqmhUQ/n
U1zvcza6cIgZQfEKsBMfUpVxMVVvJsfUSgZDklKLvt03+eUvXN1sJjTwjG9qHBCDXi8YBXEYz5FV
e4Icz0dhMTzK5nuNts1tLXUnyjSUfNfD0vR7BhBsQeN1o69nTiv1Sp04VLxK4TXy05lIT/CVYd7J
IjeWpY8O7fpCVAX7zOo09WgGPrhsTp5+SBoINnDjmQDvT9DupFgb9kkYpS3WCVLxRl3ZKCWrJpts
vAp1uTbVHENvDzrqtx1Qr9IoTk2+xx6wEcUSlFBhoH/DfBvFk+tPVw51nvRd13t4JutboKXfRj0t
DmWaaW6ooTRnjUrq9IStdoIemkMpjZ5qpGroV/b+HsX9hiEhn8J8M6k0/no9eDnGRek30El7TAKr
H8MxmI9p3+wV8jc8NFVFODaRWgZcuR4SL+lNVFEk916iZi+d5R8TQ3QnATaj+aGooSAzlM+DGu5E
6Bt2RNWIIWfAoZz22jGP0pznxlD3Xh10vR2C5ZHa7IfYhOdKPd+/jxvhMlMVC88ZMlK8tWvOxKwg
C298rfdEqY0+Kb7Q6edMiHvLiVs/ftHjLv+Y+GZp2aGCn3bFsgFy2tZV9lsJ1OQ4iIVhJzxjL0EZ
ja/Uzb9XSSOdiXGbhzoRpNdeQdv1/q/eOiDEPanGouWzTDZcm2IAtKwby2DwWgZqBs3qAaz0P5Wx
Kp2yTk/3F9u4axQ/Fz0NYvKlnHe9WKkPSlbnyzs11r0z1bNhp2n6uw3kH2Hfuk0JnlNt9+K+rVWh
lGKSlREUjYz/etW40zujK6PBq3XtU5M9z9XffXpKfOKQ9qAhgnF/kxuGjs9aSm5vw4LrpNAc4lIY
22Lwml4/j4EBFenXHH7VMjlYSn7Kf/sI1N1fct25Wh5Zehxv7x39W8p+11s0J4aFEjEdPGM24crJ
JvOhT3VkUiC9PbWq2J8glS3OQTQlbqaZfxFntgeJWqedWeFJm8y9EfINs1oeQdzc8s8N8F5CwyKI
s2bwUIqKn+BTbU8TteqTjGN4ENJ5b/hnaz0IYMGDcP94ExcbeIcHmbtREjqeeU9SZ7cAYG9z834G
SvEXsWj77+8MwEiiGUpyC2ZtZVBZa7U66omj1wXx94oSjjX/U2rTl0CvdhDWb8RVq0ee2htwVvpX
ZPxrwsaYRygWrajzJl2ePsO/+aVr4u9i1ZeuGM/zUyCnlhvWivGZEZfCSYemfkEDLDkYYhShOx1p
cWZPZf5H7/SpYtzBKj81bOzoU8G1w9iX7bhIxhNsK/JxoOqwc+PfeqbXG+CNo7+3DCWQhazjh6YQ
DLNuksGLVSOGrEDo0gdSB/NTECjHpO/jc5C19Yc0MoNzaEC0LMkA1gc9J9ONMuNYhsoIPaauuC2N
lFNdxdaxs7T2XPT5hNya1CJlp/u2mJofwywW3NDqyHMYgnMyvJCblOlj1PcAV/t2j0Jj4+sgXk73
xST6Aqqxhv+OjIJZddYOXpUgAQcmKfoU903wOaJddxiGvs7ssFG+MJU8Oe2sDMfcmMaDPNWx23fD
fOgmkKVj07ePUGH7jyYOyqnpjZ0sLdBP+aT5di5G6NcplXiIu0LdMeTbl5/fvxBwL/wc+KwlhH53
a2pRTjpf0wbPn0ufyVehhNUJBdL73un2brIKASSPPm4RNvvrVUzG0cUkxxeordC6eSLNz4FcDMfU
EHvXGDt5Z1e3/p5yPNiYpUZIOLMeLZL0RmnmORw9PetlJzGN4RnCq9lWQ6U/GEkRum1rFsgVaHu0
jVsrw05FFQUEOtC0VVyX9HAq+yVeqBlL/xTJwZd4huJ16DUYo0V5em5b5VQ24149+/bJoeGiLLPF
1G5kZsWvT1jPOl0wh3r2+vZEBObCKDR+0PTmURJOU+k0e6xpS9FgdalZD2qTt0KkZi5//s5uDJpK
Ux5HszeUw0mOIluRUPgLPlSS6sz5HjPI5u7ogCCHRIjCK3e92tQtB651swcxROfWVgUExBIUbrpm
2dJkXASwl+5ULVUnXZ93rGnDeimkM8O0ZNeUEVd7HanNgGPkbAf5OI0Pcej19Q/zPy1ClsWUOIRU
awRgWyppkU8wbNZS+6ORMjdKfwz6nxA1tPt3cePLsRsLyjKI7oFErAIFZt4MaRCb2WNSKKxfxPii
dV/EZHJgFLu/0kaSs0BE2Qynv0B75evPFo6+oIupNXlBTe6iAFU+RKEbJ05DEUJ12m9tm9q1DKZS
c3eWXu7Zyj4XvXDQ5FjNMmJ4vbTvF30rB/Ps0WntHcp07eDwBplHrEV7ssawsgUtojinhZk7GXAr
hVUf7aQe6y4lQRkRILh+2gMwqNzwf6VqV4+Nwa/IZVf55n+m8uHqtuyatgO4+f6Wt77r+7VWkXXQ
dKFZqazVRbOrpvZMVUd61NLQ4Y3Z+bIbXo40mTIRtU3uw5oScpZGeRwLVfSouzzTADAH4jqN/yqQ
BLZ/yWW9E1HfVnKoq+DbFnQ4R7rGZVF7H4ukmiQv0tIHgazhMzrVkV3mwh7O8/YYWQmpGDRdQXDw
6a4NRy/DsmkGX/IaqG/lD2b1u9cfxZZu1hTsnOLWpnDW1AyJ6mjlrCJWuVZqw0oj2UMXsX3KaxMk
iykox65she/3jeP2mUc15n9PIW2GGxnntpJqI9AmxYv7vDzQ7emccTb3NnTrKIGoUVsHibJc+vVA
yWjkeSYOoux1vfpJRkNDrC070manTveUSpbPcH2/WQqXwogXWRZI4uvPRGah61NkyB4EbK+K6Eri
M2Ipx2AST3A0nGqqNgzK75Skbj/YgnYktaOoCCDXXD1DUEYNidX2CpT3PhSoNDME5Cx6eDN3LGMj
m2OlhT2Xh4BQeA2tyes5SOOM7ZV6K3la3/7oW+YAu1wvj1kRvEoqKrCVAO9Tb6CAlEjVbON+Qnue
q5cqav8ltxqOjCYG8Bt6nEQ2VAKvj5tSXz8ovqh4ZZLbdfZH8b/eN9CNAvZbm2SJoTniGzkUUwtq
c24kBZVFMY5tqVMaCFF8WMbVCf8lNnL9NaqiIXfJM8hrFK1OASEDvmudJhK68TB07Sg4oawVoZOK
IZRRVtdmOxdpo1sHFS75zKI/xaTPesTCqsawjEdd8YyyUe00SY1Tl9T9UxFYlTsxA+JoM1avKD4C
oZX5qxO6accMN64Z/GSYIO2lpaWzclGDlhjdUHeqF5s/lW5h4jrnVnbMfHnH625cMqiU0EDlUsM7
sC5nTT4yV3HXqPD2T0BbehRXU0PQ7bpMi5MmlvGhrMb0KKRteOpHZZcN/NZrkS1QloXCZom71gRd
gVDGtdSPqses05NaRHYsxq9T25xHMXoKErgPlAc1+hlJEX0EGLs1CQ3f1x7dtvvGuXHvgZ0RlhHO
MCW0BqcYvjZ2VB5UD3fNcImU2YjAPDGD/vn+OlsfdtETW5KHBeq5ipcsKDTrWC41z4Iw22rm04Ro
yNAHcNrvrLS5o3crrdynHNVmEZiF5iV1DZjuW5RFj4348/52bp9S8klmtenA0IMhsr12GnVZ0kRu
R82D0RzV1GEcHBQ/v8DRAx1Bx3DcJHX1f/hUsL+AmNbAFd+AZNXcb3hHTM0bB8q7w2QA/TBT9Vi2
1Z6+0cbXovdCp5HElvnNdcstDRW94V+qF5Tlq26BpwvFZ63+XcHFff8gb8MtdYkR4BahPL/MGl8f
5FRGoVWgtOshbvsoGI+lErmhCAu99Eup/+Ty8f5yG0UN1qPoBH0kfVKWvl4PyF1fdu2keZk2i53b
EznImLw0naRuHmtnrELrKYC89y8zyyE+b2lKngwhZ+p/UivIhAZp0i6VZEWi3euosTqppiwCUEwS
QuClteFvVc5CIPxGOhS2EMzi82QYpW4rsRH9ur+bjSyE3RCBsyVicIrPq934ko5muKx5KDTJVWQb
/mSnQnIqmZ82RSeWEF0RXzrw9dMw2ux85+ttZAGLr6ZeyOr8j3WxUFWIvpbCjmcEsaMW/schZTyu
+aaE8aX9ZoiPWTfYbXtMQ3kPw7f1XFER5TsSM+PB183/sUoA3EEq5cnjz2jWHHCDP5LmFSJfWoUM
rCvAquWxZHL9dP/YN94OsioKwGDViafXaLAsWcYWtEr3/B6ojT8G/SHMWuGc9xaCErJYHMzalJBp
KUf41ul2He6vv+HhdEqmhIYLBhtoy/VXr2A9Jr7qiUVhQHaDsUhdDQCxU0VKs5N5ve1lFYzyNsAk
CTsFc2jrAoEfzpoyhURr8RwfYLx1Y+t7FfkvCZBNX3GmsGHUE3m7oD/q9edAXWjJz1N+LrVLGfxJ
p5MVRrYETXlDEQXiVYopR6OF3kJ5uH8oW+awVDGoUwKjhuxpcdnvyja+QfVI0VPFU6XvfhW5VWP9
phPpmvLzUnPoyv5Yj8q5Sfa4RDewWEuH8W1WGQkBjmq18lwIZkzgREQbnGUlOPn+ma/2l1mOjp8C
C3sWq/SsJtrJUFrX785h1J79fDzWWnhOQ/3j/ZO4fZuWn0OkyavOj3oLR98dRMRgaxamk86Yw2Ew
XeFykadvxZ50wuYq3CXqHzS7bqurRjJrIUyyHgrLhVPOkPYnca0eSF7JVUD9Ugkx//XTvpAtA8Jc
JOrw4askZVJis/T9CLLPZh5OfuOXbizLmZ31U3y+f4i3d3yhvCJWF2FcI4VdRRG1WOp63ao6UYTl
lKkCrU3jDFlxmUflaAYdeZ9OdNG+3l/29uFlWYWBgCX65YavrnYZaiFINl33hPzzVL+G499pQL11
79Xd3N27ZVbvhizk6SQGpu4pcXGkzv9HAq+i5N1LPKgXn0gUnkN3EHYGvvY2t7qhXNw86wgBPN7V
5DwanvFo7rXE/4+z89yRWzva9RURYA5/SXaa0BMljfSHUBgx58yrPw/nw8GeZjeakG3DW4BhVXPF
WlVvuLAsGUDU78lZoTksW0pd0FaloaMHW1Zz4SbQ/dtgKMpDkmSpawpFszELZDevz9r5gTzP2n9B
F7PWoAxvBDEKlx1ERpc2EeX4Ln/zS6/ZXI904ZQjFNQN3s3UAM/KxVnjjVofsy4z62eIVYlh7TmZ
HDkR95l8G1c3XbAPirX1cvEDP0WVT0+4sug0QOxE5TAHNEyu29n+GipmPiZPr5r502aqMzPHGb4Y
xULShcBPNZ3OhitN+1WLq8sf8d/fv1j0eqGCWOr4+3ni2Unz6ktfdW9NEWgtyGKNy0lVZ0I776xB
citDt71IuyvUf34KMFTg8ejRSkDgl5U834p0tOwsDl/L9zc11UOnTbM/VP+67fUFd3FSyDZIMFl2
PFlPZ97viqGUhcC4jzSAlboUlU4BWON/iIIs49xtpPgAf/80ilmKVTyLEN33mZQfzB6+G9WaaGWb
nr81UMGlYU/mP8MYlcUCi/UJoLHXmPeZmCK7npaik1iJiRuYVd+g0jPZfV7+SlDKWUmTLwUGMkoX
db6QrWVVAyeTcRTEwbz3+gmvMz3Vt9ARU4yBw2kzREaylxq53mlxlm+uT9/SW47q1swug0dHSkBq
tNQ7UpQeBLrQm/da8TqJX3ED3qZhv59S5BzDHwOI3Fjaq5qw6bSbbq7r0CCFKW9H6mhbdb6HYHRj
oqUViuGNUc+gxtU+83xrL/Y9njcfKRu1VUT1TiffT5OoMEKBfd8k0TvqL8VrK4geiZtXPqiCmjtm
qcQuZRR1V+gTxVCMRdDxDBzUDgXXDJR2W0q99kAfVHSqSDW/RFYPHVLXS7eVhF9DOsXPoSj0K6v2
wi0KJwTpTR4/PIOW5t1FW6hmMnIqGpPkRKPmipmbd98C8TDlv5vyUdK+X5/NC5uRjIQUiGYd5Iwl
DngMR6sYvQwxKk1oN1Ji/PAaQHXXg1wANfAWZ6vPntHsk6UasVF2OUKznn6fjOV9bm1S45ZCfpMG
qR1Ptm8F22n8pXvvWRTYafDgQzTymltfPyq03aSs34Zmf1vzHKrsuN9U5mtr7kv5Lq/hi27igIZq
p1credOHcdZiETEooEiAHsIKXOqjCyqtDY9T8V6cpJy1nVTei6RX1mvY6E3qDLEi7uTW6FIM21Q2
uCoHlg82OBv/tmoI87KkzzdtUToLgTUEZf7dq6zQtw3ZE1EJN5IMlHOPklRgxHLjyilqS4GWNr+H
SZswRevjUHGleFJ/RwA4AldWwkx0avLwGhlTr4OwlzdtshE0RFXdIojaFJxpNFsBZaP1Qytrw7Q1
IS3vETwoYgC9HgIEcqIh+9EU8pTQEB7rG3JG7xnrROlNDWKPEkQtU7/ItVhqOcs8wbDbRIojB0VV
a5eYvfrNn5Sqt61Bq740QSpGdtXV2bcES5nG9uvc59GiWS0EW7+IXbCbADo8WfAdwQq5HOt0rFt3
7JHSu9E7g/dlVVGk3Whtroc7xKD04lA3dftD7ARJ3giI4ag7XRvLHzm18O+636UZrvaa5ztGm039
HutZQ7GTSdaKDVKs2YvY0ipaOW+XSSBMCAxZUDvgipxJd4ubPqwNq5lqgUpZKBa7XEIPVSqGyLXy
zrsNe7nZeIH4r5nn/wUFaUo1BgtmY/FiECspFPMu1O/HeN9+NXPVnfKNVG+b8F/f/3Mk5IW5LTnb
IdYsPq8SAyhqSsEjwVJsL9C/WmV7oNDyj+k67WXOGh4ikFFngvLiUk7DQi3EVKS+IrADNFf20Pzq
d4qyxqk4qyLNkdiznM887qDWLtLLJCu8qesa7X6M/gx1/aBE5a7v7sIstZtOexhMZSdmT01s/Yz7
NcXI5SFO7Fl1GKY3a4UvXcTWSmsSJo9Uyhtn6a9oS+vSzjLtxogqW4IzKSGa165kIvMMfT6tlkEX
a0UBABUnMO/uleBnkHwR8J4L//VRMsdg9TOs6Hjyh0WMxNLrGHSdft+WkR00kVtB0vAxfFm5LpbX
N3GQXAKfSV2BR/kSCdG2gSfJlWTeS3lm7pLahHkNHNuB5yVt5baRXT/RfQcZjhp8iTm91XpdbM3O
eosNub0d0166Hz1Sj6RCpnfUGuVe0PFGFJo4OqgdSveelulbTwrWFIWXboXQGtGkosWK0hxaBqy9
08wjnHAnVOvIuw8T31biKbMDIf3S+eJW9O48c1eqt1ZlOOKsFuIJd/1YbbJiBLXWOkXqasKL0fub
ypfsCpBFZK79vrPyLvVU6m5oJPLTAAHJi9/XVLEvUqD27iXpPWASo3Ir1U/xRi19NxMnPGqoLilc
FlJ9l1drM7vMNubooOcw5ZkrIdoS0y43mO8odeLdp3DI7DwURDvw9JWU5uI3IoBJMX7eg2eq/YIU
GAXyvlzcfflXMejgR/Leexc8RxHuQ69+1fx+q/nSFgFgjGvX4NPL9xofiRWIgk0YpR6EwRdvgiCX
6aaQG96bamb7YroVYWbXkECu75K1MIsjW9G9wDe7UbiXUexotJ1Q/JFCYyXIWXFg/piZDIAjAc9D
srjT9VwnuDjEniXcV2a8k/vORvhW7+nna9+rDpHuBPUQs2icZEzW4EDnxyjKaPRxeFmBs4fEfBo6
jRoBRkfkHz0JjTzDFVRjT3RNf/QkbPkwspgU7VeidC9C2zxigfq7R2u4Ucl5hhs506kIP4aJY47P
1wf+LJudx4QpJlvmH7yXF2MSUHOO9TL1j129Qc8DJw1HQZCnzLeJdjAgj8O78bPnFJdvNPsbtBjl
/Hk29MERzZXSvQTMtY2+RPnGsp7baitH2aYY9lHUUditnLC4MWt1xVju0mBy5dIqmMfyTBIEfFek
eHLBbxa2IwBpItFLakPkFSPDMUWGrjBhJsE8vj5a5/cSib84S9eQVtAPXg5WEKkalGj/aIXysTd6
e0SdAVfETZwGh38N9dE4RRBNpmYOkvV0wSSS4UsJXr/H0jNNtzGiba1K08bPfsCc2F6P9aGhcnrf
zsGABZJoAG9ZshZAVSmCwEMTW/loamw99qvE9mrYa44sR9Jgxy2ddQU1zsEWBHIdNbCSR0OQ4RsE
kzXe5iX6L+JkylulgwJhS53U/7GqxP+apnm9spnOZwFlE0wLyUhQcKNisRgaKhdSqk4JrlrAEujv
7f3Mu6HXN3MvV/bH+VI7jbUoqRtyUpSQmrBGH5OZwe71bj6OroUUwTYLzLdIUKdtIMbhwRejen99
Xi5+qEVuCZ6Y9swyTy89Vj+Vi+QoRHeiv9Xzu6QKXatd62JdSDBB9M7FMgnSBqi++Yd8aolQza5S
K43SI28zp/WRAK6+FOpfCg+biU5v0tl9sCszwdVyYyWLPr9FNewmPugy85t6KRGumEPiWQ1muvyy
5gU9YOk21WLl6fpILitMKBQhwM8ahymD3vCSBVQitWEaA46zWueFNwMdOgd4bQGgaJBDPk5UvqTU
EXG+rypvZXddij1LLXNcYB1ER/J0cBGXFrNBwCDVQ6+qxzlMLWMnENCpQekqlpWnQine/v1zARNT
1mLtzN5TpyFLqZUFq1UwucWNOZxYs8rOiN4Y521cN1CRv16Pd/6gBLNCxxUCD8cV+vyn8Ux5zDNl
0HCa7SC+U/boA19wi3zos8dqyCN5Z8XmVO1BG8Xmn+uxLy2gWQAL61lWLxXE09jNmCdlXU+YeKfw
CKexoXuqqJn771FmECoUIw4EKBOnUWRs0cAkiRiTN1nKUSxKD1YhjSvlyAvZHtgVgLVwFQGdc7Wd
hvHTXkzjxkuPdBZtQwucpoc61e1FOARBMGwFzd80uh2k5ovgtfeJuZaIXcj54f4A7iWnniWLl6tV
NGgxWNqIMyw0DVvUo2ZbGulRNNKfstZ6W0SXAjvODY6jofGcTJ1+GmWzjypx3Hq4T+yyJnlFHCx1
Yt6O9oxRdPxGbjeGkqrbkNbrv1+UoGMowVNXAO295DCWU5WFMRI7x8YStghDPQwkJHX1WK2KOV+6
C9DGZxtDaQOauVgDpWjFVqnOQ1Ntdemm3vmbsL+JYPVtsLW9vt4uHRrgfWZ+MPoy4BhOF0JUe7x/
Ywx61byNtppcYnwGb9bFpXR49LteeiiMAQmoOFnZTpe2Mq98NjMaQjIKjaeBjVaxMj1lO4nJu2XF
NiCglCSkv8n8NbfjDxfRRdphWeB4eWbyBj8TTtBRzwS2LjCgWP49xR1KNrIviXvNt9K7AOK+2zXw
2sRUqDZWKnBco8TrAjyLdpFe5VtFSa07XiiRA/JYcYw+7NzEr4Sn1Pdh3Uu1uR+txnDrOtBufa2M
d/RxH/yyEDZqlBW7PlL8G1HpweU3ZfeumsHIszpPHDw7S6RaleowyjUP9Nwwt5T3PDiUcbP/H2Ya
uAw0dBRYyGpOB7xLALZSW8TfUZjeebS8BqJnS1K8ZTM5au07owi493rMS4kFCnfIfmr0Zc9caVLB
9ORqqLIjkgG3lYRIonCnBtm90Xy/Huh8NXGUcTDzRoalykI+/bi4aUIBeyFsusme8JJPpcRtOEXi
yXhIu+n1erTzDcrtjlwsZCFKVcj/nEbzJt7Cll5kR0X/3Rn7mSqUVnbV/1X95BbQ+jM269cjnuHl
QDnRPYLbOHuCkqItPtAfmrAXJQxVtAAHNbDLY5PbsRBafxpUkSY7h2fLA1OxqtyhVgKZoMfN7UEJ
hvybGOfaFxmVotE2umJqbSPXldYuxFg5TE0mf89br3ixAq386QMn6dwoUcLGTjM9+IvqAzo51z/m
0mTBDwB68wFaWd5xnZ+VgOP67Cg0ELkK0aYoDlhtfI3N3tHaaC3epeni5UnDj+HjX4ujZgj8Oua5
mIOo0A8jBO17Pxu3Cf60gSfuLSWG67nmVXt+rsKAAhyKHhueE+y30yUydjpe5KOfHXV0wwprm+k/
SjO/AZtQB8HGogBwfUwvpNYEnKnnEFhmBOcitTZTOTSAaWPpLgoNDQlEAt5SUPo3fl94XyC9mJ2T
KrH5EgA510nUEkq4Q5ejERdoA8Dn67/n4vej6MHmgP8Fx+D0+6cpsXjcldlRbuPYUSNahUHWYcjY
xRl9RCt/8lUkvrDTtVYiz+fY6WHPQMxWORw7FM2WkVtaJaIYsznNQXU7XXDieKcE4j+XBhhmsn26
UQwdd8rp93nSgMOgN2bHXtojqWAn0XNHv6fPJ8cQe8gh8YZSzAoqfz5Xlp9Gbg+hB77GvJRPg8pW
3CXiOHHu9IiVqA+86N3r03Zp8NArnEmQ0Nupx55GKDPf8nxrtp9HKSInAYzvk9X+/6X9r8yQbVAG
4AOX7+rA8CSFxC07+ngoxxAtSuF58F484Ej+9Hz9g85voFkmAeGimUnBO36R6Db+UCrjoDBkSrKZ
OpUst3WUbNrIXb0mGzjP+XJ6AIUhxcUbct6Hi8ELx6oJZkP7WMhvPf9FLL6Iqq36+MCQ1vwczR+1
tSbtdmlJAFGbrweEXgDDnsaEe1wDicRgnHamt60NbXIjFEK210fxQkWTYiaKiGwptA9I3E/DjB0c
Q0Wu86MUFLiz0Dp+DLLS8cbXbI+ZvFuYmh2vZQ+XFiPkTrYwDBSu2sWR1ilNbEwyJGrVuC3S10S7
qcS1ksSlc+pzjMXdQDEn64IOA/o6GlGvPUwFjHg0ydGQU2A1rqzGSyv/c7T513yqf6CVWxlK5WOL
piWbNpadzChspfga1c1eU9asWi6tDTA2IIZQmeduWGxmsW+jSOh45GkaiJGoIcdD3n2ta3hhh0GS
Q0HYIkEBU7f4pmSQymbK4uLo61m2qSdDKcG/t/JuHNJwn6FRtTKIFz6Lb+KJDMsQAsuSlzdZUVJk
SVscsTQJtj7NbxvJn3+0m6YnRQ8NDPH8ZjCBMiw21mCaYTSa+LGog+w9dC16TWYhGO7KxrqwImZC
PUx+5HGItAgjgGyPcTqYXVmoJPevxRDcxeKrWvW8covHhG55o4yH+Z8IcW0UJE4C7G9wsLDztNvS
fnC9QF2plX2gyU5OMkqNlHQo+vGj4MMv5pTHZ6fVfPOxM9rhezLGYeQUEXRntx/VfN+USig6La2M
yFXCWHC7SNN3qgKPzpXatNRsrOSNnzEAiZ/N6OEs4peNbLMKq9oZo1F9QlOsgqhQWcHGw67I2KhN
0A9OWUFltketbGBJoBz8R2hl1d8KMMp1h2Zt/x615jBsE93r2+c805t+XxVVrNglIka1bfSWHG58
o5vLl5kX80d/1AFVFCjvrszcfOSdjRF1Nkr0LPozsy85toreKgKdLLZUDnpaHDwxpVJf9+IhA9ro
GFNjjHYYBLVs1xVCJJ0lzsaEfXhnYkqwIuJyngBya8+UJHA3oOuonZyeLbg/8Q4FenNkmho7T5RD
njauYu2kREHD1r9BwXo7wfjy4+hp6r2VhOjssP4IT8WLpyWw2KXacZglktkaiX7sa3+blbrEGyV0
Ai8PVzLdsxN7DkTFYPYDpVu4FBcoy6iNuqnQj7mZgYhBeCapeEGkdtXAvG/uem9lj64ENBZb1Cot
BaxXrh+he9gtop4WwsB14Uqaahvxu2B9XVlZc06yWFlc6MCwwZ1z2S5bZaFpBE0vsvtAh3cbTqr8
VgnVv1MLuQNGAeaPYT6pr3UJbaHLlHxb9L2+E2bnoOu/5NKcAt1mUjkLibNYUth1qx2+WyDKKslt
rZ0qbajYrczn5SDAdZhUktplakGCluooS+rHBnRjTVeWPj7n/sp2XYuyeI+kFuUa38uIUt80VDaN
bKdqKwng+UJh6VMNp7lJrYM/nu5AVF4ReMhV5ejBG4UQKEt7Lz4gcOYoyVcpNFfW5Udb5nSdsNPg
mNBKmXfDsugRiDj+VFqkHkmhUgcw8IQ89aiJmzR8kuPHUf0uyl9F6tSimjkNNauqG7c4Yd/7Khyi
ZO3GvPT5n37O8knU6P6g+DU/R1HuVA+tT/2usb428naIbvtspdFynpECrSLpAPow22Aw2qeDzdqP
I0MTDCzERf1uiDPD9gswkR7Z3BbIaXWUU5+7gCvlqdOK0SlxTd9e3x9nmQi/AQ8nhE5oBaJqtyjK
yEoQAw81jGPC/Ui7y43Tt3+PQBuAOxj8HDpg85h/ShjNWc/KmmrzWIiC6sRsdldMijV3mQszR4kC
jCn1GISalkdqnddtjlkuR2rbbwXlHRTwnRDeqweMM12e6f98rFARoY0C2AR4nrIU9ulCjF87IWbY
TPFGk6mjZ/i9qrm+5mh7vulp9fFw4b+BzwKkPR09jJwLScbZAMfh7jarmxBMQfgkedbKTjxLgSEA
fI6z3PhyTbdCJE7cT7aJHEocfgWRvCnW/LcvXPJzJGAydCD400df59N6CFniZjerEWUcCluzrRVb
9P3EbgEku17iCYeumbw9ysTIm3mDsG3bTOP4yczN9YV5JqbAc1rFho/3habMSfjiVhRRmxQM38Mw
dxTsHtu2NP0ayJssVV89OKflzpjcshgeIi17KYbhlSbhjHpN4nLll5xV92Z6GJflnHpwCC6ZEbpf
AoutZevIG4WmspTVhzIx+v2oZPGGxLuDgepJ27LxjYM3ytLh+kBcCg8bHPlfZkShzHC6xgK9LCIr
I7zQW+iq+rVbGKSBWWTgRW8dJhTH9QzvW23ls88eDh9YMI5ACpszam5x/tVVLmoR0iXH9mcZ26Bm
vNtBtdOVitPFr2NM/3+UxbUZsvlDf44iPolO99h+6SKHHsl7udajmbfi4i4D2vZfoPmo/bSwUftp
1HQikJLblAq/Ju/Xp+l8uGgM8AymgAEsGH2f078/4mKG86G1R3V88MI3jaJkOL2b2cHTVh5P50Om
Up9D3wa4HopMS7CgNwoxMmLVcJwsNHWFFjOVwRG8b5RYy16l9ik4CGivpDfnJxBBZ7QZfnmYyC+Z
LWOvBL3my8NR0p7BuJF9IPX/mOnjSrJ2YRh5C8+xaOsg1Dj/75+mqW5FbLUCYziWUDCR/LFbM4Or
Dz5fepHCciWh+jhETleFSm2LQicFT5rUy547GlpeTJtiPHYup+l3s7QHkzPcKVW7Ve1YdxCnsXff
v7y036qdcJP8AIrf7MJtMNjF+/BePBU3mbP28jtfqvwoFhLaKNT5zsoqhS+2tddH4xGW0l0PrKMQ
cKfK1vTWLw01tUtIPSqdkrP33GBGlUBbcjzWNRT2/jEIAPBndoMA97/rB8zv/c/BFjdYa8LCwL1l
PBpTwPJ0xLxyLdG/V5L0b6b+rOq7Tiju8mIfCisr6tJoknTMQhozZHHJJRYFUe28uBmPgX4IDeGQ
xbYODOmfdz+Aiv+CLHb/lOUQicVyPFK93RlqaCf9eNve+cFmEtbm7cJWBDHOf6iHzeTvRco2QG60
jLiajkoEUDf8rtSyI4q/DGUl6biQASOeQRaA8QiQLbAip3uxMth3md5OR6ECE2fszDexgdTm5uT4
aIxvsmQlbztHjaCq/Tni4q6LezlGKISIRjttTTV/bh8nFNkc6lF4Lw/53WAW+2yw5W4l8scjcHEQ
zBL7wAbR3z1/JELIaUNR7qfj29t9aG/vn25z+8dDaD9YdmqXdmjfDy4pvh04peNvDvEmnv9gB9tf
v0q7tiUbwtTm8fnb3Wv+5ph2t/nu2V8Ce7Rlu9rxgN4FG+radujK9tOe7eYa7svGft7d3d38fboN
7L9//l5fkR8kx2tftLhZK8scjLrnizQ7tx+2t7fdVt6MG0DPjrXFI+UWrMuDtfHudNf6Ud8huak5
4UPz5Ox7+wa4vr1X7JXL/vL8fhrlxSUcxdWg6/78mx68LN1UxS6llLWltq/HP6snsHn19LyWYsx/
6WIgsDdSZ2YrYgJn+RvS8/1YSvjERRE18VDYxEW8ciV/7LllDCQpIDODzYPasvgwuKZi7Gm5eJTs
3PmFsxD/xtzPSexvX34Gtmgf1eeV+b1wDEAP/C/kfO59uinTUO2m3iKkqnzXnXifuIJDT915fZsX
7A/EOOx6m74pDPHR+WselQOgPVvftGg3iltEOvTc5m6Rt9/7NWHVMyceTvuT37Y47aUxikND4reJ
ibLRhOIopubTOLOx+6/Iwrmy0Dqe0btt8NNCIs3a1yWIGe22QjVt6retIQB6DkmugfBaRwSKbCAt
Ni1vR+ZsDUN9U3TdSoZzvkxmwy8uQ56NwPc+XkafxrPyUPeNy3I66sKUbs0QLQZzUML99Wk7n7XT
KIuLIk8tnTYGO6DDDvLOwP5ig6MX8yabwsHy1H7l9XD+8mYmAJdjgKVA3lmCyijuqB2ARfGYRzdG
1z52+T5LD7X5q6zv1dFbKZqcp6YfDpcQZedrA5OE0zUJJrUaq8iXjkgi182dVXR2WuCk7o5y52SS
sjHqP9fH80KNCqK3gn0okgJAAZb6HemkJo0U64TcDZatTqkd1ZIT59/q96DxbQSLslu9vTGnreJh
m0D9TyO78dJ8ZWIvvJxnxjkELMr1s6Do4ghQtNakwKBJx+xOMPeTKtG5wKxm/I0XAXzhJnsp9Wwj
GZvrA3Cexc1hSRSB19HFXPYwo6TlUmtN6RjVPNHi21j40WBmHT6Ewtv1SOdL6TTSIjXvCrmRosFg
pJvIbn+K/qssfs3K2A1uPHRMrwe7kHzM0cDwIKRIAU6cf82n7Sh2RoPqO99Vj5vpwWLbo7DjaRiz
RhKaqR7CYX98zofrYS99I+NFJ58eu0r94TRqaKFUp6mZfDQNGLDWNmgeDTyKPacNfwriyoBe+kbW
LCCF2T8FRaHFEV6JYTxFZi4fU/gJfe+Gta1COSjNTUrKUd4LXWwnmI5d/8bzI2hWR5g1nqggK+Q6
p99YNIE+TlEiH0vxHlRuG9ebbHz1234l8b4wlsSZP4/Ukfb64hIoPUBepV7Jx6GoHTP/GeDgGIUF
EEVuRku7waTm+odduHbmL/sv4mL2kmzoJs2omb08tuMEo5Tczro3EEiC4pRDuesEV60t3FQNm5Ko
LQQWRCA354/N8LvWylvP2jWp3Ze4XLHM6tDYZb6+S2TD0RQYTMH2+i++uALAxHJczDKcrLrTucij
VG71tpSPhbCNPMosUeVmW+D7UokObGl7BqIIa8rHl44qUnrc8qi6zO2XxVEVjFIB/Kdj3QXaH1zd
nMEKN6LiFhQTxD+88nFcqOzWQNA/tfbXP/n8mp11Kljt9BGhgyzJxpJW9VNbtTKvF1NDcKnOt5OX
xCsDe+EiwiCPTB7FONSBrMVF1FflZKaBx0qIshdvmI7lpDh52LqCniEkITKdCm2DeuUwvjSys143
tUtwokznYj71oOorgZbCMe9+I+TaE2EU3ESzFZ4Pph1mtvJeC7J7fUwvhp3VuT62GdCqRVYRdKVc
1JVAowYG01hta2F0Bz0lgTno0lsRF190YSuHd4hzrqT0l6bzc+TFKyOHcBIbsa8d86GsUEvoawd0
4LRyZF2aTq4BdFXwxMNJeDGsShIqWeQF2jHygCrEyBw0f8fyIGAl4Xfdpn8qI2O3Mqbz6/Y0pSdl
AnfCO5tcFvjT6dYUJ412Olv26Ne2uGnGFxmV3jLa9fkXMTG2/RTb0uP1mOeDySvb5K6j5j2r8y4G
c0QzQsD5ZjomcqRs2jbUD7VgVCsp4aUogHbIlWZpzLMdOAbqpORBMR3liYfQGGKkh8T+mh3X+S1D
PwRw5uxKBjNzicEdrElOvDiWjl6k6D9yzRq3UmdykWpeUNkAlaKVTTBflqfzRQr4oZj6f8ngYsvP
1qIVLz3SE5A3kDe8JoB3ij6kkJfN2mNhXnCnwXACMEmtYZazIJcdpiAbAJ/iiXmsUtE2RgoBA0/9
6Fnz3yfzVolWFuP5YJ6GW6z/oRT61AJqDmoycrRkdFiaTq19qf4d43EaaN6In7IumWaW2viiASIu
/50UyV0QRpPdyrZsBLZg3AqCNktStw+q973H3O36+p/v57NRnVssKHrwVlkKBBlmoVsxGeExRUbg
z+gf9O9F8h4jRnk9zvkOoFg3k8pgocPxWq7NpA6DUsAj9jhV/q8U3g1Xgpeu3AXn65EgMF6BV1AQ
oKh9OpQSTqWDmafm0UrS0AErzDfRvoZy1PT/y/d8CrXIe/Q0M/UCgSs60mZmG2qRbcIBjev/YdQ+
RVkswt6foi4f+SDTS7dNM2GnuyY/d2kBfB6zxfLDPqDOOp+JSQ03E4rMSQEXtMarqSfoPUVfrn/Q
pV31KdqywzjLDOU69CR6Gkm9tVqvdf2peRkt/y6uxmllPVzoNbAgaIMj10Gl8UzGVp3qKuyU0jyO
Y+bK6C56TX1fW9JGjEx36m6spt3hrXpQ5dYRb+IxscNW2kl5+8OKvLfiOe6Mdyv2bGXaKRLPBLqP
QSw9pIpuj55rIKXGKtiNcHty1e7ijuTt+fqAXUhX54UsU+LiDubyWOQZUxUiZA9C7zjkmpuHyiGs
020ccBvKbjO4qndo65e4EZKVpfcBuTw9GUyDugwdUJI5XrmLFV4lkT4ivaQcm7FCi+pbZO3h5af5
S1r8FJEV8rUnNfgjF3+zprnvlefOeunib4aZ3HaCtq3/TPGNjJN7u/dNqKqR+Pv6wJwfKODzkCcm
UeD6ppt0utdrYca7C4Vy7NC7dWnQU7CKxDVg2oXhh+5hwqHmPp71+xf5gV8KAizBUD+WSmFnNbbL
G95RxleccKvX/iELqpUD+XyH0IRDz85E9gVB9w/e26frwMqhmvleBT6rw5xCMMtvRUplR4y/C6XV
raSS5+R9OAGk68h00PZnFBcHjNrGSHqFOoDHWN6U2QSsQM52oM54M1ryL5CbEabrJjXBLjmkHjuo
aeKdRiPOCw+KXCgoyyTVjSp1481Yab+uz/GFShOUBex4KA4C3SVHO51ks5Vg83mBcfRN6bYX9Luq
8V6QnLBz66vM0wJXeFev271XJ1uUklP1TlNuasncSN2DvAZd/8gFT3fE/GtmqjLw+xmidPpremHo
Lc8D4yJ/HUhBTLQjvlvItzuQXbX2V/hb6h3r0Wj310fh7IRGvBFMGOPNPYymzuKEbvVYrlEzs45T
l23G4C1PEQDKH43pFQHu66HOl/tprOX5XIIhpRdELAV5v6/e3+phyN3aDeRdadpr/KZ5cZ2M5xwM
zhhYA2AvQE5OxxMGh5pmUUMwRd/U+Qs+HLaA7XtCYyd/W6ven22sRbRFcqBInV9wzlvHTP/bjLUN
tRRNhu+zD/H1QTzLQgiExSqk4lk5gHV7+llSpY9CYgXeMdFHu+TCloMfVrumw3bpc+ZKEhEYOcKc
RtF7P8L9IvSOhuzGlgsPIA1uzWIlzbm4IIDmAun6UOFe8g0qPq9PDMJMQB2epn1T2X7qRPTTusTx
X/595KiSge4Cng6kY7HSxahVo0KIPB4wFXpErpT9UtKVM+Xs3qAsNtNPUDwlDeVFdjpuMuQTXSx8
4ajpae32Wi7YSi+nh+tf8qGSsFjbcOFBpsioSwEiWkxPEyVq3AaJcPS+VI/SqyrRcXPa98m3x3F7
oz9r3QYmMsr6K3HPntAyKhXUeaQPKDUSJ6efBzOrEjJFFI5idRcBLxg1za7jHxhwd01mq54rF6D/
pJUlf35E8do0Oah5tMLiWOrD46wnhFqh+A/w7O1u+mM1td21vwzpDbO0lVjnpwZNDuqoHBgMLmvl
9AvLqItiIZuChz57H0Lp1Wzvxbh1gQIiKKm6/Zo78zlNd45FhYn/Nyh86IenAdsqqKsJ27AHlfMp
rX+2Tiw+4PoGAwxpl+mu0X73yGK27TNULWxxoa4IzS3ibLtw7sW8YfxkFAipW2yYis7EmqLRhcEH
c0nRZE7WeBkvlto0TrpnhX34YHp3ceFTdNK2Qv1eeG9Ypq6cB2eat2RcVE1ZV2gLsH2W3LtOo7/t
YSTykHUvUfbd679M492IZLWn15teYkX/KQU75KUCEz77nVUPMoKg6reuUNDmmkRbwQanmckd/hoc
/Hxnkw2y7mcxYG4MdbEwxAa615gq0YMUgtWuM6rRyeBZKzvszLWBEWCJc4jQPQDfvqwfT6NH8RQZ
lgdNZjM3jZuI8WF+bxaoGfrCY5OXh7YQXeObN+Q2NRc5AP4CyDf1MQBKvokpuG5eImOxGaNt84Ek
HxCg0tw0XNuX84F5egoBZp5dROAOzyJdi/wJyKhnBKMYP7SBU2cval5ty9lRQv/Vyv3eSzGcWjn4
LixGwL88WWnm0PpcEiuCTJaSyTDjh8q6CapXqX0M/ZumvoMRsHIOnCMb6KXM/wIpiY0uicTpvkTP
vERm2ssegrzbgtm2w3i0K760lzW78KsHyg0sQ8+Nx6+Sl92XQ/fPH8vYorrw/0g7zx25sWVLPxEB
evOXTFuOWSqVWtIfQlK36L3n089HXWBuJZNIQjOnD9BAF5DB7WLHjlixFmUdIOO0sFx/QRvGRtF7
pfYiCJYTjiA9avjfqCTIydHcgMvcTizEwXMNiSau+V2wWEpfH+NKNkPurUxrDmEqgHQZNPnJyyXa
yNRaddV2U6Jk3Sg0pUQAM5Xj4nkwJcGUhmYsvISFhCCJGvSmk1m+tJ8S2g7Esa6dhl6qL/cvsVsP
DwIPOAC4Do7zzQmTcr2TCnkQyBWZ1eRkRajpDg99s8LD57Vn16NnUZEMxVrcAzZLt3SAV7YWFRMa
rkg3AkFG0uh6YclkparUT3yB5we5PSRw0IA6Dp4y0u1Ol3FQuyTNdgKEwnaWxjCV6dWJUFY+ag30
cffn4zagNEF/It4AWJLS3vKR1gdhlhmmmLiBOEj7TJAHB5tU3Yt2K35YMUV6ld5cKvvAMpYNZ1kP
CKMKrNitB0XZxTOwdajosyuHcYtR8ZYtiDHBqwXKG0UCnOq8+T68dHMBhGvYRqlbADRpaGgzyxrK
3crpHnViFfyGPLxzjp9wIt24yyrj1CTpsagPhpbbVTUcxrT8WdOyLG+ctduX3qzKQ2wBTSCh782M
S0qXBEGTpq7oWchxc9VLx25Md15BE853qWodQzsoaCc2x8Z4TFLhr1ccmkBz7oVFgwr/sjjseFe1
kXMjdT3xQc1UzlyyS7fKLTeHm+4W2GUhzzFnnfU/of+H+ffVljOA/BZxjfoQqLLT1q8WfDit5lLV
Pdzfw7cPiYW1xZA0VWhbf/RzdzK7s1n2tuidi2H3HkEQC3OO9iIrW5HibRA+2yQMnx9ILKKxsEk4
VnfWUOVuDU2OHUhdvo/k7JUm1x+VOtYHLqvwMepCOO7bdNwpYw1ixzCgsBatfFd4kfAjyIStWvDa
vJNvhwcMBj5QW4t7y++UsRm7MXepRrGLQoMO9aYzaLiIvgd9Uu4ndZtDVOYwXUUCTAXPEVhnSZgR
pC+MVmak132t527WIxGl1ap89lUa1cs+9Ull1f7J9H1uL0EQdnqceo96JnzLJaM892Vj/t7YDHNI
evM1pFFmfBQcuMvHq2j2Pd2Wcu5qb8ZJeYwK0kp2Zw+/Fdjk7fCcNzaNn1so3tua7TwJDF4nnUe5
70827MOOL0So6o1Szd1hyk+lpNv+azUWu7qrbQsxyFh/aC3k1HZI5t0f8OqSz+8jyGpENL8W94kV
jrCqTH7him3zXrdjtPdKKDhkbVKPUSYaMMlO2c/7Nm9cOYOF/5ETTiLUvGne1QRqrcI05W5ICpkO
sAiR06IVnIr2s/19UzeR92yKoi2IN2I/HiHXnlyfxppYSypcw/uuyO+69X7/928CgsXvL86xJASa
nkVq4crGzvsSNShp2FXpZMmRjXLf1HwOFjuT1ry5+4hXJoW5xUol6LVHXmIUbvy7OBeXOLbNXdk6
7edA/f+0NK/fh83YSyiUJZZSuJrlGuY573ZN7Az1p/FN0HZSs+F/V3bg1bjmE/nBWihPep/M41KT
Ny3cS9pr8MNPP28mIFaWau46JELiRp//fW2nRMou1syRpdJ3IyTF/e+SiEn03yBDdeKh3N1frpWd
d2VuHvaHYZmWMBIEYm5C0zb63G7BA9a2A0g4oClwJhCEKde/bwmmmYWk/t1Ermyh/qyPD7H32yvP
UunoKFR3EMHcH9Ft7EFag+c8L0zSe3DML0zCFdk1fsxmBzc5Fc8hokCQOj2RbP7X+wyPSW6eI+gP
trqN1mYS/SY4P0n1wci5MCuTtKTbkQ1iZo+B4O9V5PTuj2zLwvz3D2tVByJMdSYWaGcU9mnsQ3Y2
ksS/b2VtA/4PCxHAYqK3ha8gWgIqomAFtkvpc6KelZoGxVM0Htt240zNe3npKyia6zDcEz+Rkroe
kB4loxWHeen6+iGAoz95ldPMHoyNRpe1eftoZrEyHXR7eV3PZtgITfYQyKf7U7ZmgL4v2logcEJJ
e57SDwszNPpY8OApXdOsHSl9zrZj/XkqFlPFCQK3YfKKBMGzcAsJcq8aearKNdoHxFho9NLP/S4m
xFeMgxheJPnUjc6wH05W/R4G6l62o9junardadKBskq61fG1snhXX7T0HFlUpvVgUOAQmpMYi/Ne
tLPgdyf+dT2APBmcDwwfYguaShf73hdyAj3JqN3hEJnvSf9UbNUMV5z7lYXFVRKlbQNxNhaUfnTE
7rduPobEs1LkI57zen+zzL+1WEk6Y3mWU6KElHEpejWIelIWadG4LZTeDrnGgHdDlJySCLTF35ti
U9JCCtMR5dBFWNHrHZFjUDfu1EuOKj9LEYmH8XjfyMo+gAdjjsTBB3CIF5sfu6M5GU3jptBzxylU
PHH8w8jHh7IvNqLA27TCnDG1ZiElslXkURe+KeprXCyyHS5SYY9SfRwNNr/6phhvBn2PqRodYojI
PUE91YJ+DJItNunbsUJuQHaeDkSAkpBrXh90FXJs1FfK2uVDwLj+l8ifPWE3KFsivrd7hHczaNc/
XLBs+cV+RLYkjNCcrl1JQLsjy6EEl49CvpUBvHX1NI8wILJ/s9b7km64QdpCzrqpcTM1snvpcx6d
9ckZFQQ1xox+0vP9nbJijgwYPatg1Pnfsg47NIrSgIdoCKj1L0J7oI+kqx2x/Vw5UylulWJvzzSk
gP9r7aYSOwChDSKpccvf/isqCEZweO+SLZTHyrP82sxiS0pQYCOyMjaunv0aI1pyjceq/CYht+nt
wpBQw1PtJvr3/kyu7EMFXRJyWfyLM7HwvX1eD5aQqo2rHqEx+tQ+bcGMbsM2RvXBwOJQQxdqtXGE
ARjLHN2RbH2nHPNdeLg/jpV9fmVm/owPF6cXJ1Vaocvshsj0qt3jnIvyig0HtbIRZlwzL2XYYGhB
X4xFStKiGHOvcZMC7g6YbnoSoF4GYv7VM4oN776yMrMqDaqXYFBI/yyMNR15XjPsW3eMsn8nyJ4i
4HPVJO20futNvBLowsT2p/MLgNGcnbievWYU9V715dYNzv5Lce5+iQ+oXB+bh/ip+e197TbmcW2r
X9lbeCUx9YQhEqXWbQ7Nmcjjs3ou9vTKnSHW/et9cWVpnuUP+0LqxahoFBFL6rvllz8nK/4++H+P
RyF7BCCMHDkJLnK1CzOtpic5YUzr9tGzF7ma4r9V2l4QHvTqt97DG+RTcrSkUzSl0NrnnzL/dH+c
f7plroMBvgDeAFhx4S0BJ3A90En0IN9u89a1zAQGYrsXFTvwH+X84GmXadpNSeZUhj0GsG9fGnJw
hfW0hWCdt+S9b1g4E1nOvXEaupZbgFRt89QqyZPZ1Ke6Kuk4mb5N4pYgz8qxhwZCJ5kGKoeLYOEz
81auexoKW1ceT8H4X1YEdpEfNqZ2votvhvXByOJx0WUw+Jvx0LpJ/9gZYDElZ9BgohE/KcMx8c+V
/k/4dt/mvFo3JoHnsqcAhN0E6bkcpXoKCS7bNnQU9EGRF8z+8bSt8sqqHQh9IbEkGwkomO/4cDwm
3QrSRFdaN4ysHz0ijmYg/Eyjf0Z1i75q1ccAiPi/phY+pp2MpAdf3brFgbCg2TWmXVSHPD+0vR0k
O1puqmY3fNsSX1mJ9DgYujK3wQBpRVNmMcQukiaxYIhWlD+F8XPTZvsSthBKOTvwNPt+ohzON0id
B9Pb8C5mtXt/MeeR3Szmhy9Y7B+hHio9RL7VTbrqEsnNuxZsrePqOfhgYrGObWRafQakykXtYV9L
gW11T6q+MY4/Afi9gSyWMG3LETpKrCin8HsNtf6/PwPJplMZhvvSTgEiPXanhPQxWdSvlOTrU/Ff
/jMbHJ0WX1Q2qQEPTvTfJg5la4IX14niBWHut2ytUc52nbQ3+q35Xd+9cHbSNgbyF+WI610kQU5o
oKKHdLxsqzH97UOwq86/5OHQdnb0Iz7Ln+5vmtWT+cHg/PcPJzNUoFoK9XlMD8l5OIhOr2y86W6r
fvOl9cHEwl23fSiiymzNV4b6OSmfQx++GQeFxqJ5IHV/1hL9IQsdlV4j+o9eYlN78nWaiof6LBbU
9dXOVgU6ilHKNPuNTMtK2Hj1bYvoJymJ53qT4Zf7oilJT7zqr1L8Tk+iPeiXsZI3XhSrbgK0LykX
A8CKJC72dlDHba0Ifue2zSdxBBhjhc9eOCO05Odp+JSRuJ/IAaZifaw08TQExRbjyNqKEz8Aa6UD
hKBl8STUIZ4bdXnqXaGvbMU/1nJvK9UvdUsbZs1XzOJgCNTQmqQtcYRZDf9QbEk9UQppFlLrP6dy
3Ai71iIB1C+hnYGmaSYRvN69CkoulWxEg1tO5T4Snwx5PzSXYfB2xbDfknJe2ys0vtLKySONktrC
v6ZWK3iyng6uEHdOH0RHjZ5XPHrZZI9dZNglFPXiuLt/PtfeAh+NLjxuJVCGT9J44LX2XxAfDANM
1Vc9P/Nwu2/oT51j4XUJKpFJm9GEQD8XO7PvoPPPdSwZue9UYe1kZnVqxeYzLek7L/6pZt+yxi7D
2g1pJ0UX/KhL34rwRy503/XQPE4wyOlVth+kxCkU71Ai6da+NSXSPmK6FdmvbGIw4iQDQOIYxs1L
QtKCAFUh1iIVT22+07+iqekPe2tMnDT52ezTXyF95f9BmDd4v4LS7jYSO/NkLCfro/2Fn4aAe6gB
nbEXIvlcGsKbOfw91wEIabjAeCjhJ0hsL1yzUYVSopXl4E5cAki6fjeVF11rntPcDSbTrukMy9vf
wOX3xqRtTfC8mZcDhJF+LlgD1yYbd32yklZrVbgcRjdprd6RzfEkIjlLd7bifRbC7qeowJzlN8Ix
LOVyH4gocrdGtBsmqd94cqyccQ1GKSaDrDt5/sU0dAKvniaN+BJV/Fbm/4lWe0HK2ekFeuS+i9ZW
g8SK3wLtSJWe2ghpn+XrG/ZlTe2bbqT0WDiSP5zUYt8ZvTMEiT0FsLL6D0D7xuJHqv5TlZZb/Wh9
7yGJtmjTblshGDJwb7QV5qrkjeCJmdVm4tfT6DaZG0FE1wa2rDwa3dE09mNz6AzrWECABf35ee6T
FcODCDGu9F+m+Ru7fe3Wos0U3Ag1dLSzxIXr60zZ8FtxHN06f2wLYqtiZ3X2BPDyRe72xvNkfjX8
LbqftS1I3YbqAfE8kIHFGfOEaYSRMp3Qrir2A1LLQYtIDxJTE6UCwJUmCUbZjv3JLpCj9wxrKyG3
sgI0YMwkcUiesgLLPL4e5kNlaMrkltE/kKo+1T+Yoscyskqn7KGp8gpHEJ1itGmXqYST38JR5f/b
Zdm/Qfzzvnu+dThQHpI/hnKVdaC59vo8msqIpqYsTm47AKfVy+kMW8dWRfDWq14bWURqUpxpAdoT
k5s0Dzm0UQUVrv0mE/eaFbDqkDHA38KlvbjSgq7XlKqpRFeLfCc3ZDtJ7d9J9/nvJ4ymaNYNjDD3
9SKyMyMEVzWhFF19HB972QhtBXqk+zZWEky0knNr8t6kb8tanguhAkJJ96ToBu2DN5yQeQuF5yZ6
SVBbmojcFMt3AnWrgXhtL6DoR4UaIN2cD7/eC3IRoRLkYRUhztHupzHeGwDFN+L2tWWCoRYCCbrF
ZrLIaytBbGgJnkl0c36/ir0j8L03FNB/FEG4vz+PqwP6YGoxoMnKErFJNNGV1Gnfjc9oKWwMZsvC
/PcPzxwTwWilLFUsiCPQwjK3LSXZiO1vLw5yKH+A8lSu2HOLwDqIQtmotFScMTExcoJi+ZxL08ZA
VhBNs5X/aXimG3IZFYR5l7aFwenJOnjyLN5Era08yLvsoXnOvhcb5m7njbyXSkoD4icQP0ucjxHU
ncSgZNdHFKKpjgkyzvfX/nbW+GniDDKaoC2AoV6vjFULQh3VieKKE1i9pNr3dPil4LPum7ndzURS
PLjmgjc32LIAMVSkaPNmUt2xgLVGPDd0N03aQxhv4WlXDOEL6DeaKc54lix8qCGkctfHkupmTXmI
9PBSeOZvpaaXpEn/uT+mlcXhEYcSHfy0NKosq6W837IUzRbD5aa0A/F7gSO9b2FltwFgAxNN+ZDa
L0oG16vTjKqWTU1uugY4vfSpKcfX2pPw2r1l11Gb0QQi/NDCHsTF8GwhXrTxAbezCToFD0S7y+yL
lhW4kDbIYVJDyw3q57YVkRZ51itSeOEG/nfDzrL2NoydXwddYLlCEDleGNkdWF/ZOnfJz/szehvN
zgNCfZTZpJy+jC6HUZSrsYstt7CeR/mBRIHtwfbbZj8kXzrTuv7pvr3bft95e8wPcJo06BEzFiuY
61oWQ1ojuFrQQLYrn2rpQcz7S2WKdpt2DuQycHDRVf5sTa/A/+1a+LfoFQIZGFmA0IZ/H9Zdf9C8
FB9csWU2spGIpuDKr2ViC1+1xj57jeN/zh665+pZONyfgJUJB80Fqw1VePQ4lhOuQG4+F8eDi5EL
u0n4EbfKqRLKfeiNtHMBwduEct/sJQzR0TiLo1M6pkx9PUBT631P9stZaeTNGlFvEXxSzp0h/O6R
mr8/unVbs0/jacSGkq9tNVVbpYHZ6y+tqY0PYV2/mzVShVVZGYdIU5KNyZyd19WrcCZ/oUkArDxx
Ma+Ba3NVgSpvU2lQ8Xe7okXPQD92Vfem6t4XvYu3rN0kXOZe4bknhNIkcFZx4Ur9olCbGj6bl9b4
qhv/dKX/qFV2Y5TwspO6Uk1Hbbcm9HaE2CS24oRSX2Mdr0eYVF5OOgZyjKqbIOEtmwux5bHqPBLP
yag5mkWT2f01vD2i8zg5FHODGbWlpR/v40wq2rgxX8oK/mlsnnJDr4+5L0onsB2PSutFT0EsNMc4
z77lpBwcqN0KWwsm/S23SjQp6wtoJM/19CnZld0m5dbNJa1S6uMum9cdrsAlZMboBSuEp8d8iYSG
bmBovvw2haYgfduYCuVmg2EICnQiW9yVtZyKVJA61Fd9ZACeGe+XqTlClt0h5du80xJjh2/K7/FM
TlFttjIeN5cpQ5y5zHjg0ikMI8P1wteVpQZdW6AAECX9QapoXKTrz9yIEW8bFDDDU5rwkHcD07kI
dzTLL7wqUa0XQ6z076PfctdIgWp9NeSp/lk2KU567H3r6wRDRWm3Xhj7toCvKQ7D2MNh0oaBkZyC
Ke+OaWX2WyIia9OAeg+C4giVkA6c//7BO5t+LabtrCsFg+z0hPBWbgfy2B831nnFjM4NSF8CoGEK
HYtp0HN4KGrZo8ncaIrHieDfsqUqBleDiK2tT3p+jI3R3Ktxr71IClDpTC98p+nTdi+YkbEvWjlB
5Tne4lO88TkAO2cW7jm7OHOgLTxcXQ5FLEZx6qaynLyqYSAdfS9pXj1fqp0gpNeRziB4Mc1ypC8L
Zoz7E3Nz0P6YR2p1FrkEfryc/gCC7LYIaEMyUmuXdWK4jycvJKlZ/jUcUsfbmESOGsVfGV2a65Ue
yzCBNMwMLijT9P8mKQF+F0rVaawTkfaZoP1xf2i3j2UMzpM7tw3Mz9bFizzWM61NQj+86PUvdfjc
I+4MaeUhfC9k1OKC8uAJjqBuMZbd3JBoLeOy2GR0Y+BhFzvND1CRK2MzvGSKWp3kUvYP1dSo+1iv
Czscsy0JjJt4Y2FvcSP3yNkVPNsZpfFY9p8QRY1pAtHI0Topim735/SWsgdrRDWAnuntgN1g6bWa
JkhqMtGX3kGZ7mTtk123gxR3Z+6SHdybMKgLzqGnKPpN/pVeWsnRMqffgkXPVq7CAqKPOd4hnKUr
Fxn6660kSChftjRIX1KNpFyGNnDUQZOiaj/hJ/0ZB765EYesLCohnTF39syNhMtjIreqKpRtklyU
8Ema0AqfLu9jPWzM7tqOvTKzcAZSWavIHKUJqg3+ka4wI/MfJT885vE+9z0nofrdKuapkMyNZ/eN
F2JCP45vEYUgS5YMRizEFxFVe214jBK3HODcu1CDslEE0KNif38nrS3hR4uLjdQLcaNyOJNLNb4I
VrVDydR/FopDhcj9fUsra0dGGwl7UvoGj9fFpBoCEpRyKKcXtSKh3oXHNPyipP3LJNe7+5ZW1o9L
BrrOmUiIGGtJUmFWkdVMcpxfxtyA5UxzmMdwcNAXi9IIeSUno5tIi2iK2zA8b/jrAwGKGZzWH+IR
4qbF+vVVHsq9MUHZUzffy8EZJxsGdsM6yMG+Sc9SUtqVeJTC5KRv8u7dzu+17cVKWkkzIGMlYXt4
CyAUTLJT2vrO+M/GGG/gSnT88ICdN6pGxXDJHZ1FeWNGcZlfBOlSaxC/1v5x8J4i65GMMTlRmBIu
mvDrvtU/D/Hbmf1fq/PJ+RCfjGM4GFme55cOBxe/V2/az/g1crtHdQfzq5MfQVU/5QfxkdZdd3wq
XqJ9cpwu4if503hsDtp566je+vurafizBz98UDqnDpq2zi9SI+wEeHm0QXXS6iyJqLxMlYPE6bf7
c3DrHK4tLm60KhgiX5yY+K5+9UXc/PSc1Ycy3IX9C+KItFoc7xu8CUqI0sCicIjmhD00INdz3qRF
1hGx5Be4gZxOEna+KZ/SbEMmaM0Klwf/cKeRCZyfBh8m0qpL0yrzqbgonk2UJXzfxO/cZrPmcJP9
ikIl6SwgjNcmPH/IeK4H5UXwYE+iCNHtetRcbUWplX1T8t/qIRZ3+YDua6IM6T/0+6RO7RvF+f6M
rpxRKpqQWNDr/edRdf0h2eiFRC1acQnVnvfaLLX6QC8JtOtbhBUrs0p2gPqxRtDBW3qxdnlBoZa0
XHHJ29HOxOFSgUOLaBy5P6B55hbHkrcTSGHuY1Ieyx4RS01jberS8mJmSXcoAxHy53baEjBf2fk0
nFKUhbeOnODSSh1MZVyFY3mhbH3QvP4BqorX6FEIx2+SYP4Yk+lY+hun7bb2SZDx0ej8UR/2ZdD7
Y5ubdXkZhfwcR1/KiqxY9ZAKnZ1Vg21oLUDw81A4mSC8+1V4uT+zawtIky1blpoCGPfFsehkYwjS
TiovXqMd2qFxuq7dN0K+cVeumplzLKTGKVotbyxvIqdlFWp5CQQKuiU4O6ExD2Oh/3t/OCvuEuTy
/9pZ3E5mEGo9eIfyohlnuaxohv8sZdCgP+WJS1/+Brxr/rXltjRnqrm5OZV+t8Xa+W2bxoFWVZeh
zppXNY/0L20eWw5VQ7SwcrnYR1K0RXK35mYATfDgmDsFb+mjjIRUa6mm1UWLgpPYcLhLW5N+kVuN
lU+wc/G+aqfsKCRb3JUrkwuHNmVVAEpUPrXF5EpAFMwCVqTLpOWIOJqfu9LMd0MWv2o0tIaNaTiW
QCX0/pLenv25OCBjlHcIOZR5a304IDEghDQR6voyGhWICSkJvtS6Hr3et7ISzM0arQR0GtkJUrkL
T5aVqSiEqcrg0jE+1cGoP2ilFe4UQfOh4hHrT3nZD18ioaV/W2+FQ8z797TxEfPder2h+AjyQ6jm
watPZex6rHpsNnEiWfVFqUrZRnidnFtl/ZAgHj5PI8hGo5v5QzwtdfKkzfeJX1lkY6O/buCcU0hk
J3lNU5sBsnX9HXkN/TtJk/rSkonYAx5pTlOUlhsX/9rKfrSyiDQ6s6JoFZJchKu23/NmgXRtrJv9
/Um9PaTzWLh4Z8E1iBoWVjy6ueswZU6ltnxUGi+Cykn/FcnB0fd9zQn0dgPic+vrMAghBiZBbHNe
ridPLsNUESwMauKIsHog/ZIlL6dlvTI2vOrtPc+DWKcYKANcmtEI15bIcBq0MFbNpa7+7YYvCiqf
6XvlbfjUlQm8sjK/Rj4cwIzM76CUeXMhdYfqBwyFdoBOMiyHqWxnakxbSIbY0/1VW+4NwhGKwpSW
uI/hnl9m8MaKjj+r1aoLuJkeMcMSyuAkUDcewje+dGlmMTa5KbJpKE0A7WYNFxRkSIhy9/95KJjK
9asR/DeO9ZlOl/wv98jS7uLanfpiSEgVVxdL/9JHx2Z8H6Iv92dw9hUffckfE/McEolSalg6NF+l
MpzUfn0x4u9yjfI9cFKE4Pe0s8D6TXeNqtmIRm+s2x8566VZPAdglZnjgJT39W4pp7QqCm/EXauH
yA3f5W/65/C5e/Cest+G4z/kZIxU23Dqc+I/RMOGS1nuVZnGDNwWFXKSRXNZ59r6iNSh53mUVcLE
1n5lfXCOTH1XStpOV62N0OkGeb40tvDWRRLIQepLzcVKSCIdRJgC0BHMRtrOOhSt7EmIx4dhwDud
1Gww9L0gZ3XgNG0FR6hmaF549CSrm7vXCzk5eWVtmE4Sh3TH6SFq4buiq8XpJOsJOB+l0OvEKadu
+n1/nyydCKMAAMpKgWqkKrJkzeJd6etNMnUXZeyio0D55xiPwSNNSNHJG6ts645bWaL5YHPVkswD
wbA4cmGR90qaJP2FzkD5OUwb4b0eU+Osh32w94Suxr0UE4lFse4cJS6EXVEo8PjqUefwvJOdfJJP
UVGQaxQE+RxhjNAr3ey4WSYgmJeZkFGny54oC1d+vZV8YVQHqIv7S9R6lq3L+aNmVfW3ZJKqp0SJ
FHsgTbgv9Tw807QjPVSIfmwAI2+P8Iz+msvrwL+4ZRf+Peszpchzub+Evdo/kPZ5EaBS+KpWRbMP
hSF329B7N3zlRdqW0vtTirw+yHMJCc9PNp1X7RL8nshjQh1dGS6RL5dulXjDQZOVkfJRMDnEKOIh
VmgJbCWhe7ImlH71tAtOwLyLfeoX/Y8oibKXuFFkJ+oF6DkTrSeBgYqaMtSGHfdoRyZBiZ8tKuMB
JboS1qYufoH+sHcaS/VsHkSQzOae5uji+EkPJ+vQiZ1/Ejr9rcrLzqHhcy8QH9p92qDslGX5xrNz
5XqgGgt9L9TNc4y/BOBlflwlgRgOl8D62ebyzh9Rgg2+IE11MmP5MnigseQDgeAbX3j/WK4ckyvT
ixuCIjEaLyOSvpmsvWix91bp0tfBil/q7iEWSLnfN3cT/87bndL73PdORRxu+uvtXhdw3w1iMlyk
KELpS91FkPqCkHUSWbFzoXGUJj8LBbAVXz1s2L697K9tL/a5mnWtURnZcOmMEcWuksacSd51ybEV
fqSe4ciWtxsz+DvUOj724cEQTQfItJJsQR/XJv3P6wY2WjpLlqGbFYlTVw4V6x21Nl2oInFAR0/f
WP8GcbERfKyNmiuKjyUDQFF6MePGaNVK3U0csEig9uhp0kmrrOrv9xE0j3OORuH9RK/M9bqaSpBa
ZmQOFz3VXrsA2V+VBsF/VQvql/eNdVyZPopwKqBO/BW+c/77h0gxN/yGIpI+XsKmPIWBZlfml3I8
qzTmjL1gS9b0oNWWm6HLF1B3ZqyjFdi5caqNXxnA76xKjvc/aRmL47t5qJJ0oIhFYm45x+NQeVpR
htPF91Rep+1Qw5oL/DgcuYjvm7pdzhkvST8Fg+fyXr6OLTQzlWxKpwsisr0dEvzvvVzJdvetrAQd
XEW4I7hvAMqTBFjMcadlgh9W0iX2u2afJGFzLkQ1twtT7Y/9KMivI4V7SKF9/+CXirGjJ97Ywa5r
7rRu6o5S4hlPUWr1B9OrpKcU8c2jIfaGE1QtioyB1CqvFkS+GwHvSlxIogTXopHqpctiya3RFclo
dmakXEY/3ZGxUPfBrrV+q62tFwcN+rXRiWx0+6DBCHcQLGZfp/ncVXaxlUxccXXXnzKv5IdtSl3c
ELSUT9EfdCc7BLtL9SOyw0O5FerMocz1FYrWB3E0oAxIP2/oURSrj3tJyZQL15+d7ssHaRcdfikP
3mPmxG/3N8bKTscWLz5cKVS3y3aGqc1FX5ew1RDfZ8UXREorawu+dBsr/hEvmSG1bD/AQdczB0Vq
F9RRqlyq+B3+vkM01vukR6Qx2Jq62S3dTB3hnIZw+VwUWFgKFaU0Gz1XLsk3XTgZ+/I4RsesOpBT
Ex6m3OlPmmSnW2TTK2eYPCgU1xQIQM8sSS2jPmSThpN2qTT9YSxH1dG02Nr/9Urhh2dFzRmlYy4Z
zxW5D9UhrsxLI3XVzoibxB6r6mlqwi1F+5U9wb77o2gD5RGR7PVyqXKXyIMvm5dIE8KdZoTNTm3V
dGfl0NrcH9TKzNFxKgLYh+qNdrLFZSYqdZMGkWFehFLVkTKRTRQwhy0NtdUBzb4cCkoQdEsrhlAr
TTEI5iWtlercEYWG3CJt9E+DpMnr/RHd2CLunbVZwBuQRqG8cT15huAXSREm1qWWxfw19vxcOQgy
gux2RXPeJpXorTnAMtR0FeiL502xiIFC2t/MwjAEYv3EtpDLsbzvhtIjl3vs29RW4ukylgeVPm29
Km2/8o78p30nUJb0N9DKN2vJ/ufccV/SEQSKeLGWUm9pYd0l/uuYQ3uB5NXvePK3RAZWjMA6Dikx
L0D6DZZpObNE0l2wzODV3W/4jq1fXux6UbAkrn1+mYjD2brGbjzgDIP58Nmz3/pwdxhNm6f0NQav
Y/gPnuSsqa7wNYY/u4ZTLkGgWj1r8ecieMn80ZGrZ18WHwfdqUxrI2he+xBaDdguvExAHy+2pyil
dR3hjF8bNToFYUITTdUUtMYamR2HW132K9bIw/F/HoKU45dNVYInCQnMDNFr2U02BxNQYbcTA2jb
9/dP3aohpFqIwrlAwKhdzy8+t4jbyoteTVN4nKb+ZKXTz8iMHcPfZEOYp+jqjlH+iN1QV1BgMOOl
e21LSxPVpMk2eg2j4DIU39LpKHZvbXLshp8agaKo25GE7BOtHBM5M9CilAjsCvX16D9dSC73R35D
zoC3IQHDWnKLUwy3FkPP0lYaa7GLX0eCv2NYR5liW1Zf2EUfPFiRlX0aBpS7ZYusdSTl9B5rcXDu
O61/ZCoDx9fqzUbom2uYa0MCrzy3J87cv7PX+rjdrQKh4UGNX70++YwAqBub7X4UO1v+nFeKo+TH
jLIy0WNnigFc65OdbD2TbsO1mUWPBJVIzYnSr7SIeBElSIIGVbDXXH/kCfsSxa9lfAzUc26ca5lt
KIBzEWP7/nKs+GPegGSo6E8ml/mnbvth5DBx+SZZlfiV+NkOZ6WA4ncbbOGiVnwVNzThBnUQgoHl
2LrAFysNqORrKJmDU2Yiz87OFHb3x3IDAWdrGTNlOdS2KCoDfb5exiIyVE8z++TVk1OUsw+VRvo+
aM6ZdlSEDLKh0Uk6GDPywZaacFeZj13yL2jLXQUgTBWeUy/eOOc3de8/nwTnHbHdnHVUF6uqB1qh
eQ0g2CRI3izPPHd59UvrD1pm/SqLzhk9zxbG06j8h7RnE4+H+1OyNvGEsTOR9VySXnaeCUKf6V0e
pK/ZAA5YGhBR0nw4eO9bWfFm8FPM8DBED0kiLo50FKlZL6VN+poibqWU4XmcPk9p9Cak/0/jAXtC
EzsAWDJ31yvcUbvsAlVnOrP/w9l39sqJdFv/IiRy+ErocJLN8TlOX5DHMyYVUFVAUfDr78Lve5/p
ruY28qOxNJYs9abyDmut3aF19HnI5c4m2joQyEFCbgPFNIxFeVZLY5kssyyblIM5EPWT+zOTI3TH
tXaPs7d14gG+BMcNk4eXQPVbawL40chom85HHUIuk3uo55N006x8Hc2P2vzG9D8/7ZDDA4gFwwMa
SRUrBvh1aRrA49NamA56dgotDDTrrJvv9zfETUYXpxxtqPFkow2JYaobggZdPnd21aa29TZASTjS
kVAM3gcoFvJXbrKdYW28cFfmFKcy45W3kLltU93poO4xWyIe6fBPOUMUn4iAP1h+rv35nodNJEFQ
g0HXXFux6YreyIwFNivjn2UkB8emkbOk5R9DoVfvHJ3xcK7gLKCFlHqpZVmj2aRv07yMhio4GHMi
30E3a5FF0BEE31+539pIircAc/iDzjWI532l2pO1foV2NU2XVmTJn6zSLpNsqMVHs29lrC9+f5xy
XcZDjioip6Z9YNw0I09z0Wkkr+XBRvI66hy0S+Oa1R/QusoC0d4OIllR98yk1NcuEUVsTq4TVkXV
PepNb5yCbILkXY5+X607jAeO++pQBnJOKJ3rM69o9dSz0gkF2APvxFi8KMOkAP854RLPi/a1ZgY5
8kbmoRhRbNTYEOeaWTwgtU0fTKS3P/QLR0MWbxyP96dsvcLVGbNQdEfjFx3pgmC9gy+eUG7itcE/
dulsN83Ryoz2AJ9fRo6HFLNsiHEQ3OPvARn39v1t4h57w9ZR0oKDvJJllb1RLIHVNzbithGyDbYR
CcM8+st5KlPpHGtexUxfnzt6AN35fH/UG3c+XhSQWyB7iVDu5q3V/MVnQ9Wlk++DPvVZlDT11jt5
55xtXSWXdpQH1HRGs0Mf9i7N2MGq39sPuq2FXvbVXyXDxV/Dnmr41l1yaU/Z/wP47TnAN13Ky+++
eJ0gVB881ASZR+ye+1O48dQg9QMw5do0YYVsXm+czqtzoImCNmVmaZ+FX6Ly4qPn8kSGf+5b2pxE
KMYixwQp7Zvuc5loOtI2GJQtnjrpRD4K5W5VQF7vJ9LcX4Aa6/cyoebW6JCOBwMKPh9k0pWF0wIB
x1NouCCL2KDnvCxCn/8o7bfJHEOHVEnenHynPvhd1GVFPMHhrkLnhKg0rLWHfIzgZZtlPARPs04e
XIFebw7gJf7b/am50eJc71ekWeD+Yy1QCVQu8qHwg6IKcOHReCXrRgCQdjyCo50n+rn/Cn4LOr8V
PATR99N901urcmnZvF5/b1z8MnPqLm0HP6KLe+hpHS+o/Wj+dKAZS3RWfAYNbudEbe1wUNJW5VgU
McB3vTbrs8YorIp2qQ9aRC+aqGh/lcFPl7xVwev9EW5djRemVPdzpF3LuYm5dbjF8TRAn84g07Pv
AuhpLSZPoI6BbuKk2VOS3RmjmnaRqDm1Wt/hTpbtp8Udw9l4oozGsvxK6r/vD3JzGS1c/GvUtjb/
up7P2mrHxRW8S4usDCn70IEBXn/Q/Soxg/JlIs8630vPbJl0sXZA8AHgjN6V1yYRaZnUHWuaLtDH
h3QaO7VO04SGxeyIFHJ+DISTh6jUa8dCLvI0FEV3YAG6YEzWAnVSt/x7mYIx7pk9nHxDkFObUXEy
8cRnRtHE9ydo66mABBPKOAAp4J20rr9WBHqGhCJeqUwGAiS8pjn7BLzgvNNySDPyPYDz1s2zhlvQ
+AEBEzRYxZ6/ULJoDU3l4SyjP2Xer/fF5a8rp3YhRFplhl+3/P5gTJ/q5htxzlkGIR7oTR7H7ofw
85j6YKqk9+fxNyFL9TTQ4ATt7IC8RyttJc4aaRvMOEQ0HRaaZPUjxJo+DVYQ2aWfMHP8NNZ/Qy7H
lQ+SvzIyhsHHhTzODokQKsPbnx4L/ajV6AY3PUASHZLbD3kVNtqe5s1W0ItfRPIbVQ2UNlS1gMKW
fRDoEt8pcnEsuEQITkAUQhOxJaq4SR4KvEKhNCU7DY4zv5jV3BxLawxiFOfMvRVb1/tm2nA0wWBa
c90qxMUemTHWGqWpTfOEGaeehVl+br2HVouWV8ub0Y/wpf65s1jrYtxYBUnCRD0Q8iKWsk+Qr5qH
xW9pqpfGATD3DpIR+d+koKGfO/9wKpuISf973R7qVoaanz9P0xRNdMFbrH3NIZJms/xEtV+9hWZK
u1IuW1cIqOFAQCD2hESa8nkUfa5cXY40nej0HX5jEGk9xBxsvxnOJoUwiVX7AGsJzU60set38hK/
X391drASqKRAhmtV4r4+o4M/tprfMgqd0AUCnkw2yABWfj5+CxB9PE3MzVZuyYJekdjdJyEYpMsC
YfXnoapMGs5eTh91u8+/0HZE0R0bSjxJ06bTWsuCmndj1d/ur+imt/0bEo6rDOQJVdXArfScUVvH
PjLnh86RZ5dlYdXCCZ3ypPlkuY9FFi3cjiAmtfNmb+UK4OpDIwv+GMTfVSEuAxp2XS1NzNfX+pGE
Pv6zUEneSxD8H2P8147ymA21rL0qgB23+eVlz4W/9tV4JfTbwv0IaIIkcEPD71+CPb/79tLGKVlF
0VehGkyvcrcx0rPWa3BcSoADoYDjFX83u5yCPSPKy+BLEiCbjLvbTPOlC8Vbnz3nkx8KTuOqOjXk
3frmOU81vD/AuuIOLqG283avT/P1xkesBtAN0Cpgo9wsJHNYZg/zhMfJJgerEW9C35PQ2tgsiMvQ
hQAZOVTkcbivDxdkvXUhecNSYy6iGiwU0tkhiB3nsnkqcsjteXPE9M9dtjO2W6/r2u767xeRsF7U
E9COsOu6jwt/kMbRDo6VF1l7MK6tdUSOboV0WqCHqoC1prN8rc1blvZOgEimGLNIcywGdmq+i52+
vccxKDy6uA6RgEFzu+tBcamNEKzlLG3RUrUc7GeKJu3eyq3L8VwxeqKV9mhmEJMN2o87N87qGamb
BQKakByCWuGKKbq2zbJlZhJUrTQAeBU8fzz7nl64QAJWYQCGpGRzF/cuZHOrvidJK0se+fPUn7ue
QysYLbXD+19069BjMnD92ChWAOOiJhwy3HbOPOkstVrzE7Cqr65oMf/ez86Zz63dnjy5d/OtD5E6
B2t+DUahqovDcz0HjimgHDF1LBV9lXgFWjK49DxPKZLaJpvjCY4uyiJRDX3ddkZjzmzZGfPWZgOh
a02argwyW/kAawR7A7UgbDZ3hJ9HXCjgu/Ac0KZvb6y3njJEHS5MrZ9ycYCqoemW2kCHEtEt36Ws
4Cr8yifyK6fGw+LxiFvTU+kGkW7Poaybx17YUV548F/04+ycJN3DYW2NHWUbA5Up1EFuRBLHmgWs
9ghLIWQS6kQPURcVtN2Z4a1hQ6F1zaWiZzYihOth1zZBwwZkXlI3E8eemmGvB/9Qm56gHZDc38Bb
dyMyZgCUrQtqgyJ7bctmulXKMeCpn2kJ02mkCz8lAw9lg1zZIrS3rtMg28zqZ7c43De+cfcDCR7o
OD5gzAC/dG0bNYDOg0wjB/LsrXN/zt6Oh7Ixj8i4gFZlApqHJ3T994vtQ029lfoy8hR8Zs0EvmJ5
Nslzvgcf2tgUV2aUG7Gwx5E6Bszwr1Zsfxzf7s/S5s8DkQ5cARJjqBZfj4L3szUu48JTAkqMTpIZ
QuFot/VfGIHridw66r1QGbw20uteSSgwsOli84gVaNiDgvj0pwSzlZICsMt/rCibjY25b8wjrPDY
Dv/80Fz+tlpj0UsxoOMAVqFqxMEjWqRbv5j5wy/+m0317xgC1WfK9ZKRCXaW4exnkFHKeRhUR1rv
3bMbyIB1toC5QzMB3PVqIl1rx2qqOhNHkwCLACkbSyCb34SlBkBQGEA3GSq37RHeZ/EuhH+8vyM2
D8+FdWXbkbKtJ4Z2pSm64kSWhYSfC0liAZ4+ZKHvm1qXXXnSQHjAuw4CDxI4avDTSrvMup702Hyu
frCYRo6aKaCRDfAHmQwKZUZTX7vIN88u4GXJfetb58uCMhLwIHhO0SLreusDfdUZHSg66cxfwXw5
EFGFy9ztWNlIAqykRwCsfjc5Aj7v2oxmtP1ourRPWWmAjMjEobPMA7poPTrmeAhy7Yk2JwgWnQN3
jKvFOjiOdro/0t+R/c1EQ3kT/RZBW0Y16/obTA/iUobP+xRq3t+o/+wAZa9rejIHJESzxxHpD9pq
sTOZoen1bcgM9qQt1qng+UE4b0axlxrZnHsEOHBZIdsFGMz1BxWZ63cSCtcpiFuLU4YCdOZi2Ul4
rKO6GfWFEWXm824GM9MQfappy3F2WejPLxb/4eevhg7VlJ2F3hvS6sNePDp+UZkaAYIu1QYKsuRY
h7ObNma3d2i2zucaG/7v1KluGNG1Cr54nw5ZaLdvgb+Eg/m13b2G1tfrdvZANEWjKmi2qv6+0Kld
jCBCp4iS0GvITPLiDAGmsDfsZHZ2Jm97UP8aUzZo2XRO4+Qw1rq/guBb7r+jhmwhlXv/IGxdOGvp
GGoZQK666raTrIPTIOchZYiP9PancL4KAPcmedTrNzN/rLuv9w3env4V7og4E8gXpH19NZwvLbGY
Dlq4wmtnUTm1ce+wkIEGAbh7oJ/qp2pkR6cuQwe4lz+lJkPHd4WHrNw7YLlMlTDsz3le1h1yWyR4
h0NX8SHshfmncwreDGTkQXqDOwnZSWXp8mF29MV1kbAYX+U5P4/uwcuOhvZoEREXezjSm1OmWFM8
CVJrYz3rDgVqLjWyMZrsMmTmHrz5thi2mkEEsjIYsHrqY++1QVZlgU9TpiEP400ui4jHHmSuayFi
MPvjZFWgNCDQPDV+2x1NzdQSn4zWgc/DI15LFiLFM8XFWvu+v6U2ZwDYrjXqBzpO9dgCyHPWhcho
WkR2/Tdf3tw9Hbibk78O/sKCMsczqdBzrYKFvkQ8SduDhfuSOCG6vj5b+c5wbjNt19ZU/21kTs7H
HtYIBSEUYtp2NURoDRbVnf+sdyLkyC4OVRHidmCecbo/mzehiGJdeYi0YVrIsHg0dbQM4pTukkWl
R/eK9+sZuLpLYQVAKpRicPU4kLlS3gY4Ob7IMEa/OS70VDknoYHHeG5QiPN2zuOmLQP0PmQmDIiw
Ke+QvlRuV1QaMpfejCbBLJLZsy+eel0/sa56A6R/L2zdXEI4FmgA5cLRuSGBW3SuxkDWLHUgowHi
+d8e/8QmI6E1+n/G3DOSfp6GteaWQLwivb+Ct5HsOrloM4R3Csq3gGFcT247Q1is4VjCwkZPk+4X
OA9xZw9vhdOlstKehWc/QHfn1V325D1vXq3flleeEzjDSGUqHuTSdY3h1DlLB6YfB8hmaT94Hxwh
SHe+P8atMw9QjYEOW2jlBsnX6yFWBYcaEUfqRSfoaJ4z34oKnwMmgWriznm8PRA4zSDDQOlubVai
1kPEOAvb7wyWkoUskfSYCz9m2OuFvGdF2aRdqzliKF2WSjPOtJCx+P6EbWxJJER/SxAi6ESdUjlx
GiEuXlSPpcVbP1ZhJ/1wIkdIv8+FFbnZQbKD37wQ7fN9uzfdBlHlQvtLePmrKhi0OpS7Uw62Vxl9
ieiJm8DKFHC0HQkXrdSpdoTYi4lqtFuB9l9P8QT5EnBt0Q0JxAj4I4K8A7gLScac01fLLmTCW/1t
gTz1aUaX1GjSp+bQaOzAMh1+mK2/dnZePNezZ0FkiUxQirHFoeQ+pDo9je9sjPXLr++wdWQ44Ci4
QlNN5TEtCxO+RQokbSyeVLxIQG45dJAi/4iM44jO1qE5iuT+dG5tE5TKAxdSqyiiqnGLA/pB7TcU
KRB0MoyEDp2AYdHZTpxwo3u6Lhr01cH9ARIEMdL6GReuu9byDpJDHU9N5zEvyBc59xFw0qtoPRJJ
x4FWsasFEDqbYh2dmvN8eSkW0BfRNMovf1pug1UEPa2LKDK/NflAJ2gEoMRM2df783F74awfCuIp
ekHAL1ffytpqKIruDU+b+tMiH/P3DIw5Y4cGf/v8wwi8k1UDFjKXKjUcQAK5BD6yc2b2kQ3LU1WK
aCzsB2Sf46DY0Ty4vdlgbNXng6iN4aKlxvXUt1kARZaaI1XnAXJUs5NeZXCz9jo/bJpByRDE6LUQ
pBZKigFHx+x1ng4QIIqXzi9R/LH0E1QP9kSXN6cPMS3q7EBBInl3PSJuQcJJ2gZPe/OhDHQIZp0K
cLxI/iUfdiZv60ii+gM9D9DKUZRRLrmyZCyvoJOVjqX2d7N2WEAUPYU6B+jCQNZcp190tgfz3DSK
QhDoQcA0g8t1Pb5u6XKQD5Af8sZjlkFNVpQhZNe6yII/03jHevz7/qa/5RLjeOLN+/8WXTWG0he9
M7XWxYY8GmeixV+syD7MhzoWYRZ3kYwg45/wo/XJj7KdC2hrMS9NK9szm9yBNouGxdQy7ZMTsB+F
McSUsyb0mqmF9IXl7xS7Nk2iwQQyRriK4DZezy/3WN5Wa66G1Wc7IbhcBwNsiWPe7JIQ159Sr3So
f0JsGaI062a9NoVOKAZKiEiQzPJ7Ccc7quyDWbux4ZwL3zkw/TXgex1tbjTr18sWHRFW1VHcL3A2
ro3SvEf2syz61DHi7jt7797n9+pDdtYiL4G27VdTi7093cqtdwSwRkTCcMLRLUWx6RfmYBkd61Mg
MAC8GWLjT2VUf48KVya0Y5BGB3XpelQNz7vWNmQPJ/S1ar/L/kTAWgiKBBztpMjbyC72Ek63jj4m
EopgKBUhgWaqSj6+Vlf2zC3k0HLnwftadePReCVQW4ZEzGeEjzvv/5659d8vHsk+J6OXZXaf6v0c
ZujpIhhEkOr2B7eeDfORIqdx/9xvGkSZFaVA0Cdu0FMk7zxtpEaPCpWzHHK/Ru9ttDQ/1m3bnIJJ
Dkk3oEaWoWffzr269VrAd1uTNqizItC+HqrPrQqagy5mth9XV7HoD7lXNXGXDyS+P8itnbnSoVZB
EJR11WhNFEzOPCuHlMwdS4bJbEMvx6tx38qW33BpZf2Ki7WzjMWo9aAaUpdkYVk5iV285vm7zfjO
mm0awiO74rwgEKtW3txBOMGQjUPKdRaZWhFb4r00vgzBnqGNeUNz2WClcgGlDu2v6xGVNOD14BUi
NZtqSfR6bF+8LK93gBwbGwFOFiJ3tPBcccLKBSlINhW5QMMG3PPvwAOlS4G+mE5xvL88G2aQoFvp
aZDlAdNdiYYa0gbcot6QirINUWIPMWuWIXbWZuNhAToXpFO0R8NmUMmdQrezOSibMS1ctHLXxraK
6NT/EgA+HhrQA5/o5PY7l8bmyJBEg/e2pqpUVn1dNabBtAI2y7+G4oPVvGjlTsi1seXwiKDOC8FH
6Iz467Av9jZEZXvpA/yW9jqKYmRyzFijQHaOaDkY94Cn7Uzjxs6zAPhAII7KLMRnlT0BKFEwm4Uz
pm0fsMM8uAv0iyCQen9LbC0WzhCEiVE7RQ1b2RJOtniZW08jMkaQ38r4U7c4kfVqMHrwSft639hW
tAz6Fq40HCSkidWnpKdCL/LSmdKgMeRLMTROHGjcTMGTdE4aIs2oYAE0O5lmHohemg/CdMWB19DI
uv8lW8NGfQrcYzg/qyrT9WIyu0LN26um1Bjc9mhrQKxzQ8bu0L6Zbv1hxvbe2aEbGXrA7ZCXAwkb
bC/I3V6bDHra94GtidRdSrydQKvG3CjLQ0DrAXVP2r2MQ6vH8C20F7w39LHJAyQTdNA5dE/b63O+
4V1ffY3y9GhI80gxuSKVg05jq8uGRLiBFkHWqY1lbZUPI7XAsBv78cEQ+R7KaOPNBcIIzgRwy6sU
p2I+YEPZNU0zpS0eWo/7373+eWjcaBl+LWw5FZm+10B+c8AXFpWLHBTJAO2vYZEUaFIlvrH3OuOn
leMEyT3vaS6+3N9hG9cFUrDgRSNfh6qv+uB24AK0mdvJdIHQbptOgQyzGVmZvVbrGzefjewZCMeg
09+y4SxPOA46Rsi0gnD5iN50qNA9tMbX+6PZsIKyrg1WkQNCEFQ4rzevDwweJ+Y0p9zxniwNLODc
Jok29HsqNhu3Hl5bNL4FnhJUXTXVqU9DvkC3bUkr4WoP6IDRx4yabMfxurWygh4C7D68uvi/chaZ
O80MMrAi1coOYE0e2nvQstsJgwVgaxG8gjSCXMb1hLEi1/I8w3brZ5YEDJwFz6sidPbdu1bWyPA6
tloNwQcCxAC+na4YquGWCkMOU6rPz5pVPLEOkolL9boW/cyQLt/a4p9s+jlOewLatxscFas1DvHR
EQwPohLr2CUx7Yz0MpXoWp8IIKDG2LB2HsGtaVx5Pi6S0lgwRzm1Vi4KA4RXmfKZoXf2AHpxFw3+
r/u7e2M7AJSPggmaLUFZWW0q1QsNncLRtDzV8w+UVuG4/HXfwO11h60ADgl+Hc1jEGZc7wZDiIq7
ba6n3OumhFa6jRyKKz8C6Re3zdqWEC26Ejk5zc6Lu2XYR1YT0RsQeHh4rg17vWOQeil1wP79kM8H
V6JNmRZJPSoFcApkTxV7Y71QC8ZKgamKTKfKzSr9rJ5sUSwpk2OoTye3FqGcj/dncz2dypYHzwg5
Q1wUKwtMOb01UlS4E5ol7eZT0/9VWHZUo2M2Iiin2zG1scnXzlBw+6CKDqlwJS8z01ZOVsAXsDb8
gyTidZnceEIbP09bzvdHtbEJbbSoRPoZEwiVasUlQT6Y+6Uu9FQ0JIi8US9iztlea+SNBULlDARm
nFkE9Wp2PfMIWqYEUk/zZopaki45i7w9Pa11OysLBDQ8tHix5yEPpvaUrkuuDZlm6Slrknn5oNV+
hCZN6Cl+tCzoqzZZYuo/7s/exkJBAhDK8pALg5KQulDAhWd17Wh6OkoHjZL6Bkq/1bSEtcvOQx3o
O4u1sQVRXoXSGlTD0KlElZLIDGbbzGVG2rxw9CZjnnfIjEcf2CbZ7mlwbNmCTI7p4ApErkAFyHSj
GdA+c40UmfiylHEvy6isiw/UfJw+3Z/FW0UXSHFAhgBtAuwAZVZVqc6ajbHipDdTqtnHTD4XWg4l
Ph66kNCk+l9zH0LdHtItxsFuu2ciskQv2mSZ6HksjBeai4OeBV/uf9TGHXb5TarY5uiA1tpJaqY1
LZOljGV20NyHwT42/vtoD3sP6m2yck2vIbuGpCFWV2VPysJfUHCt9VRzTyRvwsx6KzmJoZLmNS+1
9o7yKziUh/tj3Dj8eB7Q7mvtqXrbsbrsuD0NXmukQzMX4eQJCTJrZu3cZhs76crKeoguQlivsYW3
9JWRruPqHLC4jAHtYJYoN+fQqnb03rasIaGOeTQR+YDFeW2tQcqrqJkw0t6ATDyNzOwZhF05xE2/
s0M2Dv8aV1lrWLXKrayX3sW4TKemepbbRlpyL3EqUaOTQCWgfw44a0v20tkb+xGpExO3TbACv9VS
EnOmdnLmzEiDqY8zN3+BkkblvBniu6Gh+9yU3t8aG4Ej/EfwiyAYiGooPK7r0U3cq0lLgGcwkVBj
4m3pflntELXGfHacRHYaJFchI10/BXXwJLI97fuNssjqvyKRi8cWHrP6ZFTeQFw/Zzh/zd9zlX+Z
IcKItiZnbXAfqGeFMyBJNbeO8JwOlaH/6OUc5a44sy6F8OB7eSie6Cu44Pen5VaxFtcu5mTVuUKX
H6z/9bSMBI2bmIfkQTfw2CKwaX/kfmpMB+J/q6oiQerfR6Gq/mcMwhw0Cg7INnkX0Jru9X8gff5U
gW+WBXsftoETWT8MgF/ADANIJynrRYA5yAEfw3wheJnRd6nK57gqaeh5Y5KPfjjbkF4h87Hf7Xm2
cY14cFWQ50X5HHARxV0x2ETswZ/MdBzRmlZoggGlru1VObaOG8hZkGuCDMtKKL2e+WlyjBZQJjO1
2Wc5VbHTL0hlWIes3dMx27hC1t8HRB04sdu7uK9Kq/CtxkzbxYrrJo+BQ4EITx6WkMWhfnJ/S21b
g5fsm3CZEexej6vJpQUlEixcU/negTkIa3LQYg8S0qChRMrilzYV7Z97EujzCoktFKp+o/CvjZau
WxeeN5uAO3x2Wi8GVDoZtedpGI9uu5f12cAb4nVBSAr3eY13VJEQmxfjgN7yZmpoS9KhweMIdRc3
t5JFn2NIHESZS09u+ZKXPwJaPYzT39Q4TRbEQeZp5wBv7SIkRiAagPgbRFRltqU7GWwxFzP153PQ
f5nEW+V9mvf6QmxasZGy8ABUw4uj3BKGmANPDpCv1ivy0RDy2eJNd3T84a8scPdgJLf4d9xJK8sJ
YnioS9zQt2a3aroaN1ba9Mh882NQH4AOPzh9/SD1/lNevrbiJw2SYbTDJdATkwwxaTz83Ys9tsfa
3Bg7Tih0okFiRmpAbTy3tJNsq5bYadccAzlBvqcJHfkGhan75+aWSAIE16UhZZLzzLFaImsYsh+1
CQiVvI7nEU3XA/lktfWn2X+F4gg3zq2JNlML+dz02k7PtI24BnRtOBp4lxHdqIFn5YmFAnJop0ub
5Uk5dOKUVVyPOhvUgvvD3bhkL02p4Bg0/C51Vkk7bTr9SZPkrYa+4X0TWyu38lSAxAOUE3GncilA
2p42pW2nejs4r72JEm8zddpZopv6wd6vAmzZwxIik4SoEFxTxV6LTmjOhNOTirlNuDPErvdOHTvO
h51C19bcXRpaP+TCUzNGva5wH2DuGLRb2jKc/PT+1G1tBBx1oBhxw4FQsH7BhQV/5ERIs3dSFIMY
2oR7gFDvAJe2jjkKAP/aUKYLzZuopzfcgQGZzDQq+nOg1Y9G1h9m/UxN4IoX+hKQeJQfA0c8jPwD
Hd8n/cBBgLk/3K2Vu/wUZUL1VVi8AXoCLyRJOrOP1kkt0Swl2Hv1NycWjxQcefQ9AE7uemJnp58R
M2JiCYFKVwuJpnez2snLbt4k8F2QgkONBDoVipHAZQxiAJ6TZs1ASFgbPfxM6iC16XERg2Qtz5Pv
C9ww5vA06MQ6GwDBWhk4Kt3o0SffLvZ4B5szjNcZVFkICN/o5zpBa3WtyJxUjsd2fBT9k/O+u2v3
jCiPIYTlsplBjTDtTHSxWh6z4iPJqui/W8SLwSj5wHIE0E4XgZPymoZN9d2GoKHQdlyazZ1yYUTJ
ZCGd1pQ1OmRA0+JoSnTseEUDnvvbfuseQR32P4uinPJuzNu84BgH5qq3f07+HtZ8a0Gw4mg2FkB5
xFDfkywAzkYPuJsWwU9uLMCEflusEaHrr/sD2bCDasrvOx66ljcaJxm0rERpt7BTQFmqR7OhBO0Z
edLVJXsGl2xvXFsZnjVlioIUuJ+A8yk7wKP9wCu9dNNJ/2b26H3jvXjTY9u3L6TIIxdatfXsfizd
Y+WGjeOd/OEs3u0ackZJu6fBvDl4JJlWFwXNcdU84Wh3S9VCki3NEMI13avGs9jjL8G8R/7Y2C5o
rvuvIeV4jXz0KVAe2C5uHqL8CrXtP/c/sFGQuQGQCOl2tY5eo4qvL9m6jqYMaYXcOoBn2et/sVku
jCi73llBpUXO3JSbT7P35DWP0FKZ/phuDq1fAGuQtkVpHLAUxQoEjAc/o6O7Hl/U6kOcX0iL77xb
G1AAWFlDER1lF/dGz1LQoXBmJDxSRqr5aXKydw3yYrFgQHx5pNUhcR9ABRAhEz0bwveP9VJDCxzA
rPpwf1Y3risElyYwK3hvVrTp9cNmAbI7d4J4qRG8ew76arsHtlst2zSydqeDDg1Qe6qHNZeTnJg3
eMi7nyEAZZmPWf/x/ji2ThP4AP8xoY5jzGltdDARWEizFcaPkX4dCagpxg6Ofc/QGkdfuFiFUUhw
XZiXWvxbXfjxIt7zMRXjXi14z47qDGiZq/vjCDv9eZmcT00+v9Cy/EfoO17p3uIo8YvT+kTwrPOw
48F1lWFf+Og98+v+8uwYUcOGcppIZnTUSysd9WbwkUX50GTxfSPrlFxXXpAARRUYURDqONjO10vj
jUPmkjlAbhLtTxPce2bk1rOV8G4JohKkiqLMi1PhD3tJ0dvRrXIiQKdCMQv+u5okXKyBjEHXWima
70ZF9cFD8Rl9jf98dOC2Qi0ZkQq0NBXHwqqk5WU2t1J/+uEBJDehHFE+1dl5mBLR7YEZb9NBiBfx
QkIxAI1n4Ixez6XecyY8U1opCqhgY1ZlYo6kT+zSiymaIyyD2HFqbvc7DOK+xZ81oFZFNAMpOWpW
hpVOMqnGlIPv0ZKHPNhruH37Gq52UFECNAEJPFUj38ohuNuhOJhyoKAiRM3QNsuNPfz+9mj+taIc
KlpODhgdpgXhIBE6/XGtNcgc2ljzznW0tfVQCkbhHsJ/yAQrjzvpG1ZVEDtLbU2PGojHlp0TZu6O
le3h/GtF8ZtyyZjTDBgOKmiHqX7hFlrmGDxk7k4MtDccZZNrBdIcHUQeUuy+cGxfC/bZ977fP0hb
O8Bdm1AgX4IXT1XWW+aldAYLB6lH1uaxakrxYRUF2imlbV1GSF5AghSZBbgIysJ0wTgRcxnsdAw+
+fkHByTb1wDKSdQUn3LNYmFpSrkTe2wdWmAL10gNd5Gu4ocsRsdKoNNMCiHcxOf/QExvaSApLeYY
/a4P96dxa09cGlNuCD+TPamohj1hPtPym03PBY8yZ2dDbA0JHIY16IYmFxKZ1/eQJoZhQTtYOzWn
6rMjkyVAd9Mnwy1OAyov90f0G7Vz+YAgrkf1F1crsBUo+KgoBIIu450csuXd+bCMYZYlPtqiheQT
eRKn5avGjv1n/wzmxmPjR+5z/1zZRyljDwcuh1DMwwDpTJp8Lg4NxObT8XT/69QN9fvjgApb6Soe
qj7KTOSd1D1SCv09Yy6PJgF0RGfUbkhpoYWmzGhYL6MellJjO/Nyo5+5msabA+QE+JaohSnHP1hY
jZ4bk/5eVKGZLv6rhDjOj/kv74HXx8A4lBCH+yVRlIgstGJ+Kd+Kcud1UO+F318AtCSKO1CaAjfy
ehvYJuN1XXr6O3HIBJ+rmUOTGV5EM1HsHKIb7sxqC/4wikhApMMzVkIA3WFjIftOf4+78DsLv38d
k+/9Vxo+0OP9Fb3hsaqW1lFf+JL9CMEHS2/09yYUsRPWYReufxsTIAxP7jEIwVeNWGjFh1KED234
0TmOZTi+zfGv+1+yucKXY1bmtyQeOiE4+JKv3e+PeDbC8/FjuER9/PRQRe1uz6/1AVSP2qVB5fag
Q86G1vp/BofYC2MhwphF6/hEkkdRBObuXtS1tYkubSonqOpz08rR0/H98fl/SLuu5saRJvmLEAFv
Xrvh6CRSFOReEDIz8N7j119Cd98tCSKIuL2dl4lVjArtqqursjLNry/twdp6OmXJ2V6JqG8SefN1
nd3+Qac0zUSD4uxaUx93uSluaKK3B/20smzzq2wyBHgI4ORTn6o0l1iRwiRXW+BmnAyxIP3wS6N8
HZ+ijMguoQPxG/0n/HPf5pIbmlih4QaAN0Jp6XrPxqEL0qyqZx1TYij3xIx0e+LX2LnWjMxWSuZb
nMIYRuKNRvo9aDdbMMkQTb8/lpt80DR/l4OZLVQM8cOe5+BTC9HMXuN3caO+oAHFfwR9jGLEuywj
SkAhH1Crhq8Q8d9sFBn6oiB7nHoR5y+WLkNLSjJ0nKMnBFncSCSFSIbYVN8eHBqt5TaWdgs4YBVA
UtBYgSLv9dIhvayq6F4fHCbjQNq54xLWvD+hNzoM04Remph5tEKBIvLICIMznt2IvESfHyZHzE25
a8n4BAAr0Q5gV0vJg2HbAJySnxX70000dyuX9md+LIsY8BSgY88Bt1FpJET/eA6MzFL1wIq6rQzL
cC42A9/iGtLPmsbG2gTPzgbL9V0Sq9Lg5HH/oMqZ3TDVmmbONIJ7I5wdDRBWyjxQMYPDe6Zf1QbL
btS8MCu3eL4/l4uGfnvTAWgFzm92NqTSl8RRCEeH850Qqnn132w0xTWOil9m8vl4UDUGq9HUnC7M
Y9YgDvokU93BeREI7gHubaBv5Zv+9siR554klPPIU/ceUMPICfXJsDs71ZGuueylq+HyK2YrB9rR
JCxDZnAmhhPpwMi7bo1SaGk+L03MFi4OuKRIUiwcJHRIBFJkoRtI2exHfk1Y8ia9OJ3CiW2dBwm9
PPHYXh/0OsAjqk+D0Qk30lticztwUoVfySbJSQzhva/7G2UxbL4wN2calYpO9aMIk9c2pKG7Q+/r
vW6m+iajlkL3Rqcbzrv7+PqNgM0wPs8n8CuubNYb3NFsyPN3cJcEXiKO/ujww6FQWuLnJ1aF6MNI
uobDC/wTKXwmWksm3EBKYFYWOCQScAdD6WxObxjKbND4NTM6zbYy3npTzwYrZgyQpdOz3nZkjejw
N9SeHZcrg7ONOg5gclBB4ub0hURygIHqjmZtBsITvf9qwE+nxrRMwTTYfnseUGkPDPfITDINuidb
nWiVgaE1SPNpoPJdefFOpm8+bSozoKUMUD1h5vtl8M3UTFLj0zjyoYLz8LOKVgoNiybwCpxmXUHJ
YmairN1QK9tmCphBFTLamtO/xM797bwUlctwd/9rZHaHREBB1TIPIxIpdZ5mFKlKC1tZpro5mvk+
3Uh7s5OBG9UFXNtWjVv77G/ZXXoIzLVX3w0A8neHoZkUdStActHve32WBS5veU/JWcdTxO+wQR6u
2pRdZDDxX9F9ljszZP40galwHUkl/f5ULAWyqFFAjwH3AGBo825WJUv7UBgL1ul6hvTNW0DYhqXQ
cI3ibdNDtTbuiJ9yZgb5JCZ/icOVrP5SgIY83UQfCng70H2z7d7EI5jffKyFG54b+S3PT7LVvKge
9X1TfBbPQg8ViYqFWIBVge4PqpbNIzq0Vl4Ok7+c72wwRUzKe3h73hCbYIlyOYhl1oFck8Aei5dS
04NN5etiqZf/14zetOA4QlPSAwkq6JpcL7iiVqPYxR7ncCoKjzhHgkiaaiXyXLiMrozMboihKPg+
bGFEq6xefglLAo75pH1b2T9zOPlsLPM2qagtKl5kGOyfQaGK9l63L0m48/2TKh3i3mi7jHCb+zYX
bnK82tFMIqAOiWzhbGRZr0BWefQ5R+AN7aH1Vn69uDhz//z++ZBqgLr7hs14B5lkcPZWrBicgKfP
edNj5TiFcvgI5SNAz8ZPrisT8NYj40S8FgICeojgvCei1oLgUPSCQDO7IY+NUHL7mHQaXjxGxCvy
DhcqRJHZGIJ7ZADTFShY6gaRJASYoKTJqgVUjHO3hmpL0jHRD2T/mg8fgAGg3MoR9wKe8mBQhzZt
K9B0rDWeQjk7CgEc7bjU4qS2qykQTshtjQxeIDTNE+mRbaukNhIhFl8yLlVFfUD3R4UyOPBkVj6M
aCyRRymGeHrBvJVd2ffm/ZVbusMvl06YubqqzRItQSuFo9fAFBHFTixkL9uRoisgte4bW3qpXBmb
XhIXuRe2E4aCaUPOKfecbla01ePNaAa2+sfkaf04PvGkfhj2qsnq/q55Dkm8ktm8wXD/Ho6LnTTL
dTfg1ZelYtqp7FFlDAZ899WjJOyL2MjHo8cafW6rEIKNS5Mt3tBoq7dyqovuafDNqG6NVD1q8Rrx
7eRdblzdxUdNT5yLafEhpllkMhwDij3wP+xIY/eVJ4V9f/qXLvKLUzqPFYYKolJDDjPeQEJhr/hG
q1kCnvhJtXJgb3Ss/nuaVZDvIw0PXq/ZNGuQS4MeFBZaIlJLA6TTdsFLu2msBH41JMWe3Ys2OA3t
eBueuq+cxsWU6lvNPk2793Zm//mO2cxGuZ9mrJtwTtLq9bGGPNxO3acjMahavt6f3cWwdALuYIeD
UwPdIderyPpx3wxZyjnsYMiWF9scZFI5XTt5b1v3u3rMR5qcV5Z0MVK5NDoLztyxSIZBzjjH3yA4
A6ubPE0xWgAqXX1snTI34zXF60VnjLYM1L2mbjRt+vnFbuU9HxLcdc4h3cBvM3D7Vgb/f2XI+d0/
FzZmIYjn5VWSc7DBCJQ9yanBpk6mZ+hkGFai28Wra6oZQQMD/HPSdJtejAZrlkoVODEcNbbc+EuS
d2y2Usibbr+bTaiieozGTvQVzyesziA43YO7yckyA+3yyOeH3j6XCXuEwlQgrZy9NWuzqRt8r4mF
DNZK1+oVwj+60/szqul5rbNz0Z9cjGtyaxdTx4515PEtLKmxXiMS9o9FaLTtF7BI94/Wkn9EV+fE
PgXmYnTpXxviy8Hza0RPTvA38ogp1wHhwveMhci7/G/uw0tbs0FlSEl0aVPyzvjIIqbQAsJw30Kn
UA0qpo/lNl97zi5twEuD03pezKLcBJIyaDAYiS20xmxBeov/3J+/pS1xYWKeK1BHrs1A3sc7DRUT
Y9x/tLv0ReV0f6XIu+iNLg3Ngom869sBpMe8IxXjhvFUKLy+uDyA+J8j1qzwHnrx3JwLvyF9IK/s
+8VI5tL4LLhQ+wyERlnKO762HV1IBQHciA1C0lNKg3zlTK8OdXbDuVpfgXEcQ62gr1DTLN54+ZGp
tvk+yJ5GtqdxbQaNXa01KC1eM0hfyxOTJVAVvzHWxX4RK7FIeDTMOgnEbBizF3RVATeGXeaP/TNU
ytNNX3uGmutgCpLNca2JZqlSB0oB4PRQZQf7+rzZjK8yxsUZZZ22pmV9TnM66JDCNoRsy4UWK+8r
cdOLunbUgpX301La8sr07Kgw/FDWNd6tjvRtRrZkjhscz3LPkFGPTZOhLvqiQetN3Y1yEu3MJ/GW
3/Es4fGHsRhL3I/g+0T24P7xWroQ/5kRoO2uT3AoVUmHrCDrIGFLkPc6KSspgaXzOwE9RQUwnake
e23AY4q8d7uSc9AXPVg5pJRzwO2o9+ySNdbSxewDdMjQVIRkDLowZ/5vyKQ69sQesajOfbn6Q023
SN2fXLom1bc0KFweKIuAnwgClbMDBHK4OPI6jnNQ8u8iNM9omY42CqNro4mGgAT1Mc5XOZGmqZrf
xWjRAJsWcFaAdc2Cl9xV2HbIVbzB7QQKNED+GtVRenFJcjSi8y7brcX2S3lhiACCMxURk4ZU+8xi
CwKCcYg0zonIrtwfOitWSGFSTxef7m/DRc+AOowE+akJRDZP1EHrKPL9wuWcYPjomD+Msum8H7na
pEZulUBwgNaJNcqSBu9htyu4lUt6cT0vrM/GyYjVoLnZZF3eNZklfhbea6RuSsBwNMNdk7FcemEo
UxcuQje85UEffn0m+qDCj4aAdwbgdCmPnhiNFOObkBoQTyBVhHSRUR7SyE6+q8I4gzsoQ94sy21p
w4Ezwfubeqiwj+/312BhewErgb6/SUAUZGqzC7AaoWaYqdzgTFmEsQDXFkR675tYOqFXNmb3XDMk
rcyjF9sBfZnZMYkpMuJerpyusfvyEHqHntF9aHnmWWdmxSNX/r+/YHZ003LgmzFCwTEbjKBqrRKU
0XElGj2iM8hj1K63awuBgOKLVF1vilqyKaoVcMriTHNIzKAaDjzZHEMNZoOqb3p2cAah/ehBRs6E
4cpi3rBn4xUC7Oc/NmZxp6oAPFuMmOnBGqxw72/8TWV8PHoEfyxgC5+QY9qIjzJ5356heK/fX+il
sgPMQ5gPVePfc329xcNG4vq4R2Xz7fDx5ZGMMjSxajuiFiqqDu5d0pHK9q3Tmn78woV2aXjOkz3U
KJBDvGtwmtGq5Ael+ezSt1heeXmtWZmdFRV8y11bYhdBfRGaj0VzrBLVHkPk3NiGMf/VZGoTABWl
eHAFXU9m7v9nMhta64fDY2pWFsg9yBPBbL6rpNkU5vn0s9abv7RN8fADHETD9Q3himuzYc9KAwQ1
UdCVt5H3xMtr7TW/jm52o+FN9L8W5sE9J/ToOhVhISHdQNWDbLXAUD0+Y3PGJHzRDtqhpzX5TmiP
fRuQVOeNfuPTZ1RX/rwSZltbEuUokuyUEUi3lsb/zf3e+77ZMjNxLXlpgO8Dygn5RWT9YjM0Mys7
uEd3k1DLeHBCIzJLKzEhBUhS2hHGTCmCjvtbYOkmvpqp2RZI1E5DvXkcHQC9RIqWhQ8IAB/GhyH8
N5vtck1mDlJWSq4qtH5akykpg0nHkNWND15voCHePZQqz4gS0QVlxfT+KH+DwXvzPe3Ii/dBBG+S
aPKv7Y9nyDOQAvg2fwNab/wNi96T43dj5kZLavvP/hVSdOSMVC+FjKRe7VbhGYvXFeo46A7gwZ0L
pPn194hiJQiuPw6Yi/I5i+zspOpd+SAK54Tj9MBMwU8RDVTZ3J+HpecgqAP/sTvLjKWy1Kh1DLu8
lQDhUP1xNUIT017x0qt2Jjd3Md9t0AmdB4lzxHe1yW519PNQpyM/K8NZ8pZgQgGfJMqReHfNhtO6
QsCDRZCFGen78fG5sDbQaw318SVLcQ/Y7sPKa2vxuFxanA1s9FDu4TpYLPJjKtVASdEuRjpxI+nt
3j9o0gP6RVdGuVC7At8LktSofU6d4bMbl2FFGTLwwKAdWh2pv48gsjzIB5ImomvcG4sLd2lr9tIJ
kBdW+WjAs60hh7dOBeG+Mh50Q1ojafitocyP5MQeB94YhISIVq63iOoPrlZ0HMCtrEobq1D24OY8
cttkY5EntAcSszLp3/SgeiS2Tjvh+UV8eNH0rIIrXFvV6bjdfgvykNDZALPP/G4Pq3FMORGjPoRv
3kmh3JbWFgigyF8c/pVN+8uLd8/YzPd3CmimvXJazt1ofn2YH43VWerWxNZ9etJoS+Ld8fmP8Wp8
FvS1tHonpnZsaLp3Xn9v3rAKTdEcErAsOsnBNwB+o+tV6Ho1ijUGtYC6FdPdECV6qcWQQBtH2agA
ad5CtdLXtbHPHlnGw2XlDsouSuXsJZBTdiOhNGeF7Kg8tFkQ45/lnSWMovJY4T80q3raigdbjP8m
9Vq8jSGFjs++/mBmDPx8hPAz8gq6ayksETvqsnpo67gbtc0p+/rL6PZO2jREpWugl+mkzZcOsgIg
IZzi3xuUa5Hmqt9lyMBXozFyXwL3PDCmT9AZv3Lm1wxNG/bCf6ohGLpdJPudVnE+xCYHT+Qpx4Tm
3IqhxXD+ckiz+QxlIcOQkEZRUqK/7RCPNKgAG+U7mu8kAzkVCXDwo7rLKcOQH/tlxbctnbyp83qq
mUDWfr6cSdlqXpzAfF560Nw7SMIfMYxIEwRUZP66kDViGSq2BSqOpMq3nGdE4vh8/yMW9xTyA2g+
RdkaqMWZU6/T3I3VqOac1LOi3Ui0z9fKtGqPHC3D8N4fttuT8g6vA4na+5a5hQtMm84eCtjgasee
mq1zwgjKWKoTaisiB6RdOmMcMN8lEkwn4diQlXBvabk1JF2Qdpkm/Ybivo/UWISiEOfsBB8yWeS1
/JsCXJ+TB4JSSEo1vdilVNi82Pb9oU4jmR2diYYeDw0VMEB0M1yPtOjhf4SSZ520M7X0o/C+624P
ZfUGwGYh1Ft+rT4ybdx7BmdHSOJTSe2RaHPCby47KFypyyqzsn4LxxQPbTSVQ5pRlOGQrgeV8Cwj
ZwVsJO1haI2RBqOe1ms8J2tWZttTlLMq9wNYGSvqbR+DU2SzhkC4b14DCaQu27gT7aR7YXNjZbss
5bWnTAJSdCAAQyv67K4KZB+qMS28rQo+E089a9w+S4wkMoAvKfpGL6F82f9RIBrH0Lhysq/7m2YB
dQXnwP3yjk1R65y/OchFLmnHmnfEA39SvicoRmRYnPLAvoHE0AYKoTJcYzzeN7sAiLg2O1vXUfSZ
VM1gFrJY8uDpfAps3UEz1c4uW6KiazhXTE3HJyT+p/TEIs8h6eK+fdEivShXopNbH4GP4SceFvCB
IuUxOzmt11UR3rI8wr9NQPzdWtFm+vfXB+X6988OClLoQhc3IwYLqihZ2YiBT5FapNK4S8uzKIOv
rzpooV4Mm2w81O3aHrs9qNf2Z5ONJAQYsabxgf0ye+2PlfTsRrqbPEXu5/gZyY9KR5WfjAwEMNb7
C70Q7l7bnh2tXBlaoZAw9jimqFm1VU6Y7Ni/FpVdQprFEKsVrM3yjganFNQx0NkHeaJrl9Hw9RBJ
BXLtQlTHAG2yLYjHlCZG55rSyeKZgepbQqCEBwGILvUlgcRlJMtELFigCyM/bn0LMIDwMCZRnpPB
7/qvaOyGz4xNxp9M8UD2e3+Sbt0P5ujii2dPgnEAxbgmAx1UQnCTrWRbGJ+yyN9JfQXh1jWZo4Xd
AKT4BN2d4J43elEcV+dqhg4VJ5BexWKjhs9JY94f0O1VBEKLSfwPcE7QeMwxKU2sdkI6tBP+JQGg
MaZDUW0YP9KV/EWI9S5OaJatpT9uAx2kuoBfBYcNevOhgX697orWaE0Dan9njMrQ8pP4s2/9NeHZ
hXgCVqDaOJGcQ4/n9+1xETemnZh4buDzjlwFdhFvq5IE4qEBG1MUu2bbgtyuKkddbcwgeStjq0lO
SVoQKfxew1UtFF7wKQI6wXF9QLhnTrbuVVED2vGEd9xD/lzQQpeMTbDNd5VuqGQ0UpEIK3HcQvkZ
JifQN2QM0Yk2Twcwvjo0rIQy3XDKSIW8cEJFnXvo6UOkS/8idkMGGl2wqD6y4GmekzjiwaQoAVqr
nSbGLQQIY/7DfvI0oQFVOeL6pHmT8T+futc1Yu+FVxsqkZhZoI14NGvN5zYYZOjTIfBw/IyghjWQ
wAb7wk55qJG43dXG9k+xAfLewbNx5f01bdPZZXFp+ffmvNhg6IVLYo/PBYdrQe2dW2wHSjzANo0x
1l1/xfOsjZOfhR8MP4Juj8E42b+5XjwI+sbbJhQteO5jaYjoyXGRPKytyCfFWi1t8ShdzPHvo+Fi
pLU6iokbwXZ+7GsC0jHd2wlodKKsb1DIOTc7zC9NXv9FuudqceeRco3oHWJGMKzkevQp0vhR6vcS
ZZ8RXMThSnCxdAMipwTqT6QF0aEzV9ZKayTWVK0HOqXf9S1tNfLjSWau6YBHd/7nWK3BYZYc/IXB
OdsUP3La6LctrlwAiwfS84RHDLtHX7G07faf7us2xvtj7eW+ZnW2k5Dk7uuih9U+2bMprRqrkf/V
yNCrD6YOOPkbhmim45s6CgVgbfiXmhE30GHTay4kEu8UAlGZTcKqH1z6t3LNmDf50GZcu1uT4Fq4
3CSQb0MtHrcoSDinn19s29iPspwNUsHpaL+Jv5qNZ2I+1+Im/tYNXFqZL2Ke9TGavmBFPCRE/Oh1
iBF+FG/ZBiX8teT9Qks47ns8WqfeYtDUzp/nrs/4iS/DmER6860OTLnb9gPaT+iJsTlUuI2I5HoG
ntNnecUDLbi7K9OzaK2vRinKJJiO0HgD6p7gKGwhHN99+WtC3EuX15WpWYAQlhwbMwJM7QD3OJ2U
MxSgoSP5jYrmKvxi4TSgdwQPK8j9Aj34iyO42CQNL3uZJmSCU5pQ2qJmYj8FVqWzppG9Y/30+/HW
Usx7ZW76nAtzgzC4yuBiaLpe6gflzTOqlLp79rE525IuPdvjecXi4v4EvbKCjLkE5sDp5xcWmyYP
iiRvMEAvJa1g8Ooh/ApOILQg4rEtn9hxX6WZXq3eGosbRkMWGU4AkAdxtmGaEEmuLup4R3/jtyOe
ECF98EnvdGckdE5rC7kA/ppyR/DQIJsCN5I4e7vVatQMfp0D8JEYOatHGnWbQI/Z2OCFyPBiVU/d
2HGTfZ6D5DXPiC+cOAXBkQ+qpsHh4p0/buOMp1Vm1wBn5PuI1xX/3HFULKn8Ifh49uls+xOjvhFb
K6u0NFkTQxbo2ZFcgN7D9Sr5OdDMndTwzos+8qS1NxFtbRaOCy+votTTJ36nVwryuGAYuW96obUO
E3dhen7aukICkTnug+EEmmi019W6e2p1jUgBEV7Z0jDekROjYkDe362H9mCnq52+iyceQTpIwsAR
zyNsvx5+76HnSuNx9QokRHYloy5Haop2zdOqeMHSgb80NZtp2Q2A3x1h6kXX38Rt4ZGIIdyBRfBk
2+IKCuWX0XoWJIJJHciuSV8Pb52ZNWTFFK+McO1Jb9Un+6Lser19Fh4i41mh1p4DpwYYBE+lcz4L
jlMSYrym9p4gz3o+eeaK81nInlx9y2yhlX6AT2VUwKTRBwqOGlMSsdziWiZhaSvzyGuKAO1BB3Xe
jNVKhRIN6ig4tfQUaiRJLc/oEbalRhA59/fuUlQsXdqaxTID0/PukLFwbjqaVrSzSMevwGGMwdyn
nyrZbu2c/qUrVpdyYldWZy61RRWiCjtecKbU/EC4vbuVt+0zkfWjsd+XhDc/x5H6tkSrn/sDXtq8
IPjAi10GNwVQttfnJHDrdGwiGa8AlbatR7pz2L3fN7G0S0Cbh0QjD0iK9PuYvbgvyjHgAr7C4OIB
YFmtJEKzD5OtvxJtL/R6TU8KsAtMIjPI/sx2I197qpIwGEqHNq/hxXtFZ++xQod6axOS7L+xQfFc
/W7JH8b4EiriDxa3Mpvy0nRefsMsQqwk0fe4QBWcTMoYtBtFVSxZqTBqr1rhF04dZcOzB0GZPzK4
+Rs9a1w0c4uMrxx6b0SPnla0dQLt4iHl0LlRDAKRIkQZRM4j9otPRABmshbFHlIUTAUVU4/xcdxD
N0VbLBfGyCF5Uvody2ISm7KbKEbJNF8jWkEeBr/JW9KVY/MOnHyzGbm+gd6cxkiOwlfyc5an8ZHP
SuhpFDWfFzQdQG5DhVQWEFIAaeTh7/7wHmZKiRwml+c2IyYVWtMVDUBwP1QPkSTEdh4rELfMZe+H
l1CLpY0oZTRO65QjY9LWWzXlmU2cp0pAYi5XWprzcQOxkDRmOyMt0SVJ2pYDpDn1y08Wwkwskbuu
cSn6aKOvBFNVkUlRdk3Sd/HG+Gfp5DmougtadFxCx8IJnwsV4GPprA3gn8oIs/F3rqF5puevJMsW
SgCXWxbx4vXpG1S5GlKUQh1/L1P//Bjq3omzOMqT2IgtaeUgLtTiYA6VXfQ347TfIPnRKppqYepi
dxr+Xm/NwyGyCwCGMvImPYIS6jPLqVjockwpk1n6ym2xPFpQGMKJIzuIVr3r0Upi4A5yn4iO2Oot
cxqzU/QiooGnJOwGe0oRwOBSHZr+YVjDrE2/eX5pTuSJ/2N5foN4GZ/koxSIjvbG5zQiQmnx2T5r
rao9nu57u0UPgNgCxPzwqVCquR4kejUhYN+nIh7Db9pwaFoU81eqCsue7sKGeG0jyQc+kFjYKM3D
DvRlIFHx9ac/runtW0qMrX3+ayubF3X1bbo4OEAZRQ5YZzwZp59fuHJGGJmB80bR2QUwc3/ipsDl
Zo0ufvcsYmuQ1lWE6XcPjrF1fADz7v/+5QN+YWAWOSlSH8paDgNqaLuWD8DfW9ai1CaizKbkZBRO
WSMTLdt39UrQ9htt3hvb7GoqlAQbsIDpzDgcPh5NoKhIVwCHA/q1/b7YPDxseaKflZB4+tq1uBQ9
TfDT/6zZ7NT1XpiHns+KUzvAYfj7gfcIEQ007mye4p2V/319T54ftg6QHSdbyMm/OvT/mJ+jRRku
Z4UuxNDbN27/OD0AXP1JocPjuQYq0QpXdtGik8GDDXE/3qcAv8+muh+ziuMCuNQIKMTDQKG/XRvD
8/bs6T/uGsHd0txeGpvNLRRnQm8cJME5iEa0VWj8ZHPvK9t2ugPmewdrB48yka6D/u36zKVt5NVu
E4vOAanDHWtS+/RjN2tvtskt3VgB8AbprUmLip1HoDgXqqTAQwag9/xrfhUkhd4E+dJ2j5v31vCf
1FJ/oEJEnNaJ9PP9MS5FiADgodMIspYavuB6iLHSJELR8qITyl/F8DlkzwnzOazpwC8AVfGGuDAz
GyMjQMJHrgR4r7fJa/q0PYZAMhXk69kjPs6DSMieOYFvfk9rkEqDzS8wB8Lomg4yowbVgPvDXtw9
wGwANcpN8lCz3ZP7fMHygyI67AfzGHeW3GygAo/OBnml5r5sSIZcrYZnI5b3en4VvuC0TPUlp9ZV
2RS+WNdOU6ON7Fz7e39IwuI+Qk0KUgOTSOkc7QdFaCZPEpjKjMpQCHMezVGg8ebjYEIN54xm2j/e
VEeJCSQa/xopiZ7BLZgc0S0c6OA6c+5/z1KlAXVg0BRNInpAyEzfe3FjuQmjcZ6PraUfOnoo9xlB
uZ2Wr/Eu2UtbX6YNXTux/NJNdmlzdj2rErKqNaSj4YIEZD8UOCIwjPZnE9uMWN9kb9QFNeyJk/Kk
v6wMeGkB0AwEWAlQSIC1ztxFVYsTAwH8LXPOY80U4jfVfxLA4tOnRuHqYZ9TtbAQfjHY3WsJ8sU7
9tL67I4Vg3bMRHWYhn7Qy6P2qrBoySVqSP+CDsxeGesteBfuAunACb+L3PU8QzeCnZhjAll0ErSp
1JvC8kqa+ooehS36tVW9D/Xa/75vdPEuvzQ6i4GaYEirHOEtYvaXN/cAiBU5PFZk86c7Ho+v2X4v
0Adq2/RlzV0sbCv08qN2j/gdEvXy7BRHReiGcpVIDv8X5CFdZzU6qGR6xro/wIUY78rM7MRkohdH
dZ/DWUhjbo2hijllgpAOrlivBQeTh5vdOoBcI5KFWDPYRudPdk+OcmlsC8lBLpJMFJJP1tGiJfHJ
GTjTlaMxHbsrY7jcYA3nYhIPQIby2hVEIwvtSMnrHGgheLrfYGBN5zfG/em7rahMZiA+A33F6Tqd
94l1kppKpae2Tv8YPXC6YCcHZMb/gE3LCqh0eK0NUa90rT2tDO9XXeFmfBeGZ2dPCqQwBdNM53jy
g1vumHO9EZJN4JtAm7b1p8L/JAP1qbxHM0xmRr75pX3GopHgea5BJ6cikK19KvTgUDhDs4mCV/BG
xDyN975VuqRq0TVR6SguMIb3nD1mMW33msOFr2pCfT3xSBk/9rklFbQKwNZl52e5OJZgxIcu7sCQ
0E4/C3CTVJrp8XjninaO9tttAHBmuE84veP1hEaoH5IUyDtJNToBUBG+JtFDP3XVH8BNT9Cwg0J4
zbyCZQR5AdHwD+JXWK22nE9H6d5UThfqxa2huQEKxarSOhIa7V+qggo1+GH3HLj28DHKSWKMyjfU
p/tb5+aa/t05Ig/Q6sRspc7vjcgfWmVaQM70HxXkqlyPrDHNrdmYea82Q+G9zGFjJ1roSst3/NqZ
vnHKs1HMLqC+zwe18HDMwN6tp481YAQvEbYIKXbu5/0Ju8XBzGzNtnw3FKnUcpMtgiY+KbOF2JBO
Dy7JCUcLs9tx9KwlK22Ei1MIeArewBML/zyZkAxyUdVsBKN11ZiNCxG3gYt6I+s2ZQI0UF/3L6nP
rjFJ3Vb6psGimIEeZLgx4JyuN2WShYmStli6MPxgR/SR8ehSeUgDbsL5otomgBCyt+SfgN/nf9jH
UtXBs07EZiWYvPHZs8+YzTnwjEPKpmE3VeJTk0GJusSQXSNAPad4TBTBvL/IvwXTm8N4Me7ZYQyl
bBT7GvMtFmbtE0lDzTYIN6Wo19+QwVBGMKpnYGSj8lENjGQTKXb2zf1pO93HE9tgfzgg/LLX+1+1
uhqz4L3ygyZTgnjaellsR82TxFH/y8ufNQh0EHHTvHXQbcGUpKSS9YjZBcOKu7its2ElIAo9hXpQ
MkB99XpDpHxSNUkudU4l7wIZOeJjetQEWmdwue+Sm5LellISbwoJZPNo5QiJ9sQFr71gDio8u9Gj
KUVCLreDMLoldAdZ3EirGJglVzrdgxO/JILwefZ/QHVM5FMZH1kSeRv2WED5lIobuba83oqDbSR9
VNpREs4rC7R03YOaYGKwEBQWL5/r2RHwqqwYue4hZ7Dngqdq7OkI2W6hCI6h8NHLLKh2tiVvcm5o
MNBLk7WPsllBpM6fAmg+BGG7ih46Do8vPG9nezdiXKWSGjQ/vYnWG3aIGhL1HQ9LK7OgPNZQoMgG
Gwq6aIZ0n4B60uVDCpgHCvf4c39CJvdwcYxuPmU2HwzgXkDZj6zDAm4uRB2J2AeArN1kZczzN8Dc
EDddEBeXpwBqhDZiYKgE82DA/fTuUS1yAs45Qyols05oshOaGiQ2H0OTrniLmXe6MT4L8rxgbMWs
Ylmnzp6zTzc5j+w2aO2A07nalJmV5NrsKrixNm3+i6FyLKP+F3Vf1lw3rib5VyrqndUAuE/0vRHD
5SzabcuWrBeGLMkEVxAgQBD89ZPHt7qvJdeUph8noh6s0nK4YPmQmV+m9hxebwcyJ7pFABZyRBCh
qK6H7r2ei3ef65vpXvUpWUWI9sjxSMp63klyGE2+wginzTVW/0NYru/aXvx4W2+HDfQWMDygETxM
fhz4f77FRrkYGdZwpoVGPNkjr2LXIooS9vlQRtJv7znP/OVdnqyGsFQgiQQSzNeP1LQEnqWQyH9u
gzLs81Af2mPqH6S7QRHJ++9zulfYcWn19PfT4y3z++NdYnslgA3hEgNt7esP3joZt5VDW5hvePUl
Ms7uVwZGTYw1y/yBuwfXLMMXL/HbIyWxOwjW2nxapCgS1Sv0wm+XHR3sfo4D8aGHWu16E0yUWCAe
J9eKw99f719NZ9Dh6DPyEXKFfPHXl7sOhIu+wuU2885gT+R0Lwo/eS/07C1o9uOxnOoN6EgiwtD2
//pzlqWaLUgN2HWqAmxR3t7AQ/Nm+BCV7bPda7h/e2VYXsS75hjubTEcyU6CMIP16IeuSI/wckfV
3uy8d1azH6e1t+Py5+t6O04EZZXv47pi9hIN/WHZ6bkpV4A7df0QWxxm/DH/cw39j6f1f9Uv4uZf
f3/+53/i6ycxOYWkOP3my3/+b4P40Me+eRx/y4x6eTS/ie+/fdKPupl18zT/5+mP/fcv//P1l/hb
f35W8agfX31RjrrR7oN5Ue7jy2x6/eMqcFWnn/x//eZvLz/+yq2bXv7x+5Mwoz79tboR4+9/fuv4
/I/fT2PlP37+839+7+pxwK9lyowvzduff3mc9T9+R5fMH4ChTzJMZKsikwRP3b786zvBHyRGly/U
4YiaRI7v77+NQmn+j9/DPzBqgAemUYqSmf0IzpuFOX0Lv4PmvBSHf+QdIaUL0Rj/dV2vXsa/X85v
oxluRDPqGVdzmqL/HhMYojADhteGD19vhhDnt2N1mzzCIREbjluzwl6i/uypzpV1Na7Y3d0XGySw
R2gvuuU4kaE7xmZpDhtirF3avqNXfT07/7wSRLQzbKmQV7y15TEz74aqahCE2dlj5fKqhxK3+Rqm
03suSH9503iGp1x4JIyQ4M1EkHPrEz6Y4ahJdceDsYTq6WKtIv/gK053U1WtGXyvenjEAx7bGljo
RKpvdxtjzYGa+b1Iy9d74o9bh54ERubo3APQEr0peeLUEy4lpD9WwqZlHabodB+aUk3BkUc2Rghu
xwtNos8/DdI/B8PPL/90m2/e/auPfVveRJ1PnXT90UoBxCoMYXbdzX5Ok+TD33/SX7zbnz/pLaNl
qON9p2h/5Nx+8+pmX7WINTJb/Nw3797VDwnAv+8Loxj2CxA9/XiYeL3kzX1VKlVkDkV39Hps7lXc
wcUjqPpCwtV2UuEX5tx+SOl3VR0hOSnr7mziASt1kNwzN/P9sO4xbXdVMtHSwCWPihpZkvteN64c
hrG74gLgcDCyYqplQSF+KizxxEfIoOmNGSUSm73gW9giLWdbsBu29L7Cy8cbFHXG6IFzEEIbjmYz
HKFaL2kgIzJrOXCEmSPezKLKrr5igVg+RBZHdGS/5S3dJJzXEtg5gOSxfiW+KB1ARGmWEUCUd+VM
K86cz2+JM2oXtsudtwQQRjXQszD2iW7oykiTml+KFW4za4CmrQFJbqhIhhppvnTtzigMfRJqk0OL
XIdsWocoVzUm4szN56jnVabFYEsxVPRT6k/nQT1217YLS+XrZNc7PWcGp8dArbAMCGHd0+iXZKyf
JYUVvZx7tCwuUBFw2Pt5/GuyxbttMTthAUrx2hbKX8ukmT4jd/eejnMAqIpmNdmL+Qm5LrAP9Jrq
0KpOHI2YpqIm83RY5/QwC3bAOnG/OH3ddOyla53NVRgh28atdVYJl1sZmAzgcICTvTlMY5NkrfU/
13TdY6B888A9ZLMUuLD+IREwsK0lCC0t99u8ofHAwDkXbUx9pqIaDIip74lGXuEyY74o1CyZQt5f
htS8T0ppmo2NvJpr2NNDkEvAGMHokczVDQs3GAMG+AERfYkpxkXqzFCSZki+aBPBn9e1D0wQlg1V
hMi60e2hEsKagxDVAg+9y4B0ISZIMHaGoIsoxzz4go6Ub+Az0rsO4EIIfVI2evBed0PYF60/5+Ni
yiQFYz/F62Hz/XKNgg91q9dMkrUc0ZUTy6e1LV0Kc6XOfegpKT0OZi8GkKk59wuP6zNvqGk2yeac
07HOYtgbbIn9WHnswwqFFFrW4uthTj7gxAL7g96DPlczzBq4mOrm49bS3K2NLcjaH9KefYlqcttW
0xlW59xfyJRJxLoBEh3V+Uw/sXQ81usz+KeLnq35tPb7fiknExY9xGF6/EaCrQgXdUwqdcn8FaFQ
D1Pd5Q1gT7jHH2r6qcaCLmyAYHLkMHghmBQCtcL9Sk8rgCiZrM4GhDW43pQzumfR8ZGG092K5TUh
uZkw/Wpx04y7iGagls+Gudv7a8G8yyRss8jsIaq6Mv14MXVJGfGr2uzr5GPddEdfATrZCqLhErA+
1PPeaNxdZy6MvO6mZSfUCr+5hzBxjwF/nMyz52bg6Rts0SDMftYeKXt6A+/vjaOZaC3WCcOW3Yxk
xj/XPPWmQwRfyfq5HVWu+Pd1i5Futpv0M3Kkgc4X2wBjN7bskulsHT6O/lxUKYVZY7ZMXWaHELYN
WRDpq1HhBOTFxarazOsYMiPUDmBJ6aX33Dz0SG700d/K1FnVJXlzh8ebzuvHNQA8IoessVeT6LIK
QDgF7sw75AizgnLYxLtPniwEI+cBww90VZbK4KwhaeH101nr4wBdYwgvw07MS24EB7TwFA5b6XyE
ms57b2NFUge7ZODXbFnydsQTtmmhlSlPz3KAk3Vjo53Sa86Aaw0DgRbFx0aSFilQo67d+QP7GErI
GOtPUyxKRIQX0QTTcsKK1ec7KZfd5JZ87muw9fcD3UoD74y0LYNo21E+nLkUtErDik5F0Nm584Q9
NurcNLxokfdrUnKhOT1Ior5EVZ8nIzrBef9VOaTyRqQMyYUb1D4kiP2IVDYgJM1TfTYidbmDvl95
Bw4fNendbG0JLdTHQKSZJUA3WlayzewCK/MgfNzsp4iHpzXlcoQCPAquW/YAjUY+APafMfBF97Ft
4Iyp4Pp2XY822+qnUCS7NFJFoHUOyWE2rmkRkgZpO1UeV1eIYt6zgcDsXaGLV85plcvTZcuwx/nQ
jHhhbZgWvoIpekuONprlTtDmYVQ1opGqFs29oT/vpn4ei7ZO7gliHvJBU5f53O26Zbm0wwZ+CIvG
5ijdIb3qC3Rd3+WgL20NXT+Qv09rUKfnFdXQZEL1dTYt8S5ebl2VfPfZAuqjQHPY3gtq5JJ56lwQ
hKvoZD/ZAbZcXv9SbViAWjVdYc86D9r+WSyKHhrEIjPZXSi/v6AziD5N6v3fFzDBDzXH66Li1Ch7
ch5AGxMy6t8UFQ2dQ92EqXfQEilpjZMf2+qQpHT8tAzdUnZ8O++MbgsFqqLLT5ExAbzQCTlPIyv3
FC4X51CHItdDr+N14jyTDfK49POOzjP2yqWs0vbRaYa4ERHx+Rmu8UFUJFh9Ms98GZbYv5VedIeg
H16mmLd0ep76ZCdci7oAAXLt7aqDPpejt15VsDDZwARdBgACnNd8p8zGN5HZhkc8nVh+3aZr5S0l
AixyQQQuZU5HEFAeK0y9XWxTTpv6rvZTldcGQTbplQejp4WSCxvEKmupRBBDereN6HRkNbbTUyPL
Yr90cIQQizlGsa6+iQ0g/9Ivnyhd9XkgPHmTDPgY7Wh0w6VqL13Eu5wscFTi2yQLwpX7xnHsv2uc
2NlRXupZX8H9pvug4ZVRODfc27BiGNDABCGRgtvBCih5S0swrjDOS6ac2GXDciC+wfajhLrX3FTx
9Nn6HMiIU67P2xgNHa1rOoC4Q4wVnrlrljo4ow/grJRFUmTI1yQfTVqdx+rUjJykyByZUjiYDkJi
3116slv67aGt6nDOFlmNB2u9EE2YFlsJm89GQ9Dxq+kdsIwwN4qcqWDyLj2Fhnjc7VVcTaKsefoc
KyBEXji02SinNl8ZjmCtQ1kyjI3Yp9YlZyi8gkJWYkQYgleDM8SKjCUEa1Mq2VGI5TAIX13P/YKO
1FHs11E/tel0hXXwYt3Cz26jZyNB8x9rutINwwOA3y+K63uIToJ83qDXTRz8Z32Nad0xBkEAkaag
KFovSdQi+8YiIw3HfvVQIVKhztKV4g2sEzIKtdu8D31qzRNE2sun0U/vgoF5mQiwUU7BfZ0ytB7o
+gZeNhdr2PsILl8et6ilGGtTe76KVeXxUl1vtc6DAWXIBhcY1oV7YuYJ/qg9YilojUqEcVl4GiFG
c3y39goVhr/cJ20vxwdRJZErYAiFJpIBHr5nM24ZFgZYT7oy8UifLQGbTclZiBhil8p0/uB1GnIS
nPCeujnCjsbiwb70zL+MzMg/bRP1MBQkg/QDIwZYVEvO2m5PJX+CFr9Jy7itb4020+NI9GO4Ttd8
7DPtTekxCrv60Eo4V8hhaXBXBgTB/DBarA+5Mz7sQEMtrhQ161280jO9sPimo85kXKI9c0KAb25M
nXv9eSdLMYoavYTuOC1jczZWF8YlB9iNloMXXFIvvA9qRLdlDu70GfTmXcYWK4skeGC6VZc4IKFq
Mq70qtqUfQA+Vl4GaoTTOja0Ld2bFVXBvCUFwzTCxD7OQ9ZX4mxOJxAbcSawX/Yxmrb98wFzPw2/
03a3NhgceKbffLP3bAeLHnm30G9ixv9fdzRFrDsZ92wV5Yi4s1DeBp3Nt47eTX7R+Oh+E9MnEcY5
0sTgDH4j4S8kav983uQNU8MljS/sdCeX88i5vEMVEbDHxN6QTe76ZNml4ciyuXnskGUALrEIzZOx
Y5yhzN5v0ruVmLCjmS/qpKoy9JwVNfvWbOOZ4MjPpTyAflLAWYpFU3SYJc0k93O04g45adPtIBoi
y7kLdiQdkFhNyrRBcrXFGam/N/ZlmM99zduyUX1eS515WLkWYs7RG5DDg6yE9d+Z6dUhVCLdn2oq
lNEFJEfZ5B1lhLVSD21ceMNwrpv+EARfBhrDtCXYganKkD+aeTJA6Y1U1WgbdLFt+97dxlgiTHvd
TsF5j827X2573nzzkxezXrRj67JeBv1+WpoJDe/tlVovvQpl2IqY1ij14IFGvRvO5mKbtuRynbGh
QksA29/hZYrRPUEsAPjQ+ldqpOcBJOU/9s3/Efp3Kwb89xrVe40X/vOyeVJiFt/13/7U/kWc8Lb/
H/DCE4Tzf8cLj+qlfxyffwYMT7/wL8DQC/842dAC4oMpSHRylAdu8y/E0KPkD9hLAtxAHiglCfr0
/g0ZAmb8QXRDsofkgR9o4p+QYUj/gEICLnFgI079YAAa/weQ4WssB0XpiUcHXgno8QeY/AasonUM
Lz0HhYpk7GtEw22XToKVLQ4f+3CMh/dQ6xMq/+/C61+fhyv/4dcNeVD8hjDqWLKtaGyZ8nns6jrz
qm1AYV6z3ZKycaejRe/TCksSBI2qSDvR3yuUV1mrA3Gc5tGdaYuzSzh1KEANLTzDurJFEdtmP73C
d9G0H9d5aphGNDoaDSnSp3EfP7E+aSrg2tj28MaL1YMUlp9xX6JHG5Fy7wi2f30DMcRfELThRaOt
8Yfc7qdPAgBJyTZPCu4IXO7tukZ71iZxubSJeIjXNHznzn59A1BmxRg4oJcSmF69eeMN65tBoc8p
Z+gkzh2U6TnvxgaZ9h26NewIUxe0NL7z3v/iJiMkUJ9MA2CLAzfo14+zb/thhjcccEk/9rAfIqJ1
mjvEDhgnD77wvv/923vT6HN6fRhbQJ4xsSAQIG8tcPWsar9vOhy/tpE32GO65TOnHXYsQcb5vkV4
BLIqDPU++fFEYba1qeiTRKjxc0xEj1OcP0FCWTtFx7IXVsSlYwS5qriHbS1a2nif55SqJ25H8iCb
EGe2iW3Jp3YQ9D2zm796dhggKOXAdrHgrfGMaiTtQz7JfF0IorSU6vbDvG4XqB6xLRv2ni3BayD5
9OzgUeojDBMDBInIPwjKnwZk2MKDnfAU5BFp5LknqvjI+hY5BhI19d+/p+CX1eAUm+BDznkqXxBH
+npYpLRfk3lA05V1yF7207Q9JEn9HoX3hirDHZ36rbBmoisS0cQQgb/+mDBMPNYrfAyJ0rVspxQH
rrZKvq2LT8tOQPsQdtVawBBrA+Uq9N5MSNTVrIre6YP5Ze6hIRtDK8DkA8f6i3NAHUdoRwwH2F3C
XThLFgzQaRzD835VUzE3SJbx6/S9qMjThH615J6SY9B6CloILSFwu3h997FFS2OjPJGPPYhyH7M/
q6TH8kCjHJ3h1rBfiEb+XvNu0NJfPXiGbLYI3feQ85HkzWpP3eCHXoP75XAbygit0rxtoRCrPBxo
cAKiuUXz/lUbKXZuFrEWSRsj0bFi6zvrz189eIwxNHfgoZ8sgV8/A2oqD6eaFq1vAzTfXiMuBiAu
GZ9nhLrUqXe2kUQd/n5w//rcAdYiLwjLLUi+9K21XjTCQgv0QZ3HYT/t3cJkvmkSno1tDSeFGL6K
ifDR1IzMzOPff/JfPPcwQHc8uppPDgDAKF7frq68WFoeAQ+I4BGRDmo614byvT/WzZdVq65wHUwW
tdfxsomUKmsTDIVR7D2k5Ze1BD2AsBlAuYJKB8XPmwtZ2wTdgEMCt5FUQSA7WuQWIS01b0GJvbOv
/bKW4KN8ZP7gU9DsAOOq1/fcWzTQ6DAWKN4T8PR9X5WQLrry7x/tr5+CUYTphE4KLJPYsV9/iqOc
B2aFd4okBD2UzdB8XD0ZvTNcf31sEIxBBAsaF2zxL7JwTWGdXG+QGk8T6KKFD92eB53LyDK+1xT0
68zAnoLGKiQdwf8GBeXrG6pauXDjn1TNihNT2inwdroB3jK00ZKnm6mWvIff2jsiqV8nBzY0qN7R
9YN+q+Rtl0YjlTePbBH5HHvdzoWef7721XixUOsuZs0I4GEDx0j93moIJhZ39Go9jLGtESg6EqhU
MC7f3PEWRtqX/dTlsxfPZ1Xdws49kczcNA1B0lNH52YvDDHQLZq1PkZ+798vkUjPAUoYvINg8Nur
wCVLmLVbCy1ZkIzTkjMvas68to6Q0BJHKDpkOroXf5DhvTSBNxzrAIQdn4d6ztaOBTNipVR31s11
65fK0fEL5h8OwjxM+LrncNbGuTQIQyTq4LRVxqNmZ5Ov6g9tlS5ACOKogYNPwsFNCUahlE6caD+u
BmjgNC/kUaILBVUJ7ZUHoEQ1a9a4Of2oNxy6S1+PbiuZ0CcVOwEVma2Bll9S6A5UKSaAKRkVzbKT
2E94Fqkp1dnWVjI8wKnBe6qaNfyCih2eLyil5H0/bfNNZ0DT5jJu4kMsSfBha4lFc7OtyQFxj354
0SDB96sQcJSByymR36peJZ8DlcZbMfA6LazvI397iCsdFKsJ4QBrbUWerC/Z1wARwP2NZNyPC+5m
QBxWdPCFteM6n0i2DQrYemhOa3qkSJgvsLDimUIXBEhOecI46cSlyMbJ8st4jNlnNcCgM/OaBYiA
SHvA8bBiglrCOTsP4JPC5NJjLdjObek44JO+TpqDWSYwLU3YNbCIQzsKaNg5Np8tm3A44Cv3QKDp
Jvg6W3KCEyYCTsjN0xKWbl7Uw0AoPN6aWsw4vkCqU/IlFtVuiwPCs4ZR7EYbl9PVNCY42w9sbGHc
KZEIkNXjFgS72dcaUeiQXTfgf+MaTjyTH/LCo9GJiEC1+sU2dqmxj7btAK4kNcjZssLHvwMy3qXT
hHg6MOreV3TCI5gNA9wC8IV9i83TuPMv9GAMWgJJu96pyQZpLhLkxGS+I/Yr0FiMIgW3s8d4CtEx
bEctb3g4O1CcqZ4SgLXJBpOAIJDI+ODojiuJ5jhMtAbMHzeR1Dk38NzNA96sU2F0zY9EOB3dTPA4
AcDWzPSG9WndlN2i2zSrwGnXpeGNvYQbYvd9AbQMHwa69Hd9FNqbaCMGMSvL5oNVd119xfoRyQUO
I9ruXO9DKLduzF5bGNF93ogHdtIlbDrywR+6rJ4J0PLFpoCiIrSyFlbH0Tc7LuNVok5GvGYaaQg8
e8aQrZVBi4gLx+Y5XgwFGynl2JQ+oMUbagUsKUjSR8gB7LmTBY+9qc/mRK5HgPAyxexcT34tbeIB
2245+Y4Hj4JLazQAgWKx9LvreENy5S+eLrXpXVpssO8WZdj5kcnhOOSdc53Q8SR/qIdiHQksUQYO
GgNI4Yi5ztHgfwHMEmz0YoCbFV4QrX2uhz6QuamJh/4WBzYF4hDP1uXo9dAKzHpy31ofoFEGv+Xm
RkPRuWbazFYjSHsgNosSEd0zb+nAFXS9GotRMFvGvUQ8RbPI9NlQg4uteOPdjhq882BxgNgvsMDg
uZ2Gw0RI9fE0q4N95EaA7liflq9eMKV3Jws0QHkQcEHEH3n1cgrp5qAapiF9SRPNNxwRCbLTVhqC
WEgcaH8krjUYe5YBOpjrWnxqtIH+BHJ04WGgsvmiQwKOAzZAenhHRyr6MI8Wa0K0jt2cq5mLz0xv
3ZC16DZ+DvWmHzROxGJvoQLQxwoTu6A14WGu/QVnBR27FcBiJ8zHaGwQv1jrcTU7u7SAL3t0ydS5
tStZjnyW1XUXNAGIhKlNaR7GnMgsCk+LNOUW1qxxBQHA2tf+HbMquZ1cRZAGhHSvh3SLZQ/k3squ
pNYL7h0XLAIhO4SqHBiF31fNDWgUp2AdMm5z9wJEMr3EfJwe+OLEU9QydAKF0FAYrPux7YueDQuM
F63nznHs49ckkQgnJtGo4Ihl6/B5Cz3k1DXexB5Mp3idc8DF162WvskWpKmPOQWMdUlN0i8Qn4K/
2i1RCFVR7II1+Y7XacePVnchLaogQn9cB7NlxIDqmj2DUem3TGHcFGs4xJ9nz+sfNh6DVOceJCr5
2ltDzgRMUAFma54izmVo7T1OgB3YzHgLr7dRcfAMUzyIQ7U0CckaAhYKdLmPfg+ZqvXE29shp1MV
Pi1J2vZl5TAZsk5G4JaaiS1JbpMV53P48dbxMRmECrGVeQhOW4kDlLsIt8KLYN2iTFLhi5xPHjQi
VbuNF21kZ1ICJEP8hIwBOGdLvKGdcwYx5+1ZILpr2a2Vgy9303vQgFTVZwf0Zc7XUQpI3WEIAxbF
aqy/NpzKCUAIz9up2r5F3YgOKoxQ9wn6BYmnMShs4o4uU73bIgExhBQkqLFI9mDuoN+BByHISenn
nR4iWTg4yByHaoYuIh66+FsSVx0UHtRCHVAFFos75WoDcz0xdgESkinw5KdbADKivsD0QfCi6eMO
vSS8WgUECQ6Tsl50kulZINcvgpww84OegE5wsf99WKphRqbhBHcvNNjCSNp4/fgVUhyvBQEgkicI
CDi/2Gw8PSzUyKHYahd8DDbcQqYbv71AhaVA9lcLfYplTF4ib/SLmKCMysi8VN/rJQHV3eFRdbtI
beJG4TzNs8D3p7CwQ1ddNInxn/3NapjEb+JhMC68rviaotGl89VN33ns0hMI6MKG13+NI29FT4wH
r4sQTk+IuFyJLiGh6XZIHcYmQ6Ai6OJaHBvRgu6LBRTN0h8XDcc0z7yIqdm+hiEPbj0R2HMWS3TZ
SDYrXo7orvhqZ4hzcgn1YTFUfhhdBv6Izr92C+2dhR8RGv+QlQCVVsxcjoZcc7egVHpcTTrTI5db
dwsukGFdZdhuckt6V1ZBr+WFDOP2PggrYBaQQsw7EOILnuHYwde0XlDtZgYaFVBnXW/O1BRPdS4M
EKgiOf1Mjq3Xfa/MMKA0oj5yPdpFDkA02oV+2oSr/AIh5tudFJEHHQMC765aIRH6o7oV51WDIZQC
cl1TBZmIHUEQVSK+lRbEVcbWOYKIIeYhBB8zrdHOCEcdvRZAxqpHw3z1PMNT/hZaWKiBemrYhNAk
MSM89wTvVLMK7zFo41s+2ekM+1wdZ+BukaBI12QYCxSFMi0C0kRIz+pFI4vYJtBZESY130G4MFVl
S/s6zFLeN/yM9IlA1iFZm73XeogYYz1j9x5cBbBzDd7kQ5+xdTF2FMYvGCe+yuKwY98AE0CQQ8mJ
AWzSof0mk3UOoWR3aLuUUUgB/Q5QSSG4Z+1LKO5TOPHLKD0EMzsJ/0g4f9IVfjFP01PH4ha2B0MW
Bw/soB2+ItWVfcS5J32eBuJuaQx6tVjaBgnaI2k6FGFTvEGN55Hqa9UvS5BhI+hl5vceqw9NascP
cyOg9+jjAZG7LeH+teRzQPMqqSCBIhaK1iKBf//nZozQ/7Zyh2pNtwbMKUMhIHMBfcONamsUapFk
43ERNZYk3/O656AjKPs27aYPjlYsxntiy9mkJkdgF78kXYaKoEmRZt4K2PYOtoINKprp0mKEgcxN
61WQwSAPFKbUEaRC2UmL3uRVAwY6m+qFHpM6ig6R6Oc9QkFYGWAngf0idYiTABCBN2PMcrM6jhq9
gi8+YNl1DrqCsNlde5GFWsgxwDIfAridbVm1cQtfvWWjL4Fpwa5wT8XZhKxZnQW1BHa+DtUwwo3c
okM3tAidOYjOrrDt0s1aRn0PwiE20nxVKnagyRaCZ1phMX2RSR0XsJ+jMpvabhsR7Tw0HnSRsFDZ
RYtBM309VmAqQmj4VK5ZB37SqUo8LiiGqkxBF7XkVE3o8KeNwNzrFczMWjl3PsQw64p1IGqgYIoJ
eq88qlakD2wnIM5zhHw4OUKhg6+Rws+3xIDGgPTSBYWVUl/GvttMXqcK22gHcVvnY79HbY6fzioV
2go4mr+8RHXgwzdnCCmyVeiAV7iqTR3arkHHD2avRpk29fJsiZb1tk0Ge5Eo0fnZioL/2NHJdehr
8eOjHBeMt6qfgo9mWe3ZqWMdZDCROCZgZiJqGSbH0A0wUOzAtuRukygHwSBMbDeHUiuc4rBTl5MX
rB+q2IuhMY26+NZFkbdkK0JaBRAvs1UlBZ8y5+GAJSf3UBYIELYLsj3diIVtawLI5sQWvmiqUeFL
EKEZ4jGH7ylkDU8dr5P1CqFa6PAbW3OiWOHus/erBkI9IcU0fDDz4N8bBbVsngQ88DIIe/SJJ4cQ
KONkxsSpBTFdybHl8mL0WyKLap62OzQ+BOs5U2BVd3O7+le0H9GDQ3xg4ggQ8uRhUw5HuhWjHpFB
fRxU5YySF9aazTDsbKIY1HXr1q6Zh7jlL55j6VLg3dPrXlHXAfyCKrg3cwt1AFTNZ+D8oiBn7QLp
7jam/CKda4GYeBHBOQ5/rkNpQsV424U8SopBr92T7CnyJdtRX2jkzS4wwlMR5EHt1H+1sVo/2Lry
XrAtVG3GLSHe0V86G+d2WGDlJlC4Xm71aUmxVWvhsQcfPnDwXRL0EC1MyZ7JeP6axmM/H4gbm6P2
5/U5TWGzu0+cMlExJ15Tg4CmwBVg2VN/C4xP8MIEpAgRiiM/X2WCfPalh1dtGVcbHqikHuIuWkna
POj0iHZymPr46KOCAq/4P+SdyXLcSJRlf6Ws14U0OOCAA9tAzEEGZ1HSBkZqwDzP+Po+UKZ1iSGV
2FmrNutlDhIC8On5e/eeR/ZQi7ctXS32oUQcQ7wsk5eZRWytUVZlV6kW8LXRWUdnQ/bye1xP8lsT
GfXJiZTq98RuXObGwY0+GLMCD5EHbBfQ/3zfK8M8vpmIFVyPgUsR0VZ5eKjbqMAvGtvyuzTHYl6b
TcmKmKmomCufe6+2A0snyUcb4GTWfYPqh2SF5azqAkzhqhMZUeSIOvlQVGNCU9rG1q1tH1coO4uo
idMdh2yarlv6bMPFnZ3I2SSq1k6jRKa14mYUsw1FPRdnzeHkJJorvyCMielkUATDOTGT+fPYtu1V
E03a52rMtM8pqWbHk2NhcMBPbm4eg6oyCRA4RFv0SmVdgRLopmDL5bF8qfPWV8tWMBle2RZBiho2
C5yzFLn+kEexmtBTDiV5h6zWv7ajA7qUmxpdzqWY6wdLK1S2s9pBfmxYxeMhayv5bYqG+b6CMRR4
bipDQDJNYJfMPkG7wsLyHbIwFTeQVUpy5pSwCfOvk8J5or1i5u4ielRg0io69pSQZZCsSM+lTE45
9clhMHvnys0TJGh1H4YocA0bVLAMEXC3eWe+KjumeGEUsskPSyv1fq3KOj42SU4Ts7wu/GaVF6mi
mO2PuqJZEp6urRpIvK2aOKask7o2ipzY7uhEl+nVmRIYbTJSmU3Wrmrn5gNu1fqmikxS1HpShj55
IDuX26wiT+PlmVF/pa/qMlMI9mJUvXp3l80wKNd2kCQfqftwM42G1jUPNauZMwb5LEmQrkyqYxg3
hJJI6rlfrqxGAIqYOGyGNf/VaW+GuLBeI0GxZlW2k8ZhmHfxsxG2OYq4WdZqbWc+DbWDYNIwOBda
gYiJdN93amfO1Uxo36xY19krR9x41YgMdfGSmKTTqD7gcs7Bp1hr6l7WJkAJna8lDgCXBjCCVs4w
ZPzbqk6JbILYcKojuZT4xIViahAscqH0qgZN7ZUWzYPpTTA601XSl03ruaUbEd6PvSuSh5F3y7dD
p0lP9KpBUG8i56pMp5NeYGLd39iT0b9y/mJ/dZURXo8JursD1n6VH+IitYiAlF1YmzBY8jixnQY3
aRGPH//TynKh58iyvIpc4i22w/l+cIL2/J+5n0yznS1a2zQ30rXOob2vU3Ik2z/n/n+TOGZCmNSW
LYOGVZfwP7uqGx8TcUW9XJMkC7r8CiVlt0YxIa+ixhq5exsRmobaxRJjN+8UOC6cqD+K2oupy9Kp
agMBvgSryCoDA5rFFQ2U2nQkEEDoOMRpvatlFW90/DEHYdABPSU1vI7y0djWjTv929KEAvwhMDZR
TqVsYF+4RDXLaQozsEq85J1xjKpOkKs2rXNqoYT98/f+pdayPIpmB4trjoL0ZfHI6GpbqyU7nCS9
d5IJ/UgqLAqH/8FTXFQwGHyp51z6SBsrbESlCPfNAP142hbaQ14k9Tsqj1/fhWgUCiC1joWMs7gD
f9aTOGaPc6ki0qmkPm5z0zd4Lb80zX89PJTBli9mwsYGznFRcc3D1DeHECXwyP+0r5YXKQJJnrCd
once9UvlaKmjLI0yyZJRervsnzIlPqmPailh63ZwnOdm8LSAHiJCZSRY59bddKpW7ygGfqkb8VCT
XDUgs6X8Ji/ez8yGsBScCCS7ucnhX7S3Q1zZu9rKXytfTOuGaqvnJwgd/zxNLnzZP1YfH5WCkQk5
XSBZeDuCuuYvuUVWn9kbA2amdMAbTWW1PRjF9CxK3byCnU2uzEZcX5d1dyqo0eheNTvletaC9yjz
F5ylv3+QQ0NgVqEFQuoHHeNnnUaTUb2p+RQqyOASjSpaj8FI25pu9FfDOH/r+qG/oglkgzKYtpez
1vaHXuIIcGUz0u2L6xy9B9VJz+rqVa9m/x4TBIkEkMfv7Jy/zH6H1bWsLWVAbzEuLZEiHXTfaTva
/Rrj+Ji6Y7ieTD3Z/3mIfvcUmiKwwsBe6FQW346Q5Y9NaZfgnNAtO9d5gUso1sp3zI+/fYgSy1ug
2zLUxf7XYzUXepdylTETuR9Eld6CfHu3VfJvKsCmg3TJdrApgPC4eJfOHOs+y32ayahOns2hJ/HK
BnNFsI29jZLASuCL3NqNDO863Yi9uekgLhhWbKzDOM73mWVEJ6cZNUjcvfPy5y99ARll7jGgLo02
aYJh4q5QF8V2ox8j3Odx4ZWZ9V2PgupTV1b39jAXJ3wG8TFtpsKbAX/ghRpUd02z0HwjVDec7WDC
RCmhthkiHp7//Lt+2R1+/CxUF4il0PxcIqxrt5skOffCo7tttg2KiOwWeKS1m9nJca76b0GaZ1sx
uV///NzfjJZcpsQi2Vz6yFzsDVxFHDpRMykSmxi09x2CSJ/c66Bn70kDfo0CmBE4zxHw0VRJUkN7
O8vJ8vbaXEWcJAki+75M9XWWTuYmS6kj0/9P9/ogcs9Fk6uz5c6IwN1Ze2c9G8ssf1ND50eg7HEX
ZCmns3NRQ0/diZC7pTyAHN/3EGEamN2wHym9qReVOoSIaXSP1uxnL24s26fEwKOl7Ize4kFZfk+b
utk4KjRuszql3mRklf0QTuSxQpPL9VqUgrpeKzEIQJjZitqvC8+u9Pf0qL+ZMBjzDSCKjo5u5HLg
MoRQg1+CX0/sYPxk4X6594mhN1Zr5fez8rVnQaHlWnOp4P55yizDdPEFLdpM/zhJmDWXEp1Q6m2p
k1bxMiG718HBg6qjg71Hu6PfV5P73tL4zb4FrcBGS7L0+UQP9nba5NReDT00Mi9FT3iPtK27mXJp
vnM8/2Yh0PMQAgGaOjQyl/sCso4oFi5Dl4dV9aDnZsWOFUQ3TlKKd6LDC9//jz2I88Rk8BAQoqu+
mINja0l2mDrz6laEnjCzlMvI1J1Er1HHahenyaALMvs6ayUyyl09ZB9E5F8Rqfgno6/e2Xx+/cIU
kXVEbuJH4CUvTgZSbEHS9RltATUR72SDtqtE7fHO0vt13iDUQblLDMk2gEbo7Ti6RkBZGxeiF6Rj
9JzX3On62h32Oardc5GTPvnzPP11RHmeha4KBSo69MuefFJLdCRePA+IVbRtJMUI0vH+NgQy9K8n
D49Srs55h6EO5dzbV4vIi6bVWOJy6Lr6gD0xx2rijAcrIrn657f6zVgtujTU9YsyUugXc8dNKGsp
ug2SpYqKrZXZchf24r2Omb8dK9deOkWhrJL2xQs5ItSTceCFfKqMDJNVn3IyQV47Smp0dtK/EwD9
dqx+et7y33+KCNVY6ZFTV7xV3c0Ple30K8Tl8RZj3XvK3d89CpDoctCaFozPi+2kdht/AG3ONCxr
GHt0J/WaNgW62QXynQva7x7FQbdQxEC9QTB9+1aBMZQjDSFx+5WtPPQtRmRzzMS50Ftt/edpcUFL
XvYUJPHcKkB9k1uS+nLn+ekLZlZO+bhFWJBDaHqt7AJxrIyd25LeCgs1FBtxl8mO42ym1t3U03YJ
92/tsPK92Cpxn+WV76xb9OYUSFp8kJgr3iOe/Dp5lx/JpBLo2Fzrkkilt8SNZccma49JuR6FT98D
Es3vbDS/fnbHIJC26VlDUA295u2nIHWPXhtIgQfOLNuFfgZHr7LntaTD8DuP+uUmCcOJQwMrC6Il
rq0Xk6mIOjvFjQDsCndXsqauoj6MDjXISeCvXempEoHXY7T/96MtKdRxLjoSmax78VzfneZJEkx7
/TTY/ioPgoYsv2j3vfBPfPjinsFvjkz1+Wz0sj9NiSrwgjXBplToxPGf9tHTKJJb3erVo6iG+V/v
vuifbWIt+mcSK1x+mcAFRKzjL/Nqw+keND0orjvgJF4YaO+p5H8dBGA9HF5YUNiAuVu/He8qS3Qu
9FHipZrrfjaMBGgu1etxPehSW/uqJtE+he+lk36dyy4XCeazYJfUSSu9fWpcUrCpSkTKRSWbJ3on
T4D2Z7t+Z79ffvzbaIvozqSFnU7jMFiEFy9XWj5++mRE/k7i9TiP0FIg8BWc1ZEzLto16okYkYeD
Rr525aYUy/88137znqRlCJeloocwXPK375k0dCY1MhF7xNLuxi26GJP5GDz8+Sm/rlmaT5MMIPii
ldUP19jP2xcbJWq0po1JgJv9fTv1d3giso9Wynnz5yf97n1cDCkCLw8ntX2xUU5VoEWD1iP80F1/
65dZ/6p0t3z881N+wDEvxw1fMdgfglZlXKKG5qLEpJN2uKk1qBGx0VI8SVoHpsXkx+socYON3aTT
Whotdad0Aj5iD19E0tKPWm+NDcVyRITx1HoCh8n/YFIxrZZbmCOXG8TbMUXWQqZ3aCjlRmFz06Cf
8vKE+gZXhpRanUHV2LD9fFvaKfo7TBLvPP+XMeC7MGsWsJii59fl5sAOWfudZfqrOO6Tp1Bzk2vV
+Nk7T/n1rk98vXQuw7yIh4Oo8+1rJtqQNpzKoaejaZiQZIfhLh58FHt5So7fThJn78YOkhmBWA3w
0fwiRdjvEnR5Gy3qWnpwpeoppBqz/jE9/pUf9f/ObHpTfssf2vrbt/b6pby0pb4B1v2/QaiTzKX/
3nHqvWSvxdeI4+5v3N3CtFv+xD+MOl39RczJfNIJcRk2Lr3/MOp04y+T7ZZQnhuES6bi/xhOhfzr
75wOuxRFBhbb//qPfwyn2FRJM9BQweIawFRT6t8YTn/sdP+1pH8UDxbdC3YkndgR6t3b6WTgiKY+
3rd7WtUHB1/ZiB7w4Xgqm61TVfbDbT5YwUERD+wh8FsnNCjOHZua8zD6MeiobkAIrgXAVNHgfNGq
VNtXitxD0jbI1qO0iTcoA607DDc4xsf+EXm13Ha1TA8/ffTbv3/zz8S1C7jtj1chGb14e4ggSIdd
bIJdz003QpWzr9w++mrWjb2dRFEczIHtfUgXkVo0JZtCn6yTyVt/pEJKNTC11Z1lztFunHT60plh
cXYycy+DutqXRlN+CuNWbCJfm3e1GUX7Hy5/aRY1ejN9+OKMFgaF2C4O5FHHO70roncA3xdX679f
DLwZw8QU4obNPPn5HOnqglJ9oOp9rZCRo+7KXvQJwjeBeLGfxqk4+Ab2F93PIsqdTbiNexJsZSDs
o20P0a6Lg678e7G/IU/+/LXfxifLb8KrynzhymZJLh0X14BU72JjDEWzV8sTasRk68Avm+vBHQwE
k53mJVEe7v48xL95KN5fNj4autAw4dI52Bpd16LkbvcZA/2JgF4jrJ9hoHiirezbhDTYXqPjgXrn
eP3dc7lb0UJh6dlGeuPtAPjxaKH457lVkTKzrbk4DlrxFOMT/BTqRfM50tK7P7/qknvib/2vpQku
cmn365I6J1lPHPLjJPjp9mOXqczdOR32Kh+PheR+4zlBoB+nKGy/gsMxv6jaF5/Y+4ttm+v0EOuN
8rGuZXilQ6GzOfRoum6KQXa7oWvsJ7QNxorw3kfdEkduvStLhphqyBw5T31YxB4pt/EBYW91BADx
pbHD8ZSHtrkG3ZKsLQJB1B3KT7dNozfPnduT0+mrw1in0y6Kw/zRl84M/7cdPqcTsTlpPPWSIver
S3TliJEx25iNEXxoVd6As8t668rIS+dRb5EgJHgW0BGiQKbKPZflptEs8xhm8/LPZlCMK7NwqJsF
MaTqvLfGXcF+dqLZcPrCqpMbE1/Muqrrvj20djhp+3Tqh8+akSxKQl3W8JgyVd3nIstfRKiN5YoP
OKLHyqHkLWKc6MbtSX/W3djeuF3QPiJYNFc4e8KT5g4wBWN4mVMAls7PRmz5ma+OU+ynJz2cO3p7
4bQfvai1ja8FnputnwOsaEKU6ZvSKPe+79fPiV5/lJWNlDyA+pav/AiJFOag8JniXfeYGo1zKmqz
2OexuVSVG1auGdY25A0jvEMBRxf5rJjQNOt8hUaIBcGX9Lk3tfm3xkjLa8px6F0GhYQNVg5q5MY4
5jJvb5oIZegqcyRapLaI24SSQOF7YyKsIwoY/2tVxvIRM6h1cqlXUMMaJxpEIyxij0yuYiWDYdNS
U4RFKJLHIohhProNvjTDd9xwpXLzs2jB/Q8SxJeKjI1rBWoz19ptb+vtvtW6+Toag13eK+s2t9p2
lct+OhqyQkeBCUcbw9cpsVFPVF9dWwu3bpDemCYb7xyrZNNrDbaEoS/udaugnmC1X1BGoz2iILLu
jOEB700VbEvU/YojoF4lU5I/0u0leEA/Gd4Ks6n2Y+3012TLAb+XUWhgqcNsyzCHW5VJNN1T6GPS
qRLZbOvEn+5kbEjAkN14W6B32zJG7aMdasrZYDsJaSKUFSMi4JI1OEt3ASIiOz8End0C+5tpZ41Z
BcZaEgeeZVRyb42z9qBm3XwFK63tNbVQ6RptuKG0DjyyxGalSnNAUFxOO7OOCwjXJDBvc79UWyxJ
0Y091HJnhflXv0fpYiShj5YpH28mOEifMfFp2z6Ze+hp0GTrUl8Ad9P0TTUTWO4u+Ry5lQ9f87b1
24NsCt0zlHyu9OqmqbQPxuhM69HtuzWtMcPHDPXvMc6r9sGtJ9hpYf6lAgO01zMOJEQdyglW5eSG
3/o0qG66TukgnczQuAaPRm5GqLrcmx3+CD8n6evEzipvouOU+9SK0ZTTdvU25gZ8EI5GK7com8cH
Gx3pZkRBvPWb3l5r02xtDSNOP1a9G02ezdpsViWEZTx3o8jdFX5WPfKMgOxTbw5muq4NOE0IcEWz
Ydej+DTl4R4NwXgfLn1pjc6hw+ikoCNROFx3EvRPHDlI8GrpHuvOt80rYcr5eRSx7TUyeu3HWr/t
LSez931j6vytrXVsh/BkGCYiQlE5Ica1QF81c+qeexG3iIXTfK07fnCTd7A7+2A8jrn1lBvBeGvO
2pWBkoLsrTbdDHo1HqXKX9v+o9R8x+uEPCVTBLbQkUX0PUi0RwSU5o7YwN45MZ54hQ3Ryzhs10GF
u3CAIjZXhfVolqO/kV1ueEY+nx1VMALYn7ZGL7Kd4NT6MhVFdmObeCmx7dJvzveTnC42CNQqT+gI
OB+ZuGrrE/ztndoKoEaJqj0n2MjWOIZrbVcioD9G8MoDMtB8EnyJFSQguKjtipw1jkde8Ukv/eJK
t4tkL7Xc9VLRrAwnVCf2NXulw/sDf5SLGhcWovSkBsSKojTcLNbk58rX7TvfbbKNudAL59xQ7crR
EL/LGhWZlVjdIexZ9J2/cWgfdhyKqbkSvcx3ZArleS78adcY4li083M2dY9u25t7c8qPbTJzCs0Z
6rRpzChGAn49mAEc0Niqok3c4Pey86FlOLQaIWkxIFDutbVdYUxxKa2tWpFP11oO7cusjdsSlJPf
xB+iLrzLWk21G4eGK2cnyYNdJgxrH1LJ6jAe3ceNXnl43tPtVHFueSmnZ96oln46GqM0lgMhi6X1
zSbQfPElRS/qRWbU3Du6lt0TsD5BZbTWWpT4u2AOrDtjdpOtUA0elLZ2NrlTwQCt+/JQGKV7tdgL
dmEGK1ZRyNogVm05Z3SPXlTREbPrhyDLD4OGrHz65MYD4MycbdOsvkeDY63t2Q/ocCRBJJbtKZjG
750f3SWZdt1VQFKlSiVMAMfxLJNmztnAVGhT2mdMDpm3edmOJipopa8dYCT1m645SrfFx5E6r0aB
GdLsq+Fg0ieNdneVdWK7HU4lprVN1e0r67uf2fZtYVf9I7QC4B4tGMxBBD7YKbT0c47DtzKQsjqN
eacPmv0xHodiraFN27ehpZMBb+NzmlQzFVlyZhr/KoEsgRUNp9A0Bdoux7W3j0IX2Jvm3pYOfVfr
YGdzUcZWFZ8qyRnew31CUExjAUc5d8Btqm2AQtsLSXqsbbcQONBUOHxuu8HYlGhU17OpnvCAPLZF
uzbKmv5WPRHJPH8th/ohn53gzkH0icrOuq4qHMS9ZXjc2iHLOUV1ndW1ve5BOnqVSPkLkhlKWiTc
/RyovTv7tIzpE8MLLJHRzbpVhywGc6qnfrv19bHxfNeBwDrYH0yRfOLjeoWK7Q+pjnFsiZFqx4cP
mtE+S1VTzNY6tNfSj14CoiuvoWmLF0T6fWKj1kVFufFF2tzYaE632C2eyT1XK98IbxpBUnio7XoX
2eX3PhDQiWpJwS88aj69QNETB10PnJMgK3U4RY0DYlV6AVnH2Ik+6np+h6B7gG8IY1CpAaHuhCzQ
HNxPLcgvoYUO3yCwPAxXmMWm18kutqGtxq3SiTmH9tnpp2vKBUfJSt/Bk1NXSGTsvZHZ7Tpyp1vV
tsmVm6Bn9rCIf44b96Fxm+ojZvZ1WahPtVY+x5Ti9yFavDvDpQppBxpIZfEBBA2iM1CDdR/RGBcX
9jqk9rCd8ZOwhPAsYdMAF9hkNRTWqT+4nQpPqW/bm8IJxg9+BVauBIImrPhxFj5G5VowsdVi54DJ
OZRYM0ODnuc6nm7QaYar6SfNdJOzTxPynYuoF5fyfB3D8ibpXuJ1hjcZHGvYbHt7Sm4KruOnfhrl
ndWKG79uMTBO0YNLRI95RMn7ksE/dJFW7TBUHtBg3kb+q0rQtLICtsh//TVJIRzbuo8n2eEaQHM4
ptgcTXdaXfYIQWCh622XATJDBsyN2dU1kIsmqio933KwXqdjsxgnzGNH6Wwnyi8Stt9j4BMQDXEW
3yYk5im0FrchJjYOFi9r8uil4sPQY41VSC39oePCscn7OtoXVhx9th3IUXFdr8t6gSzkSGB31fR9
dMNTHX5ouTMEVrhLtbFFOuVU7gbrxHmmYR48hpqwsNzmAwmnHN/vfE3KJNpCJq6PXRymXhG28Qrf
h43n7mosEns3aARg+GfxNzaiOyc1+d9xDAAJlOaq1Whgv9OzHrNoKIItTvThhaKD5FeR0mRma+fQ
hoxL3+mDPU6bhnhlhevSfSCiGODb2etO1NF97oKWYcyT4lNuNNmuzMCKGlOmxyu88fMhNuxmlQJU
TnC9Q3zAMoKp9gPZB29U+tbAo7ixGh0An3lUY5R+FHV2wodk7yOT5d4Qw+R62n1FY3NQ0KzzJ+GE
+8B/ReSzxu+tU/bO5VoX07lEhbYE9BDHzZos4SQPVUIIp+1Q+MKCoWBmTpjKXLs81vPJ7punscZ9
a3Mf1PqnCVYnhPNjb9mckSp81GKQ5GXW0VqvWFMUd3a+LkME//OATynU8GZXsAWTdNC2aZGDXDcG
A/I+9WxwMzThUXmV3fQZQNUp7M9NfO/jrqjAlPfhuEZHvTLc/eSmXwp9WA89LaN882Fwqw8z4OTW
OcZpHgO9jW7C9t6Isa2PL6XkRSgtY2Ycg3njiIcmHYnWplMpKoB82DkEDFCfmNMK9A/snbU3COT5
qMZna9+62YHL7NqST5XCSBnaAaGvc+tHT9hlacXd0x+qq+/Nkp0nqw/oT3YifmSRGesqe55rhWNx
Ml8CGZ5teSwqI9045Wd71MXeMT+VsWWtejhRtrwd9WJvMDu/NtjXn9GU0Rsx8A8yFtSh52TtDHH5
QIr3ge0PX18ezvKg/MDBJuxaKae4M3HZaGFxBB1dvFeOkbAxuOSsZlifXZiU36MM3nM8+dfKbbj4
IEtDNTQ+pQ0GUFkUa13Fax17hrXqHAjjmlHNK2yd3L8nzbyyXF/daWxt0BftEJtGBX+6FUV5NUxB
+BXhGPTzSWiH0G+DqynHIoja+5iBC9K8xgYgTh3FWKvWKTepQew7ZiNNCzNcBLHS72CDDTe51J2b
oMJ2R6b+q0XlmtaCDIU558MuVqa/brunZm7svZ8ZXFZqLQGfmKpPgx5ELOfJKSFHiv5jivZiL3zN
fcjGjxV12E86PpXHyiZS8MGJeYms27vS7Evi4rDd6jFdlDUq49CsR93xVCLNA41F9NOQa5MXd/6N
GQ6LBZ762H0dZosWvrkCYSrvWPr12jQogxo6Dls6lbWHodCC62ou0y1esM+xkc0PmTvEh2mO5rvM
WeD2oWUZL5Y/YcWY+yqEuZkP08aqNeMLzIUV9BNyZi1uyQn0sR+6ASB9a3CLlVHmA4biKn/Q9c4+
GtoE19ZOJo4MOM0NPoo9yweckd9cZ+MUAPkX9a2abaytCSJTSkXsGKAjzkEk3ZPhG8le2OMB86C4
QpZX7js1l3fR4q6WWj9Eq1a3W6yk0di/tKCbdlEuud3YscUFucqTQ8X9e5s01Wfc4nJV9CEdFM0p
uMJ1ZG8iq+y+TU7jfjHKfvQGfOHEfFCT4dmJXF7h7EvmlejzDrDBNNzqgYifRmlEtmeIiVDAKITz
EfBAzgmaWAlN0cZ6xdWlfDaKWX+cMoFMNa7D9GwaWnYbGTZatjwHCR/1Lg4QTd5GiZ4eg4JgD4M7
VO4kNzVzi+gu4jT2hwYGKV2I82Q4qQabFSCX0d3TY6nXt0Vl+cm6YG9e05GEO1OXGYfORzyQZtGr
qlu1Zj7259g0npVZq5eMe/5qEZ1+0/WspKFLmPZn0qY+mHutzw9EHaJfcqAD515qsd/oMntJSSw1
mDbwIrZQAcykMDydz/HZyDQDuocpAhKaXBOycnioi+GjlUFMR/3mhWaugMp0defNIkHZUJTjc0QP
iGvTic0t5MXHMJzMbQHZ9xmqwTElL7nh838IzABiwWjTXEBSw/f77pTpc7xPS27vxOvWAeqfnx6y
vq22+HTjnZX2zd425jt7bCChuJmAHtN86KhKnYlop7tauDHUXy2577n/bXvFqMyx6e4qN1TXaTCd
kryWqx638mG5jq+taZY3TNJpE9oRyI1Qm4NbN0zcs+B81ic1YQ2T1iujWHi9Sj5zAw9pmQmlGK+i
UMlZqw1zJ+ogPquKCJVMJ05NMYSVsQ7gzFb9lFyHbdvszajLb+s+1e4BHMhnzoHqYciRRXJkkKSe
GjNARTIYBSAdPcY4U2hx+JUWMY2zEo0crkrXTUAz+AneXkd+Gwd9eJC12RwDKTC4uhp8XXxx1Kor
Z69ptX6la45/DxxHXYkEnyn6fIuLsg+5lV229QKyfdsU3WI2zyJb4Y3uVrmjSEpy2qTVrmkwrsVy
Hr/O0mo33BsSQp54yD5jklcHwA/iqM1h8iHpg/bpR0a/RxbzVM2DdhhCt34G3FJidG5IbIiiO1sY
oTBSVjHmrnK0TprUta0+ARTwxwQPtZzmLfel69bJyk/d3IqzXfYZOMXe8r10zqxnByn7Wg6aduuP
Go00gr78ZCvfueZCXcZrUbvtldDSqd4w0AUQ3qydv9QyIR/vG1CZmnl0TkPiWLfVOPUrt4vo9i1K
cj+tL66x7een0BE2+aZYfsYVk173YZxv9MbEJ+7C3P+SJbG/FSDwn+x0KD8lU+Dc+ZpDd0JRGldQ
Sxu8yn7bnwF1kE+Y4QeJ1Wz4OPLbuWif3DbJdqkVAYlpIR9B/UaGTh+H0P2maVwhCL5SIs+Qbkud
HL5MAVK9AYAGzcE7dR8GE2UTzS5vJyQyO/gSr2NUo5nVCtM6kX81z9Uk6m1gFljfjbmON7MVqu8i
ASAdi3LI11WsF7e0FEiuy4lQmFgheR3xRXhgXJy7shHGYWhs41VUenDQBgGTSBrzFiyNOKN7UneT
O5afNHxWZ/A/kupO252n1pHrICvbp7ZDOtkU1k2s2vTJTLP2KtPbSXm+rhegcqzUuUtDIzr4VZfv
LJXzkUjkFYfEdrON9BFeR8CXJA5n2FszV/2nLrboG7c4D6iqdDK4HkyJnBMe9kPWcNzuwNDMoI96
Rtkx0nlnRWa3d5t09vp4UF9AodDbplNt+QmQytLno41ba6WpTG1BpSlcyC7oAByn5adgKp3NWJvO
Cxozg270XBl2fpi7Dnt3b8MsktY5p6HYkxzJkK+DRpgrTbbi0IVo2TUgaptQimkP8m964lwnnDdd
2FF2EOt/w9H+VV37/0fO8uJy+O+r3g919B9XL3nytuzNH/m77O2IvxylTIEoDoMwdW9qZn+XvZX7
FyRYFOvImnRMKFSc/+nM5v6FNQ2zCLBT/hRCVupw/1S94TZjPObyZli6CzaS4u+/wCy/FeZgSVl8
AWiibaTBps1ceVvPK3PfhnpCWyhR99YdsKnq1NoCH38TZ8M7arqlEPpfVbx/nkUB3yW0pTB9aRCI
xhScL/n5jYLKvo5MLb+mtpUB0CmB98Nre0cg8rt3o1JJO2iJxBU5/tt3UyNLIVcltIWiCdb9gI84
y5KMS6Ea3nnUW7n+36+GA4tUJi5MZJoXNWAZKa3BmjlspOu7t0Jr6ldqi92jGoB+ggvx/esabDJY
t7hu1Oan2fabcv/vHo54XtHcnqqsYV2M4ahFbkPMPG4SK8/3pmrgneWzntPNJSqudUs0txhxnEOc
+vGXPz/6rdLn7/cGlfi/uTuP5cixLcv+Sv8AyqDFsB1wTU0GGcEJLAQDWmt8fS+wX2UykIR7pQ9r
kGkv41lcwC+uPGeftUVy8hL42nk1kOxJxImonVq7QphccxCNdkreBGcy7DNs6PtjuGag9ZhQqdQc
zX6hEUO9G7K6p5YDB7GME+OV2WUhsYRCfiTwRg17bUJL1OMhutMr7oTYwQy437QE4f71L5aQZ1P8
pKKrMN+rYD6kooGF1SEWn/26EFBxELMG9edn2RkK5TQ0Z1MFy0TmvgTmmIqmmYLLk0mlTUS2NVHH
8ZnY1gC+v1Ikf1VqhFhXY1el/qYmDQ0tQDG9J9Ib9X9UTP9TYcO0NoBfn5RcIqlBc6LAfxRbIPtA
PVLzElbDBdQkHvmsDM1wlDsvJEDecrBCX/7w7/tXNViK8C1jPM8r8kzi90I+whsS0RqsPct7kwbr
HP31k2GLQhCtxuRH+c+HIKs0IjPW2nWXcyGKJoMYVqILhgr5Vn0SQ7OyssT/2X9lo+ZcoaehohDA
axKPtKOrx/+qgPd9biCFmZjiYE9ktJV/PkXWO1dvpaJf9xFRzYpzHJrc5Jzoeqb7mMYCUaNJvIlO
1ZCs2QwsDU7EquSS9a5MZS1JXouXTRNkUMUU0dH6WthSaFCfmfhTq7NpoCC/1aSpipdVZvbblIhj
bVBW9GA3JBuq6DPba1lt8Ag9p5mcS4umX8hIgITAfONb6ZMG5cPEjgnMYs4zkqYJBFxJLOpWvptm
poaOOZYiZY1YKabbSfBPiCJuUyKqxhC+SVVe3frQCwonjQqv35uZFJ1T+3zSD9hC4QeFoJUBNZ8U
YzgogScrCBaJdx+4cKcbbjfWAXmBf2aTfl/A/uxzPiS6eip4KG0w5lT3uhXbKuuJzABjtwUl37Kz
PAVCe5BE70rrwLdpobFOcv+Ih/o5K+1/TExqG6jH5ZSkkT5F7vfnR2gbKqVJgZOvNjTP5hKTkFIg
YH56jfnHQQS/CHRajCdFUZHYzyZmS0reqIO8Xo8CvKMsL4YVflriKh69bquYwvr04yidm49jzt5E
JalS0hG+MFP//Fmei99pLYTZOhlUn0q3niyaLXKaoA7Gr13F9k1f/pULGaEC5GwxJjexgcBOxDwF
M8AOyBYkF0bjRuaQ7x1kkdw2Lnl6cxWTX813ZHazn1U9tpLjNdA/NzGhYS4QMlJAYu8hOcVacxHm
uP10ZwkC4L4rCK9SsAm6vNWvDK1qfxEVDnuCKoF+P/a+O1yNowWJA0lQgDsd6iGnSUzf29Qxcn0U
N0ojrYmJVTBrS6G34PppZugYaRYojt7KoX+XRnk2HMc0003uv7qrrAdr4Fd3auj/hPBkcX8aRuC6
QTMg9FFbJbBRTDSPKBrCx8h0e4+gGLyZVScYVvKYQipD9QMVDKOGJlU1j6Rhy7KQm0VGIt6TJqJf
pYPqb7QuvjXLIAIQnEU5/oZTMtCE9fo9dmPZQDUcpKKdGzwoo0zGt13Ydt/dGpMr6FnB8FZ5CYXE
oRhXb64kynj4sdCKO4Hgtr93rSK4ChuLUD/0C8AgggLlbkpqExeNzIjoTdRgrnYjN6OXHQuqxrIr
Yo2oo1a6OVgBX7QQlPgm80pVdJpWK0m6WK3cwtsKcwYJKm7dMbSc6x6opSbat4JbiXvZFdJXXakn
7GYQYZqYp6X1A9GQ5O8JCETGOiPMtykVVyR/jzobb7PeeKlrzHs4PRguRI6IwfHQWkUbHoxaFu5N
IaK2NXMnsrXSp2brmBX39UmQQBoqkmoRjBECLKy8y4KYDWk+63uuW028Lft6YgXFZtmtWqKmwgHz
ANXg9YemtlMq8q7VtB3cI76iogV0IBYOBZ0Mm6cL1XBjqbVLbXZLCYkjs9Q0aHRc9Q4PFqU8EJHX
8pVCbz4NMeZbBxMRyUAuOSrrY2aozW2CFGeKA+Ak5/QIIrEo7eEKmbHni+vU6+XboHWDqz4uKrCz
yBB+s+8PLyxwfroNQGxw/05BTBW5axQ4KzSKvvEjt/C2SDDCBNPBLPhZm0ZI0jgd6u+kVzTJHqej
NPS3pPwNjtmwnCrOSVToPW30eYHLoh/6BBYNn0AiyatCf+zh2xGcM81wcMBbI7ct1dro78Z+JIO7
Ugn6Yr6sNCrmU3kukNDTKnKltVhVjS2alaA5YqtSxCmThmhWtQpfcJ+Z+DbbIgtBh61bXAg39RDn
zU/DA/34peotCxSW3uRfcj3T+6+wa6r7vjVFkfSewvqQ+ErA+AX76W4EjZHO5PNJdbgDZERKjzVx
rzSNNgIvJMlxhXrBfVEqRU9xqg2xBSxEtX98Xyz/VYjhf6d0ns37w74xmcf/4e6+y1Lv/xynfz3+
X87Mfwvo3//efxT0qOGnu6yuchDTqEYlyPAfBb2k/BcbGRSXqZaHWc0R4j+xBFn+L23CTlAOQ6kW
uBr+0n9iCfxfFDhxzMYZHmoEf+/yWILAtkcRkcjj/9zdRKQTqGJb8ehplR2NB4uzkXyuAvLPI9Df
jc9u1u1QJSkqF/JSOniypnrOA28P4f3MHv3nDv1389NjP5z6WvCXkGYr/DPJ8xUCsMtg9eErnr2d
/93y9MQPLZtiHsrIIsVjQR42lnty7xVc/mw79NeyJiCseTv9oKWfoPz5oFSR8BBE4Iq05Voqrwz1
3KFsqesZNx9/QdbIoxzg+3NsZPzcZHCAwoRdH//VBebvDpoduAPFbIWumDqod/T8i5ETX/srCPdJ
x0+T4cPt4e+GZ8c7IYRdKea5dJTUcYM+74DT8qpNhE1nZDso5LcN9EKt722l93ZsMXdGWdhmba1Y
ea/wtbr1JHfNjnY0i/oaLTdpTqoHyMZTMr07/Y5/Xqv+esV5aCrLNRNwmygeey38CmobxqfvjNFv
S00OktZuTz9lYWTMHbWkuJXYXOlhKX1FQLvCgvt0wwsjY4pOfhwZXipgRo6Xw9EQnwdAzXq/Scwz
IZA/o1p/d81swnvYdda6yEsnjbLOlbUxcgYDywwkvJR3bnbmJ7wbu/193/n7OdNv+zA/vTqTjSwe
xaOmvJHdOxYxJspVsB5i+KWaS8pEMA9KZuBDGR8yIIqe1HxJonSN7Nf2TK4og+h4AsBc10WAlW8E
Y7wtYNtx5HR8zdsknrAO1PQ6dDskRmC93a7c9ZyBWkQR2DVsZOTZI0THEtsdpY1xIn3uh5ccAp1P
qsrNr9OBNAvgTq31bwbieUgkMQQZNxNoMWr6mw5WuUehgKIdskzexBOg3asJr5Z4GogOieF9BWOi
iroboXlt0XXo5S/Af6s2GNYqoSPX+AUT1OFMaI8GXpTqQzhy5lDK+8vGyWwNTLsQwjx2G8chfSzK
VzW8kkDhn257hnz5+wPO1j1qC0v0uswhvYhWCTwZtSbllXAgGqtw1w/7oUZFSi4cfS/6g02eYkc+
mLgq+8ccT1INm1QzFp6wLtnBgDpEVnpA2JE4AoGaoWnPDLQ/Q3p/v+ZsFU0rr2jykvHcor3o5K8R
BvPl8Coh4c7Kr+NoriLCDaf75B0x8tmgnq2pTMt+lIRaPCqm+zKE0qYyiYeWpMJAQ1rCfojfpNBg
amm3tV4nHC+5MOrGUQlqZ4IJt7XHyV188WIyfD6JYY8Bj1nJMdcLcvwUEsT5jnyuLVuq3QaT+/Mk
ZTpYSrEy1G8aY8tvBOyxZVvLf0PDXpVth3ICyQvKySiiWiXJtnI/2jUaKE987KRngqcuhry6+2RG
bxkC6QSN7On+WFoAZzsBWdKma6DYH+XGAFWNmtU90/KsavCvzzov3M4k7iMJFgTHFpWmj75uupET
6/NLfqe07gXBlkr2/ZR7/ivJWmPE/UNSHXLCuARwqUZWj237gI2HLEro7u9THcK5pK/TyXP+ot+v
zMIp6NaUwtCt4RjUw85T2c2En6dbXtjA5nBCCzN0N09lthYfoZSyBqwZKL+SYicl0pnzwcImo8w2
gpwoMzI/NplaYMd+brvvivB2+u0XxoUyW/sjqsKjamBcWNaqaHdAVk+3u9Qrs/Uup4yDuija1VlG
XPxqpAq3hHKPXwjFko+nH7LUL8qfG5cep6DDKh7SuajDb8ICf40zCKOlfpmtVcCd9THzBvHol9Cn
qXJ1Tr/ye0n2J+uSMluXCqsg0tj2IipE307Cckv9FcjV2ElFi3iiuTeCb2WVr+TySxDuKwloSaY+
dXVNCZCHDUjlSIgkBYL1XRnt2jbYWECqA7zhNBntgats2rHYCglCq0haUSS2D5q7KujvW+NGhm1b
Jd8hBK2FYV9rQIfzfeAh6N3k3ovqhWfOdEudN1tshNbok8E1OBSVwkYpNiVFTWe67/MD7Tx8qOdD
VQZBMl1SHsLhSkHVcLrhhfE6JzXCEY4TVdLHY0L9RNdFG7H10SXd9665MuC3nX7KQse8Vyt/OGnB
Lx4F2Y1YKv2tIO9L9cxEWHr72QJBiTNsccq6jlEgg8i+GsOXcfg9eA36/n+HtvlrmZ+u1R9PiSqF
cFoQuuMx9n420hERon1Zp0yd9aFT8rDMO5myVITd69Yj/nTmky6sDu+npQ/tdlR7IfiTUS9X+UaX
OgDe/q3gnVmTlz7lbIEgtl1WCjysY1IHTt1ulMw60x9L7z1bITwgL5kYWeMxcx+rSlipOKtjmHCm
V5aGymxuklT21HIoOewTcTaip16889XADtmz5e7X6S+68Avm4Dxkz0ljUCB31MpdrX4xkK5RAHvm
Byx0/Dtz9cNnDVChEVBlpmboqZij5+74S+1OHfahXX9sE7RvtNt8j2HgnzseLTU7m5p5DYu/sLTx
2Ik7H++Y0Tndx0vtzqYjiRuPEmtet0Zn3yFu18/sfEsfb3rgh34QZOKtzdSw59224j0GFb5yxmN3
6Z1n+zWBcHLlHX2R5nuhxULh4bK+mM1F2apCRBe8ssW9Ztz9S4rLX0veuxjjQ1d4yWh5NeZv1Ltv
jYesWV/2urMpiC6qKouCZqPgOlDsdtxe1O6chBAVHBLLinYT775XXovu7bJ2Z2fnOkIaAOGGld/4
3qOoDc+hnxbGwxzlRsFBocYZayi0IFKbfnRhR8zmHBkP5IqtOh5V/VEeH+tzF9iFtXOeEMbiEEev
mo4I83s9qu9xMSES5lFlae779BxHe6lXZhPQq303CDOe4qOzHoRDRiHSZR9yNv/ytirascrF4+iv
62Hf95ftheJs/mFwiC9ipDCgY6q37NC6bKLMEZCNkOOVpNLuwKWhsWvvslPknGimjBL5xoj1okug
IOBYdWbp/PzLgen4c+mkPksi0Wn1xwSPv3SH9+np7/Z54ESay49MP81I6tIPo/W9K3+rJBuHprIV
t6IC+wl7pU1Q351+1NJPmO2CkUShXVsaI/dkQknNk5T+ON3w59uKNJc8JkWXG3XOnBRzcmiiuJUH
tgFtc7r1pdeenvphpY4S14pFj7NeL1PgPtWXvF7W8Gwyhkgz8tSg69tyrRs7t7nwhWdTsQb2m7q9
yeHUwOWL3OylLzybi4Mi6yjkaVilhI8StuZ4WUfMTqWl0iQU+vH94J7ESF980BGnW14aGbPtsFS9
ioJXuthSMX7jYtvIdymlpqdbn7H4/3sTl969pj8MDUh/nYeDxXiUwtdq8O98C2+eZoMFJRVdBjiS
LxnOYgW2owAbVwNgCk96iKUtOkMFKxNpEHcBloJn3mb6Uf+8/oNv+nOgBgjFBKXkbaoWWT6eSCoW
d710aGp1ZTEz6jCwqTUgNX3Rmi/NRXEtDJy8gT5+dGP/rsiz23O2GQufbW4P3sPK9fOYX2I02xCF
RObeAsU689ZLjc/mc12Rumqm0VYrVPzE0cYUH6lKO/MVZjSlv8fEbFbjvgIJjCIkfMSIpbT9Cku+
DR59tp+9ulXgCBaSElk4yLCqkTqvEi10ciVwOmyKUEyiJpI3mRQAcxacONRXkSEeQDmeeb2FxcxU
/hwjoy5V1GkzhX0RdEq4B+Z1pluXWp4tDv3kX8thhVWHgsBsnxpnVrOlzzVbHFT4Gngb0G4gHfoM
iJOOCbs/nOmP9/DIZ5NmtkIUuIml+rSmdRWKrTDeRANSD82OcqRb8rjtQ+W3Fb6ILTZM7Y/UeFLl
rdbxmVKdiqdfcaceW3Uz5C8gAtZVFWHTFG1zWXdwAcUkS9nn1bMmPJye4tMh85OXnUNaSxHAQNUl
lBmL3ioK7qsux+ET42zUS6efsPAV5wR30j1NAXNmOGYq5u7x76G+bI03Zpt/rGm5H4jpcBTJ7XEx
uexqDYp6NqClLKK2h6hdR55ESMLVAC7isr6YLRQBSASpD+ntITtCCU7bM19xqY+nP/+wayiSNpYl
FuLH2tDJLHboqC4LpIEy+rPpIk4wbyoQA+okPYEevVzWE7O5DYtGqHQUXcexcuQ7yjsva3Y2tQVy
vuhQ1YFqaEe7ubjZ2ZS2wqhGHef2R9iPQfsjj6ufp993YSmaY/lyLfdqKBiEWMtdKHzrzWCNzd9F
F4d/qI+bMEco1/XUW0+e7avyskPmBPb8ONjagaMxpLnhCDWMAG5x4dvOpl1PMT6fj2ap4H/A7/J0
By/MjDkctBOFgDoTBkTq3wEReI0FAFqnm9YWTkdzGn+pK/+ZdS6MLqn9ZrE1UyxbZO5GH/fCCOeg
8u7FsFwJmDtqGRphPKx8863ChqfO8nXkPgpCDgX+aFHqOEj2QIJDforKFx2Y4FCjMg6H1UCBTDDC
KKSuIg1/dqVAwf+wM92d1jzU3UE3d7m1dydgLpFGSm3ylQXTZiiUFVaBUBBX4yiuErHE4FiyBf9L
KX493QNLnTtbG2rNSGDRdcMR3Wil227pnG53pu3/68QzNwMwrCAoBk/sjx66Gt149DCSjyRxk3Rf
XeFeDH7F8ZuQPBbdi9a+ehx/Tj936ffMVg+/F2s3BUl/REpORZY6nMGgLrU7Wz7A14gpVddEHL63
4E4v3E202QXesPrIc7Wp2d9adkDke7oXFo4E2uzQz44nDfH0Vd3wRecwF48Puv7T7S5L7ktz2aGC
v6VugkQkY/Cs6KtAPRPPmNafT44yc56rruapLpe4w0pIv1rR5R9lpYYPWvqtTc4dxhc+5bxmz4pr
hRM4QUCKib0Wa9czQ35hI9Cm533YwQsDu/pSnb5lsqUmYRUCnVO9c8mlpbeeTdRoMBsMq3jrDAFH
tu/OWR6+O0R81uezbRxvZzRlNbVlmXslecq9PBy8TgW9+CT6X7B42I4qWLdWA6MT3gWUVArSjWQJ
mwBYSwjLUvPLnaYOh5TEpeJF6yJvHDEz7iVk04LALSUHavrW5LsyeBIRWqdSZXckgEYPV6iot0+P
eCqTFsbObOarrdSassKtPql0h2qSdZOrjknOuSt+ha5kZ8SXULaTHk5sXzTXCb6ilFpApdq3MfUa
jbHvOe1X5U2bd0jSsP1Wm40A0S1iYy/1tSyOiHk8VGqqoyDdyuX0Sk+vek21s4wFO4rXlgRN5Jci
h2huvhq58KhK7UaTk9ss+iHWz0Yjr6sePyvK9XVB3yhpCYEqWA3qzzy48n0BRYu+qcFW+S9xuDHV
4lpqR6fv0Ydp+1RkToz3bcxLgrzPLCywNWllml8UatPL/nsMsK8Vv2F4aldiTSpe5E5ZYiqurnpQ
raYp4Aj+ZdTuDIAf2CFuNRiyqek6XbwexS/gYezEU9eY+9zo5rOpXEUZqI7BcqzBWhvddgJD+qF4
Z4Kk7HVhXcrSKkt+U+SM5v5VqaO7SmlspaguW3OV2YQaVcr3C23Ksig2GbI2OzdWpiHxyZCfm6WQ
VDZjo+OsnedPmXll/squSrAmgR2Mm1zaedHezfanx+XCqFRmsyvQPB9FITdJNz5QYkXN0VYvzmYm
F9bLubYDd6Imw0iDGKcgrXRwfxwzht+xcpXHTzEs8GbvKvc1/o2W8bPyHrO8w4XvUYg2idatCt+w
W1w1tKJYWer1CMbbjDHoapqdLxF6MHzbzPOVaz6UXvbslxQ2xbYOzzyRJRBX4JAtatGiLRq0Dnld
s5Yx8ZatDuMFfI2fA+MeBGVtbIX8nO5wYQ1UZptwrRq9OwgiA4KiGFcgC35/+istNDxXebhxGZQA
oFg7LDsYALc8nW534eu/Hzs/bAmjr0tBMQVWzOoqLA99uBP6M1rdhRD9XMaMPLzQBli1x3ayGo9+
Fd57yQ+wrnAD8sYZ9OLQmefKwRcOFHM5swsjaOjcoT9G7p1WPZXRtQo6rm7P/Jil5mf3EVMK8rHN
2IPcAPC1EKzzASBLYOtdeOZcuDBT1OnJH75E1bRihE0mMyU9UmwKUXPvVgeGrh6d+Q0LY2iOc5Dx
ocZznQ2aq5rSbOJufXoMLbU7/fmHN5fiIFYiyoSOkbbp/U1Sn1kFl9qdHSg6RcYnBFTaUY/2PcRS
7cwlcOlbzla8FByilJbQlwioOkaZIp9OIBjfNcTRznzMpbE/2+qBGraqOaVbu+I5Ll5V4aaMupUi
AvglBCZCzsrTcweLpW6arTmZHjVCGhKi6uvUBtu8RWh22aoz17ECvMpS1a+GozlAPj2G57KNC2N9
Lj0F/6MM/pQVDMC6Sd2wz7LAxpSb3okPoqA6pwfm+x722TY6m7V6FtRtLLO6GcpVKlCnolxZRmGP
4h3sI3uIs21u/YAFIaClN4OdovYrsbrVKF/voP2FZrqqh41bSitxLJxOwMAhsMAQj0958SVV6+0I
Zs9M36LkWjAj4NblpsB8QDc3p99/Kco7V7n2ep8qZsnMSuuvMab2Rd9C3+OOnbTr1P8RJhHHHLwK
SDIU+X3u3sb6vWH+wMfZLtjqQsiHIrREOSqOI3E1LLKcNtzUHkxP/16KnpPBSTBgPv22C1vJXDfb
94IJ74qEoxo5Xe20WyW8LAg7VyKaVNALzbRJeZBTKAINy+bMPF2YO3P1oVtTF+cX0wAxf6bZndB9
O90X0oIEHE7Hn4viWIt+M0JaOpYkS2Rwnl75EHWviXRbpsTJBu/VIyMQ56/3GkYKmmOohzh/lrxX
0K9UJGCGRbADAP4W9p/tDb+7gbEZfo27wqZqAJnaNwmecxyvq2IbAqJWIaF3Bh4DtbZuDRXAkwSd
lsKSfnhzhStMDv3wSkwepPxaS455ei2O17F2rIe3utzl6kYSvunRYzDeCVVFhXj9VME2XAHduzYl
78EoQRGbpfQSqRH3u0Opfxu6WxweHM18rcsrqMxe+5LGRWADZ1yPebVOxt9G/aDW5ar2r0e9W/kq
FxQVxbtmF4rhQN9Y+UoFjU5ECvdkDE9Bfid3T0X3MDaN03h3Yvo4pleFuxcFGIU7L7nKi9uheAzV
o64cMONwfIDr0IVD4KVWdxvJgPrKL5F6zJVfFXW7unQIBhfLjalk+Vdcd2tRNW7NonoZKHry9Rc8
J+xKuOfV1ebX6S+/NKKm2fFhM2w9pSsykYMahSVhfRMIF86B6Xkf2lUTeGRZT7udTDHK9XhuKX6f
RJ+skXNNaEExiO/5PQ2L7oa06EpoLMd3771EgMr5JZYcJfoavnxzN9p4JRjfBO2nC6JyNPeW+aIH
b1qfPORlfK8JO62Ndr7xKIXlRuN2mnkU2F0mjJLe6/k+/H7q1cGxSKgwcG1badi/e2em6hRx+uz3
z7bqYgyUMKQy5jjGGrl2xy+2bf9F6Q+t6MDZuXChmW3SAfT/poTBcMTTVKLI+xzOamG4zXWlpp6m
KkYYXDgm5xEnbp3Tw3gp7jzXlEaxDi1/EtiAVFmVQAct47vfbmS2lFSA9SA99N5PxfhZDIc8IGtT
NU6XHZJ02JTlzsA2pKA03VBITrYueJQf5XBDSCM2+1VdiFQ1OWp6I1Q3CqXu0roGriq68TqQf8tW
uEuTN8HM902a3uSlu4pBEEPNdc1x4wXtasy/VOVt7K7r5trwbjXlRtOoi9cu+1LS7MyAocogJS53
+qJ4iCTYFxcmuaTZjhC2WG6qHiNYktf6zyY4c0hYGgGzBQeUiYIVDe8rCiVI5q8ukavTY2Cp5enP
P0y5wYxzoRFckiU/BU+66Y3yjOh14aTwHpH/0HDa9J7YVQOKD3C/KTdlX39qsWE4/drvX+qTGS3J
f763n/qK6GsqV0GhWJX4aagdxVSxKBOVqmFRvpkkMN0UPviE1UiimOOKmKyCIrypc5mtWXiFA/k2
cedPv9FSR86WmBHpOtxaOhL+/i/lxVfUX5c1PFtVvM6NcMfqRpTrYGsd+dxRbuGF57JZz5SDXClp
t+E46zv+20WvK86C/oFAuirEYOUo6y+leLhQlCzNRbOZkuiFkPG6iQ6JBNO87Zn3nfrxk5EkzqZs
K4ZN7oO4ONYQPQxjhJfxBdO7VZ5eRUa78trf6cDFonbCQrBV/55Aph2qVI72D6n50w81ynoH6n3l
2yykCiX+mg/tY0cZZY3RArsMJh7rVNr2prQS62xXTUCSr6OMOcudV2zjeNdI27Hltl7fdtVXxRP3
Z37Ywu+arRmhjONFkdNh6quSH4pzLMelYTP9+Yd5XQ19CNGb7hKiW6/ditWZ+bNwXRRngQC/VUKp
lhTy+Optpw2gZzLiI35IWgdPodq/bDbNNbseNr4NxXgsS3LqtEa9qYyny/p7tgBk1ahBa5rmU79r
KucsYXKpw2fzX8hcb8xM2pXEq+Zrd67e4fP+Fuei3V5RGm80WtTt5ZNObW+akSP90njrrHq8pEPE
uXxXwX9HF72G2GCdXDcVIdjmzHHu871FtGbbtwZv2NJk3l1XvhVgimXlqjStM1vL5/2NUdOfA1zR
UhWgFY2P2roZNpV4pt2ll57NRxnbj7oIOINq4Tfd+h2TTikNf31ZX08/5sOsDNxM6zuZQVJQje3a
6rmXXuqM2azEJjUMjQzVQ71R+12an1t0P12b/mFv3kO5FvWG1zXc7x4Ifu+iXA103D+7YRTK0irg
bR25GOJO1hQXvu9sDpowtlUQWCx6kiNXK+3fIRz/W54gzkW6g0Fhp2KERJy37l375aKx8E+trVaK
o06j7VW5Pgf8WBgIcz1tBwx1jNX//6aEfU6/qbnU6myuuVXKHUDq+2On5XYYmShMEv1HJzV2plaH
OKns1J1wxJswVuwICA2+eJzqPLKIdzkwpFWlZ9uMG0Z4LyBWS9PrIn1O8q+x6u261HMCbXQCr/uJ
WG5dAIkwYtALbmNrdTXasSIfKpAHWvDFDO5CKk7KvdZiqUAI5TaT222DF5RRvsRtsU8UwtPhNxQi
diqOyh6rAOSveizZIqUxdi8aK8HL926U7FvcG33MLbR+yK+r+qaT04NZb2v3oe8JqBx9b1fF8lbG
9WQl9TJSVxh2BC6d3A3uxi47BsJ60LudzI6yqoYOa9Bxb2Xd3rLSLXy7Lda4uPxYT1aga6vcx/Mp
U+KLrgOiPvsgmTcGhttlpIoiBwp8rl62+M3VU4XIKO8NbgNBfVXJX3UjgjxxmShBnMunLK8J8lRh
dubar0Z+HJKn08NzYcXWZ4tflUdiWMcj1RXDpjUlfFO+lgyq040vDP25MgnrrG7QZI9thjpGDOPV
M4mPpZeeLYFlMuBeJdHT+JxzEgd4vZlOUadf+v0e+8/DsvgPom0QlzUAJfYZkI2jIjk1tpOK+Fz6
eLqkrY0lJVZSnpNgMNCYv7Gky9G9RpW7Vdv2Xj3LOVnovbliKTThPIY6C71ofhWy5+TCM8tcshSI
+Mx5qB2Ocv5cmbdKc9nXNqev9WF/lpqqT8KO5VPZeF+GH6e/xkInvK+qHxrNwGUrPk6gRxaezXBm
/Ewz/ZMvPFfhq1VuFU3rD0djtByVmPZYo5ARdLR/Z1Z9Y+EJ8p99oYE7LbqC0gzF1TcpGCQRb8OY
035QPcXD18v6ZjYNAmSlah/S4fG+uL4sRyGas2NAJLm6Gk0aUEAPXwr+8S47Ks/F8wK2gPDrBbKV
ar1OlIec4orT/bCwHMxF80XTlT3maBzgyn3Tq6SQkOWH50oUFkbgXDmPvk/upYb3TitEOY8iVWiX
vfZsH5KNcfA9/MuOofFaCOO9GcMclTEcP9380nvPpiNWUlWXBoyOYrytsIU7p+mxPh/axvS8DzMS
X6oeJjK5VNd07RyVGkkhO6KKJsFCRxBFDHmDdXmu/ntB3SrOJfVek41Y1JEVVvztmFtOnb32RNo0
sd92cbXFU9wGJbnOy4KgLFmZ5g5A+GU9OJvEip51XRWw9kQPpGzOrAzvOc9PFh9jNmvLEJGZlbP4
pKZ39EEWRxnObNptSkQdOxunGEoYwdo65+w0JNlaFAUi1ftcRXWSptiuQjSVvtGC3aXbyHxOxFv8
6SOPeuX2OTSbvUdViouC0JXaH137Paoeo2onjvumaDe9Ydql9UswzqElZ/Tnv473xmy9CBOsdhUN
I0EFY+vioKIYz/JkjVUazr/pERWOGu1xs6R6IakmnvJ9ID+c/j4Li+y8HiD0NUqeQ26biX/deLhO
j/tKfomtY2dellcV50zyAU+RmnGAJOR5fIg2p997YWbOawLKMqxwsjP7Y4xjbWKs2+HcnAdaPw2j
T4bXXDCsdmhusGHkdAuBum5sOfuhd1ee+NWsfnaoCxNl57W3UW7ZqfG99T2S7gc0JDBBS7uJjFXb
7nzvypwsztyXzngx9UMnfWXEriYLSVPKnEqglhHcmiXeSdUVdt4Kf6XBsRxFvWY3Srkds2YrIPDL
9B181x1WP9C+Dhb/xPpDr7oHrJSPUvnTsNpVgB2Rrkgrt4e1or5lWrWXjSehNG+yGhWlekOIfW3i
OtmL+VYOoEBkgdNmw8OIY2uUH2r3rpNA1pu646auIwquXQo71+BqpefUf5urRkmvM6twvK5ak3K2
KZV3yvAhITCRjDlI4dRuve7Bz3FOFJ7T/C03JBLa/Je17fAAjs14LbuPqXeAqH10u2DTK3fjeIWw
2U4LB1zryhCus+zQqpLtd4pdt78HPL99XHmlnRp6mxJTFh1H3izL1oX7Jnbfu95cwYhfDVL4O6eL
9LbBS7dbC+KNlezELlyXRYb3FQDzoexXuQjbcxD3/VhtBxGkofDWJf3dwKpbpL8L8RBNTmjmazcp
bwO8yvyNRsorlF+S/Gh1b4G4r4JnGYdPzOsINPrOINz0ZrutQu25ch8iNPxlmTxomGEOTGCLVLbX
beAhOB0Wp1rzu8tyJ60xMAzlrajd4Qe3CpSbIh5XAsvSqhs2kmdtYg+bBKzWFVYjwS3t2sKxevgZ
hddqLm0x57Fzqh+kPnfMYHRU45GoGREjrN1xFR1quwmwTCZPJ8vHsoxWbfRmFMGNOoLPopqzU27A
SK/MSrPRYuL/hL/eFv2x05X6dvSlldEkazZS1CCV6GAcq65D9VGT7yrryeuf2vCqje/aYdPzn/X0
vzUcS4vILv4fZ+ex3Di2rel3ueNGBLwZ3AksPUXZlCYIpZSC9x5P3x/PqJp9VBmhSVVkKQuEQOy9
1/rXbxqcJZ/q7MQ/S/45PlrB4K0E3XGYWZ5DSG4Kbl5MPdg5WeOtLdNnj+NphIdC/nWvn4p238i/
enLVZ8a6Mwbc8muXfSjdm2kGY/i6hK/S8JXzM0MKMqzvEgPz81w45qmX5sdwfQvlTarBEy4If7ib
83Odn+R8SzntCDxQyQrRLsPGdMPpWBTHNvEm8d5KRGzW4cwIpxAuRRrXnricwXH8SGg2RDC6XfFr
TEvOF5RSVBftW5Fuy6E9hvmCUeHsi3Lp96RnzoheSMfemOW8KdQzhGCnF07aeJz03ul7byqQVBfv
pvZYLpVrdLm7tMMjlvWuDCaBS96ROskjpriIuOGOYFnBKbKXtdpq/eyP0X4gVlSPGjvRdm052iov
qYCH/Myug//+vmY0L7wayPxSg2S7DDY2T3tKM3voLFARuCXr7JhyhxN+oISZnbCc4nw4Wsmdpp4N
8Y74TWd04aIzDpOGGNuEd6O9SPJ8iFT5fs4hoCiqLWTPKZDqCsmpZKxLi26WD1mfbKxWcHGO8PBG
LYm0LSHg5sN9UX+2M2E7JonWeUUwbRooyn1oFnaetSQJ4g/CbGTuFEjm5N4WGq3o4FrTo2Utdt2p
ntG86m2GqBXqeR25fUQwKzjKULWk0T9gyWtrJOC11tPQQX9i2ZmR6lrx7BjmKeMJWMV7osG5aQwH
u/wN431HwOSD8CFB0Q46JP+qfVIlKHldspnzLamctjG6SA3gWGVkhD5b+kMoPw9Je5JxnYyQOlow
OmSl9mHVe3X3Fo1ALmX3qxXn3xJkPsMSjnPH/l+u+dU206n0wg7bYXN1To+Ihm5plsYM+YFYv1aw
3/O5sUX4EUOuubV5tW3KiPF5XBrS1IfQn5fBbdeExATNJ/iwy/s9AarXgAUBdFgPyvlhHVGkpl45
7PPu16Seh+ZZl9HuX4TyBfRUqHcatQ5/Y7Ywqxfeyvgy8fI0IUGg8PNN4jFT2PSZcpZ4Y+ThIaoY
x8uRr49B3HpmdU4nMKrnNHlQWSdx2TOl34WytWcu5pTEROrZ21zVpP3aFnIzgVjmShWhXkteLRJ6
KQcph96oPCnG/drBs8zdfEJ01rxUITJPK+OTtlN0rMrKUxsVRC32CIx6TJS3st2RnIjFfu0WAkAc
yjIIWpjPCtNbV39q8lbpqPfqbaVd6uhDWjvbguA0T5u02fT5b6nfpdxSFe3gSW31sacY3I+abIfp
47QEwji4S/gMeUiqJNdSyWasfSJ/nSb5mNHXWdNF69yoe7CaX63pF/OZkJOBnMC+vwfn4fTMl+lj
VSUSi1NPFoQgX3mLXvXyvaONiqUWfM7YjeyuaY2XQrqVUwTVx7KUMFSoqLvaTUTkV1H5+XKqBnKt
Szau2O2kOymrghIj2KZb/dBIbSmKyI29Qwe4zaPTCnidd5tJ+KNjXwhfR6xY/RKYJ+Gp1bUp0jDn
w+PfLkviQonouG41a9U5Ydc/Dpzv3aXI/CU6q4o7Z4cYhaWRBKIScA5DGyOMtbaT3BWld1HczPKe
uOd1OEvqs5TfKfnAZOzSCHC30C4PKjmW59E0fYnxExYYKSfhFBO06baEjQ0Rfg73yfgkcOy1Jibq
fY318dqC2/IZqD6sMjpHETTqVNi3/Xs0CixM1Z7GdisPoZvCKatIMbWoxcaNUQ1HM+/sti8c1aQk
WJuz3JLC2ISnvGAEQcFSZJmLs7AT9Vt25pNR7wd2p6qunSSKnNjqAmHSHNmYqLJwVC1HT0YVP9QP
lhD52XhMpy6wSgFzvMG2Eh8J2V0MbhV3ILNMfJP4S1yOmUy25R9cIgXpLo93/fAQFoOtNa/9GnpR
d5c07MHzsU6e1wQ33LV1iUXqQazV5LUrXlLZzyac5gZ/QFpjZuxgESf7kPoGNi3VJLKBf7XpBo2S
k5QJL5FBdBOeKOwA84tlPebGZu1PjVa5TaIF+bCvrOJEmuYpi6Bo4QlE6tuhwU6sh2ovJBwthE/Q
FP1BtBzMVXdfN41Th6FLhm4Qj/VHPzebefAMfunQap0qbA7FREy5eKEuZCswfYg2ev4uFxXxMIm7
9IJLbp4vyY8Qf+ySoJHVPIzab1kii/n6XJW7LpTtkTXU9dm+5xHoNBcJQVDpiJV0UIrE0WcfK0db
QeGyUs4rJvADL7FCcd0osT9lmisvvwWKbB0j4KE9LdE7wcOdiDmFEW9WnnLZdE6sredBI9BDVa8L
wIqHTdRZxx6Nk6J9Gm3nZ4bpRQKCsLDc9otoKy1ZI7w3aV1tcultLmtXz3tqAEc6SuRqhJrstX3i
S4nujd2mbRt3ztERClcbjF02HDN9eEj1L4LKQ/0+K+6oPfuuC0gi9tZsb0UwS6TGqdIN/jCOPpB4
sJIDDFGTHLxc0lwCbuxC145qlbldQ1lYyZuivubBFkGVc7A1edA1KMGIE9EJ25DZnnuVpzbIKKrU
YNQ+Jwubv4WZw2jUL4pxUuanevlFubAZxemNHAg+XtlHUuYgSWFzm6BufSx1IEYayauRu+qneTRs
8oGceeBlpCKvm/EuKXKnky/l1LmmRopO3TsCtdSgz/CzyWie5kAyXuJC8dehPIylZi+k0Wtlc2kx
qoxb6U7VOHKmwe6abC8rJW2A4UXpPmncEBjCyi2nG02nKfAH01XA4Mq2Vgqb1nS6xHAMcdu0FIoZ
Fyh4KG3napm/GjOG0vXdMpybuvTrrDuSFemQN7SBQe4IGF+YXNSAmpHWeETrxPGQOqzU2WHE61vh
Ma/CerBKqGOq9pqzobY460gURav81aPx00NSvapi201bbc6dBvHQbFHc40Eja7mnFPN9tk5ByeI0
qxH/lcEeKeLnLL4zpfm49vhuKJro9OWnblRnOdm31XunhJ5uyhxek6sv3cYgL0eOT12FvMmkdhNs
/Kc9TPRoa5G4VQGuxnb4RSaNG/bPg25txKb0cS7fK9aO3yOXXmItDuLFt2ZPUQhWxHFoVIKlMP+k
Iy45VullxuzGkVtfxdKHYer9avF740yglm0i6CsnOOrDcGpqw9One1leArJynUo0bUz4/DmRL21d
HBoCaaF7JYJJz1i7sh4zF3vq6Q4j/TmKK6eBF0/lmEahZ0aVl6wGStVpO5rNl4EtuD2RzcYO1x3r
+gHjFluXL0OV/C7U+G5hp0EAWTZBsiYOzIWiwBJ5PpTSSHGHE7jErp10c7kt8JTplepkmXsNiRje
OmQPl8i1KojJ5ias77v2OEU6u+OvxPqNJ19t13h4ZoT4GgnNT9LD3mcXxw5YGaTTZALxrC3J6c3s
S2LlZq1ynLAXMCTFZW0F9fpUIpSMOHi16QEHRe8a/t2G1eOkzY8i1t1DnjnMe9A0Bp0U5CofuAp2
Ni8HS5i8cTJ8YiLgCDjDFHpNPNh6+ihFuUsWorMstBL0kFO6OhNLcA5Lb1ifjY6SoFCdQtc3Vipx
oFtCUMJ/LNgqsx7b/Xa+sxROV0nqXQLYn9c2cwotPq2q5criVsyyO6v5MhuSgtBudsrsriiTV2jm
86w6pCzZJM6f1OVxVc7lFO7XXvbkmvWo7a3wstKPx3EfhBYNcNS4cq86RMwEZWyQPDEe6kr9UjGk
x6C/qe56xTfKE1Hb2EHblvQqJ89jfBkt8s/7A/sWRPY2OTYpiEYzQIL2dVz1ySV7FOLUCUPZyar8
jgkX9QPJUGYd6It1UdKYgHlr22fRUSVaVovkz4wKVR/jw2Q8L2PDoIqKwSpAX1Y7aYmrJ4i7RBVb
ZmweuhCQorgTYWF140IvDraAZRu+0LKtKJjvFJFd00sw3/X1UNiH+kmh0+gM5sjT42CsRNPQ8Rur
EkTKcdTR3l5t7KvZzvXWk63K1szaydjtZFU6J0J8nJgWT6KrogITqHSKCHmS7AoyGQOL/jabX1Ye
75sus6Xkd18mTwxkzgAi+DZIuzLmhMsH42Sq7WPXhwFMO7qFO7OqznV8Sef7a0/qFBTDSa846XTM
S2bLhnzUp8Ux1Z7ybKUv2kd6e6qJ2VvWdxwRHaNUbLkUvNV8S4ETJ1YRkBFU3DxmOj6uds5wuHyr
chTrVxAnvu/b9xSkRldVKrPcbaIvgi+AtCKnY611eNQvyvsMJ1Jm4KtbH6ERP5hEe1JAa4O50Qda
lUY5xJni1jpZNlcVTevFhRYUltdyZ8b0VRm6LXTGRqtPgI2OxFePi3gQmZu4NAhlHR1LSHwd1E0d
VXp71gSJAL2JPHu+bjxbJeo2GBVp/Uuot2yyXysbZ4/aMw2jUyGMm4iiNSd+YJAyyMepIyf5F0HZ
Dqx0cgcuV0RE4hyb1P4hlTdmc2LehgAGV7PyT9K8W124T8Q+kBrOHWm5Ix3LM/IvgeDuQvPlcJub
SjATfBWvbSDy1qYK9eesbTSqB3pjSVm9eCFxbRKVbWOY9LWVmxbRpsjHu9J6K6XhVAFEaZpiDyO1
eiSeVm6tR9nakcKQGL+KdScaLyPsnEj4Uy13IBqL+aC5mTcln61sHiwAocw4LZ3lZ9RU5ZQh8H6T
tfci3E2A7O1m6sugU/0OGbKQHTMqubH7lZbbCvxCHTxNPIZJT7JXQ33+u8RDOY11u2YxtYnqr+vX
TMGy0l3O+HAr3SGTJq8BG07xU9JQOgGtwdiezsUkvLR4Wg5ZeUrZp5uc3IQi38bEJObWakspTLT6
Uo6zm5FiV9GXrrNb0GlD+z5Eo3kwYmVDRC6HdGRb81vRD3sxPNdJggj/XEWmKzSD21vvaqdimJUc
U6YWIvcbiTpPf9z2anYWtIbK+KswR0JTR29sqP6qzs3G0R2jhEifEKTyieCyjWUGJuMtnUCfxMj3
RftMqrVjrdRWlbYfTNQ0IiBuf+0jtWMTLzurc5AEOK0BLV0vHIHY9rArnAWKupWph3pmE7dacg87
r6pmUCYJ3cPkFFQFc6MC1sFBJWulGXkBGwnJCyJlKqe2+tMN5bMRXV3p03O0GJ5IimWkW67WhG5R
T/zVwY3Txonl6TCZvChFdoiWE9lt92kz37VzicieTSwVfFVKgrEKwQGQ9ZfTJmOrao03Q8/sBuoL
WWxI6ShDCDWMZfYN/aVHkiUJ0qVRrWcNQxfQiScEug4278dmtZ6yctqqnXTs1fG4hHPQwaIVAbVl
YVvkOO6DPV7/eqoKVOOlZ8ypnY/CluNQXtqYHpNyLBqP/fJ7vjd7Zd/3/as8wUKR6UKHcPIj8jpt
vdKQAgsP8QC6RrShLQGOaLF8J7Ym1W+7csBjx2CMyWZa2g/RqoOC5MRGRK1XqLtCEry+0oRgKt7W
UN1rMA0WjdSSzJOJO0T8hO6frMClep07+NDNcpJDyS3HQ4U/x/yqGLOdhY9a9Ctqrd1QZ3ts7V7j
lZ3bmoJ2XRwtZYHoL+ZI0o301YwvDdEcamyQBkp+Th96cVZ7hTyduzafbUOP72lKIAa4Y0mjbv2K
e3NHeuD7PMHa1avj0mhbKWsxkxCFzE6NnmkUIygaoYmNKEuhwE+8X4s3qYJjNAdBmg5KyzNeHqLl
YArnOeUr23RxETti9ES4aqVT5ls9CQUmNhVypbuq1pLjsopO01407NsGIY0oojRnDU/3TbJ+1WpQ
tzUpKgLoW0efYbW9P9H3x9aT2N4baXURmsazMnlXdgvQdeN3OPpECkSo+cGiXO0aa9fWMr0Zb5hJ
bGiy1raevE3dQwFwEVryTuwNQE3C4ftWo2ZaK1dQT2m2jUwVXyKVF6CtNrJ8UddTDA3fnCa3Ip/B
U/Imh0l9r0UoWMby3byKGrPBjy2Z+dfgX/9MToyvMKZq+HfPfOD656tMNKxWb6UYnCTTrlGo9Ul5
7XswSuLCxSBRIubYSapXKvZWxKlFaQ49BUO3xheDoERBix1B0r7msMJYCBearjAdnZTQVb9Dyehm
THSy/VQAwrSU0rPSPnSVEcxTa08MnMNZ9KMB/Mk6R6SaivBdBrFx+mV4IMXlvbaQHrSEjRZvIdPW
+UtrH43wYx04JgXD7zXic1WQYGw+xvrTqB8bY1dYI2du57XTcY5LvxsSTxnOuin4Bn+9Xv/QHXuj
Vu+Gbgg6S3XxeUU+YdkUAPt+IELq2LRpEC1v5bKNtX0hk2tfHiz9uRE7r54kO1pFVwA1SEXPFJFp
SrKT6Aaq/PeOd78G4pUYr8kWdXgFYLwgo5AgfElxkAjtr2SUn+tJy1mOUwD0dV+YO6HeZEbkTf12
0dZ3kbKT3E88ptA+Rttw2oRNsxkEPD1L0Y8TUKph8ENJ80UWwsLDHuLPOSvfk65gheWuoE8ctZ/m
MjvVbD4nCg6TlpE9mKnkSBk8egHq2ZrKR7xg/CiTqK1347Tn2Njyggd9K25biX0gG790dqmqqzer
9BiRWqJz/w1Pf0kGIMbQcBdTfe/7EZJccrEi3VZGzmitxEirAkBa13JTjmbhGqLqzuuFjCDJsYD7
5nnxSiU5YNhyIS7mMHXZwdTXTZzI21AQN2Jp0tWphzgpLxIcrr7vgpCeYCxUv8nGjToSOsLEQsqP
kfKUkTiafljpRzq9RxwBErYm2aFX3qsJqL0/R9pp0i8jPVuJTXAEEglgIgi5l60fafdiLS/Z8DWj
tCqXkzpuwPBhCIqmD4KqxJqnZygUjtfJdStFqC/vmCVKbckV7iL5YoLKWOJW6HfzdMnaY1Sf1Pwo
xcdEOorLxyxfrbwfeA3dsc78QRAu+IGWbE2rmDp5iCY5m5ZfMZrOzjiN2jm/noCPTZzdLzoNaVN4
eTM6PIzPqvpoNb9WYDZ2nLhEkoeWNycOO5GJeUv8oFPvaoDwZYy9J9G9Su2ssFLwBtwZKg0YMlll
Rybutb1crLtMOLcD6FF5FELlflXag8aRFqlMATc4kjN1CzoNxTDV/3qnTduw+MKfFKbFYRA/JCHa
KMRX19MxTb1OeJ6Tp3YmTXgHVFBiGJVNV4uabi9rQa1YblEtO9r/3Lx+3/vBUE5Ccur6s6biWsKg
lzlaBHq5n7JdOZjKa7rKAcKifV69ybN1UIZ7tZuxYS5FjGis96Eazhohg641vmvicx9LPp2WH1kJ
YYckXfVe2f9mz7+skbVRBeV4dcbJh4sZvxQDnPbhSUieC0ZF/YNZu2lt7tR4Z1Kab1TjU5getNcy
3Qpt53WLGnTiSSrOqPgZazhdYI4wTSMvCvHq6ZTHpZCcnP14Chve25OSj5ckOxld7OGNHuRy+KrH
l5gdQdTw9qFGZGBA42cmdmkE7ZZ2ptBVZzAfBiHfCgr9j8gH1YQyPUKS9MQBVFJ4qKPPIio+rKby
1tE6iEq01+X1INdMnbuO6FsDWi/eqzl1uJWYnsb2nTS+ztyREJQEFOAhoyVVy9SfSM1te3Pw2hjK
Uqy48vhEJCAWwR3j5r3Yf8jt5EOZsmWgjxwgQytEt5eEh7n+RHnVdGAZNT8p06dhqh7M4UES/5bq
/Q1F4dYeTI2jrh0mOII5gcIlo/u/2I59d90bUlI6FxXnH9c1O7+xjrXxM1L8rSOYmCRipS1cN2WG
OWzEn3Ilb+ixJellcm1C/lpafKT5iv7C/fpG2ydqN9yiqGiUuS8EDiVF36bJ2yiMnqRLnLEMY2U1
mLPGiXLZL6w/5IM/5HFn1+CvkdW6EWr38reeZX+5l+++kxtCEgJ/LU+vv2OjMZpysx9+1TfEoDGb
dDOr+ErE4rQwymL2/SP6zK0fj7nq1pgUBWIhyR1Sj6Tuf7/uN6zQW+edRGnNLJSRNnPYlFoRKOaJ
tt0O8/UvvJ/vuDnqlcj08X6flFH3v/8j/Z9EjHphTIQJA1PgusYZ1j6Iamps5uKjtDVS0Z4F4gcV
ZUvHuE80zVPll3DJKUPPpcVsZWQfBhmRwuoktuO5L/4S8/Dtrd2QEfMxW8U4gmxcgHqTFItMfYPt
QFTXh2z4ZAa9bYZN2T9B9FH1Y417uo6BhdAYODhkdk4PQSdEIOAhLB5l7WfKXfHW6YevowJMsHCo
LVwwZ0JS//2r/uaVV6///R9fRGMWQ9eJkFx7RrOL/Gf4mSW7qN7sF1PVVka7cmE1EHqb+J6f3e/N
bmFMmaQKlo5bo+yICm2o+7Pr3ix9o1WzZkpabneR3QjioQYM8rNL3yx/wvDkch0QIZb9Xsz9ZP7Z
Tn9r5ROTJFBG47LspY/1pfr895tVvqES/n9GPoksGNpisB2rELOgeYza1YgW+GQmFx7g+5wUCiVg
eLGE68waT5CW+eKUH2r1lRGEIBzUdJdQTdQpiViySiatia6OHKv1sxxxlJ3m03U6n4hWMEq/xPB9
bO4tWQx04TGORrhQO2nVcR5mMRXS/b//Wlc98n/hAv7nt/3Ha27IaSzJIP77fHpYsCmZ2pEYhm56
VermPan5FeNw/tkr+h+66z8+a8m0Qs8bXiUjPa+tb5jP//47fLNUb914lFIdSklN2O2jQ5Vee4V/
v+43u/2t5aGuDjU2mzybUajYiAlgFEKAJZPw7795w/6HIv7fnv/NbjCmoiI2GmsglWNnLS9ldRDV
x2p863MLlDFkgLwdlUNXHYz8rezOHOtV+dIIAhy3zAbFBLrOnar5KMY3S3gIjZdEfiVZXV8AbAnT
IAS9u04tBRx2IqCdKver5o/CnJQQbF2uOc6fkuxZS1xozLbJyCa1AgnfJaOJnd44ykNgTHciOKL4
O0kvmvRhra+gz84Yn6X5btWvMWx3RWudhHY/p6ekgnZQNQwZ32rwHb1p76JSgRIJgye6x8nQbFfi
dauHWRXdungew10DNdvaRcNfBN/f0cH/45D1j9dMRw/WpwN2RFdbDppBiE+MarDVXGaAfh3eo+Vo
kUTYRuXWdMIq4LsVxT9ynhNvXSC72aqECY3Xfm6OUbiZ/sai/u4lv9ks5SpSYwH+wH74Mh/rv5zp
321qt16LSyJU5tjA1C/HF41kUVigwGMOhltqhOi3A44bWn+OJFdadFsUV8KlmUhEhlt32zjb0u1P
faDlC6AhD5uphqHJx6haf4lJd7bUEraBfjHL2MVUMJAAl+dE30brpogUJy6SwwKenCmHgliWRPmb
qPubZ3VrotWr+VSumURNsMN8YPqZAY1466A1dkyz25jLJiemccnfzFK+0abc2mddcwayouCNCTXG
cp9oJjZ6+8Oz8Da3M+mmoW2wndsnK/YLXpH+pVD97qavj/4fi0wSCsTWNdeNo8KxRpAOyCTTz2IT
RflmVxRJ6ijEAb9y6YPp6M+6jVtbpU6Qyy6fkYkYv8JH/fe/nxHfvWo35VGmR50wQtO52pJ0qdv9
sOOSb5a7PnVVOF2fwPprPf3N5OObA+3WQakYTMtSw4JazmqC1oKKDgfJEKFJmL37o+dx66Wkpmwo
U67M++ptcMs/P7voTVOUYsQsJiYvW/urMTxQnJ9d9vqY/vEOF21iWGJFnQiLkTGX9Rdbhu+e8g2A
IWtRK0yyTAunDBsDAnAR1Y7RKYGS/81797uPuFl9mYytpgkTF0t5hhJ/Rv2SklFvZX8xLfqm1L01
LRrENFYEqWf/XKbDHI22lU97Ezhzke/Q8fysTL/1LkpzddLnDNNcuYBhvrH6yP/Z93qzJuVGHYel
k5DTP0ePwg9f7NsFqVYMbEVGBJoUbgH1kbP/+91+s5PeGhDpYYTr5rVbSbJNBsmJ+qqKS+/fL/7N
9nRrQyRbpAkXCB2vaO00bhflZ0/j1oaoXlINZJxH3HX+cuWL/6VF+ObNu3Uhwr2gkbEOW0iDgxTc
41mfwZm7NEvqher6lw/5ZvXcBnnKemZGfcqHAIteeR3MF1RYX0r3s4NGvFmdikZUSNRh56A3XWLr
quRW0A1/9oXenIyRZkrZYPKFaiFGcJg+/KVq/u5Fkf/fvdDESrxYFu5Z1tzpQ0iDf7/d/4Q8/Zf+
RrxZi2o/aVZmTfNeRA62YAeYwkmbo0OKMaswf67RCOMRSVGHVmNpXGEWUW9tdTiXomzrjLPyCjbX
WZdNCMDIPJo4SGuFoWcRTOuTWi7XSf8+NmUHsuTVGFSp4yerUD1z0YNqBZVVAkkfXQAzR8U9Iyx/
X9URQiZCVXhbabIIcjjoePXNa75XxR6q5kMHtTvRmZ9jJFsY74zoPYkuKwLq0xm5xHkZrPm8lfvW
67H2M0tXWPVDHi1bK+XHwx+NYWr/tEqRHyNKGou7Div/UL03ZZgJhYwU9QnvOtgFf6lCNOP6PP/b
c77ZnlAJSxK16YRpd4/M9jmcnzT4RgIEysp8qBaeT/g2pUIgW8p2sXq/z9rd0unMMHZGvzCXnzaF
cSxDyS7hp6qYls8Wo/LaHs3PKyqRVbvWQEckV8HVfWRWvAwaQCTuoAoGkYpWh58u67nJPlP5HekD
CofHksFhqW5WZs/z4M8qPJY1wtnQnZrCTeB5J9NHheQL9yJH7To7hyxszDMSoI0qpX7GdGOFlJQz
qNc+CYzWp70yvI65FRTmFGgxIAkM7eV3Jf9OCSmZp20KL0M697kvWPBumNk2ktPW21n+AqZ3Jn14
yrryXAv9fskYKo1MKtEnd0rltFDKQjgmmYL96/S8dDClx7sFynxU8CTSk8FMDm0aHCkM0BIc94Xh
vosbOGDqJo9VZ16E+6qH8/kuSYs90GzWceVna/Y8E/2dJ8/VOntVu1d0vxKZ1WPlOEita/DDqXhe
SUGetOkiIB5vVP5nORlhyAqiq0AYHxbZZhnU+gkLLHuuN3rd2213ITvDKZPBU9SPvDloi+ameuko
k/RSdg0KRTjp3NWYKL91HNxJmdokFobr0zj44kqoNZqUIu7u56a+sr8Urbtfxt41UVIMsuDC2wjm
5A7etFGUXo43uSFIzpSM2xEWfmTkDomSa03iRLxuBQRW6olsPTeHjm5pGRkZpiNxCxof3cBkGSOo
WNcBoyeroauG7VYKO3+cdExOrZ2EytMKZzRVhRcb/WZg1tYnsZdDVsjaOWj0r34M/SSxNmXDxCtW
PsoI6jQCrYgBrVmInp7Ibpk/LK1ydYdxdAFX3zY/5fJnYtwtSBkASR3gEKipFtF5hWMaw7aPNWe5
Sg7XEDLRr9yqL+aKHRMTFM0W0CMIwtFK+2PN4LeZvUL9tZC8uyYHA+e7YUMjdAdedjbX6SBZ91L8
Z44QakpQEmqY7VrlzOqjOE07KwtAlJiLhoEG34KPtufIZ0pnWLpjwUGHFmR1pDccJ0mELlZCwmy8
KV8fBxNBUANtVFTtkm9MLV/a+UXkTYQaNTMkCMfQKcIKqlRhd5HgtAv2IyS+rJZhK9MLlsddEjvZ
jMSkgJm6Fv6k7ERoDnofQ2djalnD9s0RAbxXmYKicNukih0bChGJOPwViBrbQ7LMPgZQuA56afaQ
FSbEgT+jYtqE00jdTijRpYMTzSNf+Kg7ClZBinivIbhGuINzuIxzVqe9dVXhx0wzzPSxWO47EYJ5
ZDl8GXCs9jJiYauEb2/xHgNG9tmLULSYEiloMeRNPpmXSLMeRmMPfauA9lwnuwkz83r29VY/DmzQ
RvdLyNEEZshEk84Va3yaU0orzLYYm8CezePMy/tfs8b6HKDpEDYyKn8wa3RkEQHWorq19t7Abu3n
534uAzExmL1eMhPHTHMDOUjqM2eIiY286h7HbFetZ4kjTEpeugFWfPpu6eqmrnXohu3GMkTQudGu
UHHmED8FkUWH4OesF5cq4zWeNduE1y9am8U6hgZJbZ2BWXTljP2TKcHehGPvVln8R0zzXRQ/FMzX
/y91Z7Ict5Kl6VdJyz1uYXC4A2WVuYiBwYhgUBxEStTGjZQozPOMp68P5K1OiakrdrdZL3ojozhE
BAD342f4B/bSciAOLgAo9UkMOSEy385t8Ekz7WqBBWd+dpLBFy8ACs+Ca8HPDVjDrCZAQyVb1PTu
Y5AeOe45RTJfycq8y8DETxnM4jEnLsf+l8wgIoZjUu/SUW5kO65rl96zWxcPdS/3vXkBKDVEKAZ5
B1jDiI/K/MyJjm3/ZNWnKD3Z5oM3jGdxwak8MpRsFrXc4WgLjv1vU1vtm9LZJfENWMPtpPMTFcBa
8NwwgqmTW7dEjhkaYOuDr20ZHuns3FL+qbZPff1UMZEPhnWLbr1skTAMyu3k7d16XFXqrvW+0Fva
xFG/qeS9m3135G0fP2AZthFQSQKSji5/UvAYZkx37EZd1/FV2eCUEtzG9X0WnbGjdoPm1dw0OgXJ
dDVgBxYZh2RQYOmIwGBwkVVdM3GBiAeqKYkb6MDeocnN9ZABHsiaeNvFN7poj30OTwMsjgTmXYHd
lGQmFFPS9x/0dGMmOThcACxB+DGYb/kYGxPQken1T06vL2rz2hB3Q7Rr6QlDpRqjYZ8aB6XpCfun
hBFSCYh9UUrJJvW1Kzhx+ucCbl40pWdZN160Cqqbz/6tPmvf2o8hU9YGZKfBYk1NE76MXrkM6RY3
WyMaSYUHErUbt3tPPO+lv/82N+Gi3sq7hfgmaggxw9GfLtvG2kTE5qaGFF59F0O8y0mtWoAuUZ3j
/wSTHf4Axr/bQBrrIYT7Fn2f7ewm0Rxu+rbOsk3mBuR59qZge8YFfUdv33Y9oCu47lG7rkPjvO4K
UOE+XM1bPwUZmhdnsgVUBTD495ktdIBfpFxc1lvpyKINu6QMezq9PXjFFMI7ujXVdWh3541RbSKC
MUzj88HZVeV84VkPtfcNDOzKTuVGFf0qnOFeQsQqQXmMsQsZ+wPmIqsZWsQwQyA1tpXojsAKo/E6
LtNtidq8TK66HNJqbB+bBUtYkqAy6msFhHhVrtP8Y2Jdt2gezO2w8Qpna+ppQ636LYOE6ifzWRQg
SMXQYLrGK/2sgMgZ7Qd4YlF75YJicibsh8y7HlVGBZkk1qc0/AqU1i37wyBvYs6peMi3AbWk16lT
nIBIo5uvyawgsDFnKBIcEgeo080BkSBrlVURbPKzGrb9wHS6BhREOJjrL3N1RO6HTAi6sio+mQaq
17QSFwXazrhwq+CmJXBNMAHG5syvTr57WdebNrq2i/ncjPcTz72BzaUDUMVGce7YwRpwGnnBQZc7
ne7toVlLGW5mwpmrwHNCtvAE4Gyr3ArvQ05QNqtuZbcFURzIJ0Qi51F0N0N2E8I/owtbLK3q6LoE
KIdYhl/7Z1FCAurtDAlPzTEvovRyNr5wZIDIHDYOmVPZ30wxc9LgzNSnmcOzrm692dsE9s4YV8ON
ak7VOK/0Mmsxj8F8becflXXlJvUWn+OVYEgedadOfW7gZab7kbAmSZddi5W84OKREkh47nP0xUNn
IoHx39zq4d40r8Pgqa+PUfxJw62OWAsZ689xL8vgya/hUvHC8ceijhaza3INAq4Ha5+RFtYKOvCu
Qlg4owK3jAfatoOIWGfmxzG9LpirK0wHANpuvcze+7Z15kl9gx/3NvGPeGB4SX1WlsDvbfuiLcJ9
TvWjgYgXqQQ5xePxJ8YF1X3RfMn0bRPdWZl/gCSEFqDzUY/dZ8MsjylbulBfZzle99h+YrqAw9sm
x/Osof/UFR9FS4QwITKExUGD/nQibgBs6cgIbgF4rRtoor3JITBdF5nGpWxc9fpywrizBOlWPWrr
preLVQ0Rw1dIF4g7F23aLIItayYXorzr0103fo6TaVN0B5TKFo9Q0lZQWILAaDmnnK3olNcYDq/Y
ZHDg4THj2sBmf7Tim470wuTp+3fwu7AcaYfHWh8dpsL2Fe0S0v2tDZC4nU+uuIj6ced5/gbxj9Y8
TpwfmfgSw3QY/XvhPVu4+cmo2AZ9caNEcJdD1o5QGEH+pEUBftNpoPEhJ1BC/Rkg673jm1aKnsMU
7jLrq26nrTeSBoAKX9fiXIS7aahgsh8thpippPZtPiVxASE6ATfXQWpHgaFv7jyjOZoFfjFV2FIz
S30+k14XXfM5RBtb+h0crHAnfIQMmBJJOIh9C84za7cBrINGVB9l5++R078cYPWrCVRruskkymkW
xDvLXw+468RLKT6QCsH+7+SVC/k/1JcLiwbdFO2dtaPPbI4wHsBWRlggm8MzCE0VNcCwJHM46vnG
eBYC982DceNBmlDNITIv7OJ+pIHmpBNEkXmdaDJyuByW9G7KGYuQ5Xn60y7vz5t+vxxCdlp9j0R6
HmtnDeV87dUQIsTtRAsho9tkQMma02AD4QO1in3UAYOW5+N4aGLvgxIZxNro5Djo46aACqt2Gwa7
GL0Vr8lutCV2LUyYoO4utXAOSKbthF5oU97NLLy96sxjk7IWiUYe+suD+2BA+dE5wam5CQD31/WX
vtZnKgPb/BGrnnLSF1OubtNkOLc8UIfo37xzlP3FQbZgA37og8Na4kbAlz5OkArhRIf1O337l8HC
L07+twrFg9XLQdjVePS69o5AdqlR5xklOaiDKATWUBO5v5cB+PSekWog/5BriGXH2bA+JKO3N5v5
PvS+x35w6evvv7/aX/Vbl2N76Qr+cLX17Fdg5yVqYalYJSRACzx5KIt3OqPWX73+8v0fXl8kXt9X
KeO80nQ27WzeDcEht3EoGr5Hxm3QWQzl99YAyrg9DJyH3RRfpuqyetd192XW8qu7/qb/iC55IVl/
XCE9lBl2vT1lcEGqLSiygx58GBeYSxYfRuwTIljODedUZnPC5BdteQTmOqKo4Nnm/0Wff7nhb1qW
ISSwKGEofgyNnTXczdE7vUVO1r9YuG+alkrmcDc4q44Q71cV1rp04uAkngOLuKVwhhiSH0l+cPBI
1zkT/zz6WqXo01sbc25uC06TORSbCoIa58BWQJMe4SykOaXvdV8+OIE4c2V3JmZxCMt+GxoPAnR4
4Xgf/OLzUPbrKYi2WXZfzWo9JDDhyn3TXOjpPm+rDaJGPmxYq/1Qx/E6Q1Ckpslc6SvHO3hEUuLZ
upQXsP6q6lNidrTW0LXBQ2iETEZkbwrIQMm8VuUDMiGphsl2aHsAQ+YGBEiXKRJHKPJG+ykkSI6w
jcYiW7oIa200q0VhoOpKMorHJCRRTADpIp6RtrBCQ+/UynFvCND8i0rH1ksvfHMLgVXMUBWry7DY
N5Neu7QHbXoQo5Odx+hvJZQERQuR3tqLMlmh4wY/tZju4rbY1F24V76HwNaDckjZo31SHUraazgs
RcHjPH7Pi+BYQvKpQrDTMBhRZ7GdnTtc+KhUF9gZMB67mOfoso4iTmJydk7UwYrZK9kmGGF/D1AZ
g50+C1wLkSnFo4b2Oj7Ewj7lxXenqM5Tb9qk3cLsP5Thx6ieH5KBxEfCGZTWlnJzXUacNlD0mvxj
n5zs5ARIFE0nHZ/505OTWdvJjG9U++yHX4UdbsoBzbhM0fSIqbOSVW2b6zE/N8qbVpWb2Sm/D01+
3hoz9dqDEkdA5FBd24vMcbZomVDEizViSqteZlczRPIBrlHdj2dDoWkepReQ3V6MxYMwffAAFYRp
gVXu54TmcLdQK9FPVHNMC0kdM+synE8tmWM9BXeu8WmK66OfP6sQRq2bbUan2k5wCrrBvxShc2gD
5yly6D4A2vDNZ6N34B3jptW4qNWW+Kt/iuFsISrWlWc+2hp5Jq5iZb4zA/nVIGep+d6cKVUS9ywZ
PZBx9HQMb8cg3Bge8JEQZtz8HrrhL2LtWzluRFpzGwGh4dgmdxnuwm5z4UNp/f1B8auRyHIJbw4K
f84pUMiijoV5Hgf45I3Te7Xjr+OW9+aIUIEVCbq6w3FsTl1/ywnwzgv/arK1fOQ3kV/6TjHkii55
hzREr2cEwdCOw+M4N9873n41aFje4k00d1WeNsns8mBhcZRJi3WgpFV2iJErieK70NxNuUecida+
8Na/fxJ/9ZjfxPl8xgdlWi6rDh8dtWSF8Pmg///+1f/qpr0ZUXlJGGZzx3MOXBMD8uNot5BP0Z4b
vv3+DV6QPL84kN8K5sa6BUXrOpyAcloi9T6qo8ukFE9WQIMeR96IyNpaX1U/Utqml5n+7NWUI4sB
HmQ7FJY2XYloWDCdJyXVrFk8+TLbt3AtGdyd1b21jeP0mJNJv/OJ/+Ip+2/uiSmnwNTlyJgRdqEM
GSnI4mJIb5PwYSg/B2OLwlrwMCPHJRD88BP0fJSBnFm7MgYQXSW0zgYikleYjJMec+NrjPb77z/b
spZ/cTP9N5OuRscWonIefUQwhxwiE73B37/yX3V03uoPV9TAVidYCW0eX2XutKuyYOu3w96W066A
kmZY5aop0g169Sj8oMSRF/c+5CCLhnaQn3vxsI7lFysGRVk4ByZNKx2CR43XhXoKYiJ3clstIiW0
NC2LNAMrUBN28IAOVNAgpWUi56aT88Zrt074kOjHxC23cOPOyym5L6bxPAFqnEZXDoP8HHfVzv+i
tVg3/i6PkH2YxycxihvMoukQOO/clb/YHm+lk6fED4MKJf6jlRY0QNL1iE4wHm9Mcf/Erv/H1/E/
g+fi6vXpNf/8L/7/tSinOgrC9s1//3mKvtZFU3xv/2v5s//1az//0T8vH3tI78Xb3/npT3jlP995
89g+/vQfOGVRO113z/V0Axc9bV9ens+4/Ob/7g//9vzyKh+n8vkff/9adHm7vBramfnf//zR/ts/
/m67LND/+PH1//zh5WPG3zEEaKMm/Nt9VAdR/rd9kz7m35p/e4Hnx6b9x98NKf6wYWCannRMR1mm
z6YYnv/nR57t+Z6ybMslOV+Ap3lRtyG0Ee8PJXzXMx3PcUxTefyoKbo/f+SYyhIc0Mr0hC+tv//P
R/3pcf3r8f0t77KrIspb+Cg/LxHXRWNVIqAhTVf6num+BVZM1NDl2EDzb0RdUuOjs5iTQ/bzrkun
7z/cpj/f+8f3+vkseH0vTwnPcn3hWvZyTT+WWWaTzmnfxPQ+c7dbzUEAnBm5wa0fNve/f6cXYOC/
Is2fb+V5rsuBagq5PNAf32qcc9/XEZc1M9XOHf/Ye/d5Ng5gYgXyRjVNtbHv9zLBBV0THiEJbGZt
XoVRUHzJnO8Anw1LxFvXgJ2n0WJB/wWtloTZM2kALMl3ovbPOdfr52XGZHFbpPC8F5/WHyrQ2Ktx
lB8g6ncTJMW5qUwmwmj94MqEzI1FR9jgj97LkpZD+Ke7JCnMHE8I01XK9a03dylNIxeB9czflLGH
RlVVXAdV/z21/fRajpCZNAP6jG7jKYyMEfwARhKT9E89qhs5tJ5NVWL/EHnXoWC+xloGj9Mvspan
sr8fjWQ4ixirr6W7TLFmFUF1xPbXC/wvkyvR2iyLWzRerxk/jtsWHiliXTNkTYnapIvmX+Ka4YZM
HoPGUtMUq+lkg8ujyirTT8swwhn76J2C9wXB9uaWCNvhQfhC2VK6b9ZoPYzBECUQdEOvGze1ylwa
7Mm3PM0i4MNCbbom+Jy1NHusRl+Y2j/gKxEykQnkO4flC2Tv3z6KazmO7/CR7CVw/LiGpyKhYdWj
Smb6EULBQ9ZsJs73VZx52XquYtoxqenjSrlJQguhlwb1hgl06OBWn4Ze1u/Ym/1bpJC2sH/4OG8y
YF90hUr6gt6wQSUZOPSk+0WqzunuUQiK38kbf04V2BC8G+vSYTxo2lhiLTr1P2yIaAwy4fRUp9Ui
hecj2LUNStm/swNeXD/e3mNBECVSSIFb+5t7nIlyYiLf+/hEIJlUIVlwsu3m4Hrzbho9wCOgKleo
ARwWw6PNzGQ3dM8bmZrrsFDNTi7usg5S03Han+e5+ubki7aTf+pSi2HCgFSRgZe9zu1+WxbRzhDY
UYRTY6z8/tKZIybpiFzUrvWh0404lnBtNnOT0AcIQgAZUVkgioBYtMzaS4BYnhV1+ypgnKZDtGYz
Q+1sM4Gt32E0J0bgWipFWNWMv6GX8hAEZnXhMaU3/ADwAqK8K9cnnCTRXR8V88qTFWNGvHrWvBk5
T45ih9+jdfr7WPzLdewKlrGyLE9a7puFE45pNcgk9TcKVBCMDiQwgnnl5AgUtS48qT4scIgL5Zmc
UIJS6KP0qBFHjOltlFJ//2F+5ky9LitinXIR95WO/Ra4r/yyaz2tvY2quWVOA5AlM8l4za80yMtm
gI+L4/M7a/mXb+pZlo8UtmmLt1NHcx4y4gNvmgdXfdv6Z4FE8FXU1WmOaoXEJvqjQfwOlPmXkUza
bCRT+KYpxBL8f9hBaAEq0VeAdxq32zc+wRvNimTXJ7RuesNHz7n7ogrk4fpCfZnMJDpmvXvuNUb4
zuW/aau+3nR2F0mQ4/quab2Jqbp156LsmCoF9SCQ5gBAok0npGU3ZGuzClFS8B0FqGSsDxonhU3V
tN7WVsZlSUJyQAPeKJgNjyN90d8vB/ffzl3CDMuSw89bwuxb8GoSIbZI8PE2fvbgKDqNyN1OVMju
IM8wPbPYO2a5KwRy+MwbpJ5OogN/0LsAuOLMbdFg4XiyzB6cNcKQRekjoeq46xR5BKYmN5HNfCJs
IGiNPvMMkGImQmhAbRC20H18qrzB25aZ8TBG0wYaOLI1yaM0kbDB2nyOxvQiGeJzf9AaheQAsZYC
z2dkskpkgMJH15LIyM6wfgprvkAEtVILwAELI8YszdFgWLoZMgMpDG50QENuI6dKoauKIqpVpUgp
iHd6R786JJTtuqS6juVwh35edG6IAGanFUCX2O83TmesAwoju43uIpuy9OXp/T+oPT6Uz/ltWz8/
t6fH8v+DCsRa9shfVyD7/FuRPzfR449Fx8vfvBYdlrD+MC3fcWxSYCXsZbjzWnP47h+2KWzTc5SA
oyMWSuyfJYf7hyRFoz1E5mMJx13i9J8lh2GZf/imK3DCtGzfVraQ/yc1B2UPy+Bfx66U9pJI8EKe
cjyy3Zdt+UNsyhzLzN0qlicRO1ODFrzh1x1S7VMNVa2QAR3HAjQclXsp8NTuos5pWbGDDVktE7LZ
TnZhyIOt+x7YbwshBBiKF+AFKqY+XYGMRhzK8PBeWLVkGThzh0I/hXPThJvEboKnWHfMqYemcZGI
KcZsEXXO6krtPWeA6ztvW2T8jC+dX5jlkwIyV2+x2rbt1RCFAOq8yaOzPAKQCW/TudMkXp7tAJqT
HhDQ9XL983lkdV36cbkOc2VIvBxsTMaM3LsNPB3f68U29qkcVF7Mp75NrOwYjEXK8GxIG+M29hMU
5TJMMK47Py51vBXQ9Pgd1/EDjHtNu0YzNR96M0PHNjZlgQq+lUtEiUvg0SeEDDvj1nU6JhTROCIv
ZFbm8idJJKfsWKd+bmIHGceIw2gjFPbDoOKhuOZj8h1ZpbGANV2BThVJTc+9tvnzz0PrlR7asSoQ
t7oN/YeuMfAHSmTZRzWqTMpFclt1MTlJopOhe3aQpinogOcWWrtOibHwXknHyVYunTBzaxqxGWwB
nSTjtYNSS/UUVi06kw5VWnnSQ2pxYEWztj51tRt8qkSaoHhtNqI9b/HkaNClGd3mTFPY0jiw8wzs
CP9B88KW8VGqYBr20YAU7n2WTenwwZjnOH7GktAUp9lqcqiQtVOMu6Th1j1URjQYt4MWsnrKXWFh
bxOnOXYhBU/yOKg5aFZDV8bZGaaKgwafpqv7MCjCbJ/2DnKURVIayVmYJHbCmK6I3PyzY3Xo9zqm
W7qXrllN3XMalTzrHMHA5Jtj1g0ClZ0Q8SP3OZyvm1C2Lw+2MRnrpiX19H0Hb3hAfLjK0uahFkEn
UbzLJxZawtSBiiCRJqjeLC5n+wNQJT88z23tA0WefOXvgqgNmQyFgEjTlcUuz46ph03EdanDxtkU
dpiGV0GTcvPI/uB9gkJHBrMdlf9hAsqRH5PA1z3HnJIXkYmo+yezXzSibT9P/fMulQ6SRwZF02rw
YqPdy8qFGhxOBlfbezHv1/O025vScxE8yRuanxsD1/FPeEvhKZOL3j+zSscLT2YxFPZOjWFYnofu
0FsXQwJWe2e1M48ZFQ/+jaIym+8hs7Ti22SiCDXWwk1Orx86b2aWbycdzCZUOPI1Pgazee91Nnqx
QwosUEh0Lq61ZfIUTOYaBkq3Y8SsCrgkN6435+7ZelmRgd0N+XHWSlcPRZ3E4/WUp5HeIrSfGOe5
GiZ5wK10ML40SRh9K1JkOFExDUR8kwepJsPp3AgYykrmgDiPgdHzEryV7e6nqi/x0zINsI1h6SDM
XjrJuHKsKBlBjNgTuBI9OSnWPElggt4dCopoyAAq2Bcyiuf71ytNRnAg151InOqpxJ+F9S+t1jwU
U2tusyBuzC89piz2hWXQX9ih5M+tooPBtWsG6dkxxo8HPH4utLPzA8EN8ybRmp/HFmxJHfioa7um
bI65FnZyVFGKdKsqciKRVwZht4+CzmEi57QFGItUtP7HIqjzxSehh5hRBU5/DeAfscwmkwguta7L
wrOsWXF3milAeI+pokeXciQ32s0dAfnM0LPFDoxKVlFnJKVm4/fJToOFLFZxZ8yMC4fu21zaRXgT
VUU8H7reRMWn7u2qOfcZNK6QwK6c3YBiKsCXlA15svzZqG4mEUThYzc7obXDETzQvKdtPQZRmTJl
D5M6H6/TmKva52PBWjbGjDgqBn9i88BRd8eDGMj+DhDxw5zXHha5zZxRNXm1m00WgdiaKiO8Bx84
yjMmFfl42SsdIz/bGwp7sNUsuiC4iuu+6y9cD1fyASFlG8hgimp2D8Upa/IFqSKtDC32xHAvgLM6
chdRVcpdb9Cb2crRdkG2G2p06FdO0JZWQ+IQBSLV8m+QGhHxfXImu9o1TYAyJUtS+kyMmwakTCQM
aOHwb15/vZoGgV7+y/6a6onVYQ06TW8xfW7l8XXftQTA6VxpK0LrGl6+f52XlWI66bjtfBdXNlPK
Mi3b7nIa68S87tIcw4jE0ZVzUTQRr0cEAZ2drLRuYShuSj9ilwYeoiLGBt5s7137nR90D3RtVfZh
BumcnMzBA/ZggUvzmJ47ItLnoeg9mkKjqng+r5u/T8qeo694ecVqLlmYr183bdkbtxOnOkdq4vhI
80UFasFRIZPywoJVE55ew1X6cvClvpfMqPkv2yToNUfwKJmKTGf4niwbekww8AT70qiqRWkVUXGc
YX5I5X7RJX2RG/hXcuRJ35Z0nnzhKz4P7Y83ObQTmL3t4MWH2uUSzPxKcZ0BhzElUhwimFOZQ4km
qxU3E+qGk6BvKwUKx27fhcaWwhmJ+DYr0KRLXBFGG2fMLOco+pLnESaKXV90kdVuMTvARiDSNmHJ
6nrWvIjaaocy9rT1dV2qTZ7NVnE2F+gtIKlse+lZrxP2/qAqXmXyx/IhoCoi5BsDsef3N4Kk6Oc0
kY4mfQPpqqWN61rm2zuRz4FO4wRh3LDRkbMLue7kLg2wx7wRcKDnQyHcxRKkzPBqITdgj4RhShW6
Qg9V3EdmXTsbFD6TaIsjc08aZhUWJA1gn2m9rhLJEYoLYab61awKqGFl7OPLUw8oDM6T7iQVq2i7
p5Jelf/ZiNuMkXIHJBzjtDQ6sI3mW1EQzuNefUOIHFa2m15Gjp9tJ7+okCdObsZo/uz2izIsR86a
ONCCanPXeeteWkXxKZ2BlU+SJpNrndlJeFZATiGkrEeV2KtmARh4VXuZVsZ1V5IkJQDlGjRA2nZy
11ngX5tj7J2cDoeJzLe7VSlFj7LqlBzYJHVzE5sW3VUUS260VohAoXUIFhP1Xzcf9Tq3hxymR9Jf
g3rYz1m/z3P5RZbDPZyPERlEpCQxrL2xkN01XE+toMEwL5QSWIeES2QKHAhCSzbPrqU6C4cAN5Kb
wZ6Dq1TnffvVVIUbX4bgV5r1a8ZmBZ7X3mZldVnnGOxM0j3Px/Q0KnWl4J0FjnECpfIhMKFsRY5R
7cpyeurq5ChHKFqRj5fA6D82uayvK7QBdm4tWOHxIFZuhypo4NCACycEynm7cmVByTCrAZdW26Rd
mVyFfX1rzBHGKMU3ZwJxE1SqWbWp87EO6cZZ1B9yCMGiBgeIrVeGht8j0+5gW0xGxj7+GjoQrCpM
0NIY6oRfg7dpqkvOZewIBDYmiboKxumLNOQtIkPNsVQ9Rt/B7NEotZ37pGuePZi9M2OA7RQsDi+p
e+/5zXfGI/ARwu5bENR3ttOB8nCMkq7H8N3W87VUMIQ0Eo/OnGHy4W/BnejbMiIfNqbPqgUkW5Yg
6sEfHQZ3tjdxVfXt1vDRG981PQf3eqgsY0U8u7S0tzNjGDmu+c2Rdn9BCobvSRyjcN4OJwTDzjIR
n0JMaFZxo+eNalHtz+j07BqlHmNhPc9peV0lzq2b6M/TwF1C6l5jhhNZaotvOJ6UdM5NAyNbYFYd
gWcQVfQEos2OWNp1gTtm48zNrgIzRWIjJDktPpmtvigqY8RPAuE/9SGtNSKveMhFFzBBmhy3K469
TaQtC4FMTqqtkSXxN1BVkCrqwG2jgQx3cZEArdh+UXEWn7JgaXd4upX6nfGq4/wUnzzp+jS0TKZ3
DPiW6dmb7nEJswvWThKeV1ag+huENpGrNwsvcLaRUxT4SgQmYRpRW87FlRkYub0Lm4SzBVFMp7/x
Cg75Qzx2Cun5gl4g5RmJmjh3GwuPraAOsV8UbkVyF8R+qlf0NafgogtdC3+Edpk/212KxG6N06A+
E+3UIt7L3UWPeHBSvWXkpettnaeGsVdJEySXndURqOlTQn7pbNnatwGOge47odt5wcP8eIhJwrXJ
3IKi2PV9RnA/N4LmRhnCCRPoAG0Zzvd2ibTRzio74xOsYk6aisY04ouDCMW5XUZxcEm84zvmhO41
nAmYCKduiDJNVAAsd5VXjmw2RKv2lPd+GcFGK+iEo3QfLsIuxGoMvkZvxjT5JQ12tTO4550e4Yk1
dtA89XMnsFpytXf9mtMVc0nOI15qnWiweL858lioo5jc6UbPLbLXfBk0WxejRjzRIrIKMXh8vKTT
ZLH4iPF1YfiUI23nc0gn3KfmLG9LHhi5KN8RuszGJ7sxh16sIFDnAcdLlHQgsHubI1SN1SK0M7Yk
mROEpXg9x0GbPFjZ0FQnS468Rjk0WJdBpurN6qkyPcVbhAM5WpsP0XyP0QnIiszUjXeZWoqieKS0
wQuy6Mmo82ngvH59mzYSfLw2DnGgwmDaIDXOEP7l0CwUlaU5YsP10KIiVnyYggyUig8TuDnznIwH
JmWwXFvZhSHth5dKwQ/9RUo+n5fb0M5j90wjic/VFW7VPCC6yJ8NZUiBEr9krmkYkiqY5Dyo1U8h
BNXj6zvPZRnDXQ0FbHb8sl5q+tfy4nW5dobPZSmSgeaQebrE3XEyBNQCRKFa29r1reLof01KSnvm
8jDA4KNZTh/SI0iiqT1LXyolP61yoBBePoTXxDsF7MLzwQPCtcObC3Vt0Y79hzRoq/K6t/O4QqiX
VI0pzKRa9plTLIvZxsYFS0zXscgFgmSc7e+ZVaYTLoChVJtQUaLvpcYEdatml/qocj0ep5mgptZs
RlWk6lPpak2vCzwJ/l2G0dOGKfO03/D0O3nhGAyr8JejI9dgPdWnds9kJKMsKpKK55BUGtoOPZGl
YOuKskHga9nYvcj5jg6TGV5O1i/VOR2nh8hwnPYp9JT7WXRN3B3Slu7tinYID6SyGTUuDgV83MYn
UO6lFS3J7pwzQNn5mZWzwIcm5GT1RtuZbypJasEEN8qGbS7tZUAHOSQ/N6HMtXtaAA3tgmLCknXL
CcCubuTEhlFlRr44DuU5iDAzvHpdLXDysEWkgCu/mkxZ6w9t1Q56F9uT7m9zOtfNgzC8kfIrS2OH
bpfmWo74xOqa7Q8RKdn2hmkZ3/IY77TErpPoHjkXM1tVpTlgAWJoSBGDljF+b8OAhZPlGF1+UD2q
9FhGZTWuzJ6CrpenMxvwzwhJDs7Tky6mvoB+wjY7L+1A2R9HnbAnypcKYczrhN3QVCH3CbkboofS
9bJBXtcw3S8uPhgGLj7ED4SKrKviSNxnlttQrWrrKqijZl4pLw6njwNOZeN1kAakFWvXcya5aZMg
vZPz1AfX1rAMdTdOwoJ9UqYcpzWrxBXfrc7jY1NTuUjP5dOhGGQKUajx/HafUZGxTl6CLS3W1OW+
umqdezWlzevNE1E4BOvovyk7ryU5kW0NPxERJCaB27Jd1U7dGrm5IbZmRkDiTeKe/nzAxNnq0gl1
nBvFGKlFFWnWWr+LIzFyNtR0xKXTingfRP3SpI8k6lIWzAj0wr5OpkcvdTmsmqmywydrHkfvZRiZ
P0CUc3BWHENuyxjoIyjHP2fXIRUP+hUj6C/5emZ5jYtmQvTUmsRbDsCP3ySJdvOTzc+1uRetav68
TTJI+uMwSbQW/iOdcfnXVEurfATrona2PV8fwlCMZECUYlmtg9WQP1Y5Afb8+1T0qK8l28El8MCw
MfmvRNo6i713O0F0zLqlqWoyHGHduNHmg5c2hk+Fp+vxzExFAu7KZCruK9vLy7tg6rC1wAg6XlIm
Epx7mtrql+Rtx24O25mTaTSa/xiuzdvYhqahJ0Pz0U3qBsWI403l2eUq+JNJ/kSiR6aDGZV7nguk
3wxgxjuNrAT1L2csuuFmzuu7xqeV3o0dsUPntBfKOjtEYzeH0jdLB/07ncJhpDS077rAn/m2HIxk
yWWqirx/cIgDSs62w15AsBRyw1FDslKFpZS+WA7d5GFK6iUDlWCUiqGCMU7m2cSHISasibeS70O7
sYsvfcvdCM+6bL7ltmKILtze6O6oupN4GRv0PUPkTo17PUUuK171FWJJhirFjgZt2bQKc4ZjX8NG
8alWltNAJgXXJOt4vSb5xXeEKAkNK3Lrux9MyzZazvjxhebLLr8kieHq82zYOdto8LSL+XvWE1Xw
krXaCYunsegY8Zp5PJcfmNbU3muwvYtwXu6yVPhceHWJAGk6+UxGmNRYuZf6PzxzGGYCMbqsnj6q
9WSNBTrufUz0MFF1k2hnpOc1K8E+jeu1akWCc2crU7YSwl2P+21wOJAdwNNzkJtP4Tx1/UuUcnid
8tpNndeea9M5137TvONfeMN68nzftCysB4QLsCI8cYu+0XBRYXVE86ZJ7zl3SsCQ5jjIiGsgi3Si
TjUjG/tHPjplYWAaVv19pn+PiJ0En7sbqEDCE+pyF4KiHGPv1XAK/RVhQYcsoTdsbO4cRd4OUCS3
Wj+DyH4S3O0w7YNKDk+4CCLpfmcM8BY+Xz6VZwLVc1YEgCjMA96Wkiaa/M7zCa7eKo1ZuSg38yZU
5kFQEtTf2OBcicmUjPFrrzLlURbAmfqPyiim0BSmmcF5ZkkRyLt8SoQkQGNkT3TewJ6I18m3h9vX
PxPXOuZCXo/B4sME/a8/cDBTrpMiXgSvPV4U9Z2Y55moZUOL6EuFv2D7zN3VY23iGCzi33/2lYH1
3zKazy6EZUIbgMYmYCXdumJ3s18K0SOdm52CQjFNzcDD6n/C0sZxO2SlhFah2wNxpWsQXsqweWh7
C6eHqYSJ907D88ubkL4Pjs/CWhhjlPVv3wSBeUGNftliRqzN8rNt29gNGJlD72G6ICKnOKO6vKS5
MnpUJJLckne+j7cTIV/61BHAywD2sBckiMPbJxB961XGUOBdL3EJqoSdZlewFfVHa4oh++Q5DM6d
oRzi4xwUSXLHFD4STwQha2TGlUqK1zHsedBK9Mp6BaMcnp1A8939/jnfflHLY9oQN/meLNathT/P
28ekccwtO4uLq4Pjm1Lwbpa/Q6gmSOBr2cSu2jgSTc9dU8seJ3GXdfj7J7DeMhuYIjqWtOFOwUmD
SOU5N6QLe4jJdMhD52qrnlI4ZLzKJZl0FrVioFQY3yupmuSFERply9a52CscuEGP1doemWNNEELl
YJJDvkgXvXKXttF92U2x/UeEaXuJ+KkkJlKHctKnviza6pszChwdylzN/dfeS+3ywOTOiB4Ye3vZ
cfCGCK/afhzLdxhzt4uDjwyeBSvWZGrK+rxZHGxYTkZ60WswwT5AEmQtTZ2VB8Mnx4L//Q6XaOWt
vNmcMhALWdOUbFIW5c12QE7UpuAmWHpNXiS/TtybvOuGKUuDVDwm8nIM6+rbbJXoLcgZyrvH7eRN
VGwa1xk3tnJ4Z4v++lAe+DxHJl5E3sIOvjktVQ487IkmOW+IHopNTiUogxStsSo5y3y34LQUVd5F
f4W0h9TJczfXP2ATtGReAAlzv/5+MYq3gxKOMQ86gieYJRHTKa3VSvknvL8zpkQJkSbnBmp69xdh
HEXzd03dCcCDj2x0pgwmBN12Q8v8ENq9p+7wjrOLh7zITDJCCDUfLjAQefAmpZp8h7Xy6zELZ0X6
EqMIbk3LWp//p+cTvSBBbozSs5kHTvtH5xVzC6ZbFsTVeZGLKYUfSKv9w51sFxPZKO18YqYlVhD3
njt6HC7vfGEWB8R/lxa7lzae3SsIAsEeDlLw2wNEVxCFbBmi/RTRGJ6WWzdH6QkWgWhSjv6pNOqw
O7W56kimG+nZd0MxdvHJTwaiZUq/DLrD3Dhs7Xee7O2rXM4VqHws1vU+Ii7uBp1gagORAXSZGSSW
1BjJjm0ffMjsqHrBl5geeUB45RExUP4ntvwUg4tMWT0zZ3KZvg99xUBynwbwBc6wCCA6/P7xVpvZ
N18c75AvL+CaYPxkrjqRn97k0IlsSNHpX+08sY+535nFvT9YSOI9o22b01SGVC6dRajmrrWJf2lA
wr1dJnF6OU5N6AYPkRMF1gMBL9V4SQlViy9tAbEf3wId2vLoNOGA8U1RUTvusnV+QvM4zw+zZQ/O
KerCzPtjSkMdHn//2f6PVWqzuRmn2Q6DROd2F8HWMqwwBQlFziqtJ8/04uHSDTorn+thsvIjBLwa
4eYKnNX8Fnm2Sod+HjftpWh+53HeroRlU6/ihIVKZHvL3nm7RpsSVgm9lzonPlHGDLObuDpVQ2E/
Auc0GKyA4LcVY+8s9ICuOBvq73Ibh4SCp9KRzf7fULbZdyCt/P4Bb8rh5RaG5OQtG8inLA5ur8BG
CbMxsrK4aNV4/ifTmIoOxsg8jZ8mOJnhEqjGPVE4ac+5XVe10YCeQRi6i+dK4ECWRPbnlimRvGai
RjtEKOQA2qYGAR5/7w5imHZ1kMzmOR3apn1ss8mzSfL0+NnbGLKu7Hhy9r//YG9Jdsvn8rnGbLhY
Diih+wssBpot7XGB19mqMB+SrveuModLf20bkLhPYR901ntn5G1BQS1qwhL1TC69QHACvH3dESm4
jqvC8aILg2jPwXDD6pth9bQYDMJipj+yJI1Rl5KNFM9LUEKXtEcGmYN76eO87HYtF/M5BofNz6a2
cHoqShR2pY2sn5isgiTg339Ry1n082GwCEAoGAObw5JD65ZE7sncyooyjQDrJ2DggBBlGA8yqDUG
DrFJ62oW+aHOOkrafCYsO4HJ1L7ztuDX/fIYbFuGmjyBQOhz+81B4695X8K8uGqCnCRkFKAvmMhd
u5QTGMJrU2bUD21B2KdYYr8DeUU+zCKqgN/xc7ez1npWM/NZoPcVP6jgrPOeO3/p1xKTX40knFFV
MEwDv4egRpLyqSyKOnl0Cz8OOICX36vExCIfA81eLEwt6xNUQC84mgazius2+kIRRLHaBIq/oUgj
aV44YfD9oCe3l6l7V32wA0NaH+kWPOOsYist/6KvHj7wJWjrQziZDUmU63NG1cjfCgc0Gj8JQP/w
1Nr5GH2Eo8EEzLYr88voSL1YhdVVSR5g4uhP0+gaLWzl5SNELcSIT8IMC/XDTJ1uKbCkk7tX23HI
ptS2mZJinkat+6FxRiPDxhKS/F7puI0fjRalXrt2SJEL2vtayRgHsrGXTvgBdoE4V0nTOtO+wMy9
PJlpP6ePLaiisXczp/DRloIbl+dOustAfe2aLQzlredKU+QdFXrd5hykbiwYtJK3+IFlZTVQ1pS2
nhuZ8KmjKJnhiQxNCQdl6zjFaATu1yheemgjqHsT8j7r5iHopRoRLRrw3/Gmsyc+bOIm/Lmtf5ig
qzt3RhEZ7nHAtVF+Zc/D4bcXHOdZeQiqoDv6/OygqOnJ5qTjIf0wNZBBrkeCr3EuPnamm8AZbiPS
Tbf6ohgmtnFjAKQ9b3/W8ku3f7X7khIa4JL1RwnM6yOxjIWyvUpbCs7KraEavZHlwgwqbL4GJZfz
KRddLbGGDaOuvKRZKKq7cv3WckPycMJPKvVjGHVknFN/jq2jaGWufnRRZSrWJp/+oOnNwlNNcnOJ
ywsEqaw6mwCJr2aMdunoEWiWPMZRViwx7xYk6xkbWe+cAD2n923iF/rq+1K3H0XukfHtj7IYvw2E
SELQLjLg5LxGtV+YmMl8DLN2JDAWougFH87gZVSRi5/s9qKxamUtGtieeHc2vjB5ifMGzehD03gM
9m3lNfZnO21Szz/ywnT8GAdUF5e064MATlY11eqHrJPQ/VqI0Rou6dzL4jE2JZI/spY86rS5UOx7
EiB77zmKk5CRfMGs6yC8ijxVq3Az644VMDYkVnq6PsOxM9CnJgX+OIYfF4x5xxH7QkKQov5jUzZ8
vdLrWQHSaAcPcnqcQmx0M6BnHAOXvZix1EIoSojmkaXQ4vSvM8+EeaQb1BWh6b6V8ufjmJpy1zos
oS9MjtkKtuOr7j0F/DrMeHtcc2G7lqAwoU2wVzrIT7VbFLgV5Stc+zlTwXdfO9hr+crrCMDsvD1s
CxBcW/b82tZubV4Kmsivyi6aDIJDgT8qE/ZBnKGfJgvLD6ZFGbG8PhWW74yHsR6h/C6kvfw62eyb
18LowvTVaAWpbHPVjtm5NkAtnu1co8OBCjaTcNmL4C+nLjrvbFP5xt8wKqmAbOANFnJXoksiuLzO
sRCShXSmg6kDEZJxncGuoHUeJX5Lbk7IYRwnktTCsPbT16ywRoLgWM7FpQIgnB6y0RrlFb+gsdov
IwVMiCJcQhlD94R6+qV8yhpVvSsxWzrUn79xOEaO70LnRl0WMDG86ZgpZKXucwQEsaxZFQzV8Pco
2rBJXjUDObIXE7iFjwQJExOSqUa0973MkkvlsbmS/+dtvRCeUGP40haS0lIuPdFPr1+GrkZFF4wn
WhhWHbhZb7UHu/Wtk9Xa4snIMxgS3Ar2dJcwzSsIN3Y0M//fFw2r1vLnL8UFuKZ29pDl2rT2/s1z
6IqxRh7V7mnIC+OHGXojtn5ulT9bQ1RiKDsZejpL7cbFs41ZNo6TVszcAx5eMGbzfbeCcqHZUuJu
wxVvJUd5YwXmolQCqBG2s/2kZTXpx5BBc/vUTK4uPuaeZdf2ATG6Oz0FU1VX3yFjFtU7pdwvlVwg
XHTHAvdQipVfRkN5tKDlsncv5WiM3xJzTgfQHgGVpwptReYLF0yImfHYtSgQ/lem8H9w29xfBmOB
YOhuuTADliZtDar76R371oxbGxqDy7abOfJri442/AsOBB5yHQzq73Wa4ZiSGpTsVR5Hr6EN9Xyn
wIzEPgoVuaGVXRlnhAPExJR9SSFZLv8B5+HS+UA2oafxWAsCzLpzfBs5UpCxNtBl1IM9xna0L6fc
Tq6t42VE2umk02KfDz0y1wgt2vCqDKd/laVn46ELKtkwvZLdx6jvfThWroYR6zEHoNh39Esf1sF/
urQ1k4vVT+5pbMwCEKxg8oRbJ0cK2swSnFKZQ9gduSbyP2QRwzRiUjU32MLoHNfu2K0R27KlrjTM
4Z45MI2RM8ukwfl3DPUBaotT0oSk/Xc/C/TFa6rmz9+/GrGGLP287pemOUAxtMo/kO/cHAaM/iMj
6rL4igkrcyITmKIF8dIgtZOdLz40YwQaUiFmxHlIet3iOuQAjDI4ImBucmr7ucoiYuPLWJD3rZIR
gzUJqwhGmshD984KKlccAqgZ5R2a0WdnuW6virNOnd28gV5f1KNZfkFcERDXWwKQD5TE7ZNLXU1L
NQQmAHkjmi9uX0ijxHFviNNz5mTZp6nl4rpaRaCrB9vqP0VjHX1zGevXO/iN2fwFsIP1spq4PHQy
JlGlz7lKgjnmiKUGazsiiDMPHWcwj8MOAYL62BH+G+wlAJ5/wDVg8YszoSUDGfKAqmtkfsAyBYMm
Pw14QCjMVgH9CUozhuBmjTVJwvUQGTH54iQ620xpnFa6nyM9kH7OtAQagVCcKJdYFD30Jt8kqV7r
3LRO0WLEF6bJ3B2HCBr5fVOPRFMPtVmXBytnf1zKBIPJaS5LtehXlbuPu5itoo26Ux9jy2QVARrH
MI8nA0YcWceYUJBaHf/lW7l6KiZCKD80QTZbjA6yYAYXyWB6JGH2IoKYTqi2G7TeYs59JmCQS/5O
ZUOpUkxtMGCj7QfzwTTB/V4I5eZw2zgiILh+Arqk0CFAD/OaS26PWfS4EU+KWs71g7Td5l/uTSTp
0Z4nmbn1d64IjarBmjH6DIPqh22lkXHMNKUW1inKuKNol91z6+XYFHhaDqeyDZ2IPLCinC6yz4YP
hmpUv096SWYZjtdEsYddoYn5njgSH8sxMQ42hSDCQ6OePnWFwTBaWXqa3mn7bk86+nL6PekxbEV8
ad9KnGyZm4nyaG+zldG1XbBjNeDhKWftG88yKrlys7kY3WOJiEC/I2VfZaU/7+cACRcTGtehpnIB
t5Yn/OmsrdGld/DcayJhmvxvmCJq/JhYKHsOQFj1160C9v1a1me5cmeLoSMTwYK92T+OK5l8MA2H
ZjLManUx4YnB7URxgV/sOvYS23ApRrfyufBLWkrel5Hej1VlOvj3Mk67dEnQWBdYQXX2yeDPnpvJ
tKYnhFv7KFfm17lyBzZyZSCiIo19MZFM8AYd934HgHJoaqgcHy2jcqp2ZwkGr8l+E0K1lS4CEm5G
Tm/LniL7JHi36a6rIpxwy952QV+aHA/IMKr9s5tOmdS0x0M8HDastlW4pN1H00JQicOQsrbrINt9
T4Cgg32oABUf/Xmy/8lDfMuPtq1xJE6ymZRoyHigcRsZzAxTiGGbmmJYmVdlIyHhlJVcKuUqYubQ
IGkpvqmANGkc7RZdAwS8ZTwHZxfVgzsXs9qJxh/0fW0hlMAlpo/nu4Vz9sXrnQb/vzmirbXR6cJQ
U6qfvnM7NBW6CSzqsJYrsq89rlrliXHrMiX3jRjtpVeZ9b2MugDXVX9QZnp0OuI7X7fnDNsKEHu2
ZabOo2GAzVT91JI3MKoadlCLj4xbHIQeyQOXzWS17w0038oAlwmi42JzwgYJ4An+glUAojNJMovs
nOoOZwi2PTMLckXM50IlLW8RdWx79TVsLrSBi0SBFtnC5ifow1dWH4SH31+CN6jZ8kSLCQolEWbs
C/X8ZqbphTqGhhfX56nxvPQY4OaW7SD8zC/1ZGpig+uZSxGrrOgB4zoH6Gd7m3AAsrNTmmUQweTO
sxO58BMC864zoDI1LSshTwcbVo5KjOPod8K7wFeABTIp0zwXFfNFpLKjbd5VzijrnUg73JlSMy+b
c8sM+tREWfNexNANWASBFcIAg3xYs+BmlBw3H1dXDAj6UYWnBlpA8lrVKJTQYuJx9anqTbc+gZKG
w6dtGLA1+mnWJt0fqq2a+rnp5DS+U4f8MrV1BQ+12NKYEnsbCINvj63e8Hs9dVKdcx4GpNZwGITl
eWsMR7i2zQvsuQKWLcyjfySMf8vC3cgx01OJvsf6ypK3ox9Bm3b5ozn7fO/ROoiavDb1TjphUL4v
7TRFVFpnLTLrlckgHNhkx8FhceB9YwQKSc7vV9aNCJ6vmi/bkyY/APwaRP+muuqaprUN0yzP2xRS
ekb1rV1bhdqv6LG6vqraKxYbifV1Y3QpEA7InG2zUCpxe31WflBN1ylGMYE7hbJqZnKL3u6dJ72d
mvKkwNbewmrm9qApe/sCmphVCGWuPOflnOfHLjZQM5a4FPjfDKqreJ8o2XYYIc+ld2bK0mewsHuz
fQmhKGNp1TviHhF8gOmbD7H+3GbSYsaRWSX8MhSGzygO0XgqPYJLW6n7LjArlyd8c/NxmAS4LQCR
YWwU3N69um7sPB9z+zowTxwOUzD4xh5PLOZtQTNCD42gzPp32vZ0vAes6IAsQqv6T7Ue2Rsbd6to
bPByschwnfqzw+jUP5lmYewid4EixxVLygd3CsC7IhSuOmmMGismgAP4Movexgsmc7wPYi2mLwri
CNGZqGRB4qtUyf6j5RvJHyG0P3u3sWMRq/KTldczz+lFXREiwJeaP6RmlwLhbGIdwIaFGUdmpqIM
ahZq5Yhw8IUlbtuvEhLl33GLsGxvNIWZPRu8qo+UOMG3WmrRHdo+HK4T6vAnERTYcApYyvjLM634
Cz7VHB3zembjxKtwVkJkni4VM05CJZKweXDTxTfbn2ozv0NjFEx/+lDsv76zCH8ZmoMyINRxFzDf
ZXJ+OzTv7Lpq56ZCzMDt336DJsdK32RGGw8oXU/VLm3m4i8Gz1V0EhpA4VmVLYqxaIIfcfYc1D0X
F3HPDyPtIxdlTBDORygg5fQhUSHGvzuzIktwrKys/ZKpfHQR/klbnRwMcAM8VmXhHVVFxMnOyN22
x2vFQUezoValodzhqAY+xw4qkhM+B9VoRx9bHZgYqlPgRfvASyXx3lq25V0/ljjbxytctkm3qWW4
1RhENdX3uabLutI/YZZvh7SRYVZyTjnZjPlN487KeTIzLCy4OJRY6LDuxALbipCkr0WCgAdc64+N
Fq6L2AYzR1337JXlBGcn7YIU4iAD6t1WqA+R58ek0CT53ywvHezcVRgK9j1CU3eNOd6HsUPTYrBh
oU42jZZHeIZUaqkS839YTTAIHa5EVOK+bPJDbykoyt48ovxNIEtzg4b2egYP/PMmgN0IzG0T1j+U
PWTuk+xHefFCI4XPV2HD7jWEQ583ZBWeLKN3HiyaS1yfY6xh3ble3iyqzxAdmtkOZNiOQ7E3IfKK
EzOqg7AyE+JJVIfk1QZWe4KlIi/G3Fjq7MduTPcqoinG9beGm/77hbtmir89e3AScqWkhnCpIm5d
m+JMlHNdOf7VRJoxvhQrXXsGGELNv1bNoY+K7Th0eQFR0sUEBLLoGDh/ll1R5t914X7f6LobPjCF
fLNEwy/6ojicHhRcH6zwGSPZh3Hq04ckadOPSuczgQ5xKkikkiVkeA0v+zmm88X2JdcBqU5BBQ+7
zYnU2iiOrddS+OarxrAWrnnBjbmanqrQc/8UbhZQ4fSRiK+0jiKhw6rn4B0uwS8tkvAgObhIZ6CG
mEzi3140OR8qxHvBuDLiMNyvRlgitqBDIwu7Dgf11MiOq3+qlAYIGVbM6vcv66bcg7wgoAOZzMEC
/IAAsW8wTaupJqTzbXZfU6WPl8kL6q9t5McllTaj4GcVZRRtwodDe+5EmKPkh2TX322cKu3Fyze9
dkSZl2Cz3+beSD7RRg7NHBHel3VliUMnGvpaohJ581E2C/1oTYAau67RaXTHgnYs2O3u8NkgqyE7
Zytre2NBv/OJl0/03+W5FrhII+GIUmNJRpw3TaGyQBAGZPfnIu1z3KnX3Zxb3OgnLuWxvKjCIFlg
U35QoLGEtw3bgxjAO651iQkG2zQ55AF98xFobpT70hrmu3asJfnc3sQoIMjLgDixXBJ9YjAqp4tM
KTLPUd15gHIMJ2jNqpTi7u+SEqx/J5mTPvfNBwUkD3x7qebZgwjUacPfLi6M6HQ/Fkl4KVdhwyyE
Kh7qMlPqQY8pooIg83Mk31sBuDkGNDAJ588jIk7+hz00i5DaLsrycZwsU3+uC5fuq4+shPJQKp8b
t/C4/Oods7pxesLge1GJG5nd0j5tpPB5VVO7XlvJSzZEwnnaSHbtSmPaAFcjl8iTN/U9Xk4zOosE
clfi7Ow+i/p/qhge9yuOHLb+VvaO7q95n9fqaM40S7t+rRhMHwLIfdkOcKqjMBoo2eR6ZbpIrhFQ
27OBg6Hh9kH77y2aVfnytHqeJ+eDQL1X/9U4sakfTdiSKFNCO2NAudamEs0D8z93Srr2zxTQt3x2
ZJnkGJaZzErDpnH8P1Mke8x0ZqDw83YpbYtokxJVxSAXj5JCc9/pxUv5futU/9VBraS02PPRA0TB
sk18XEtg0/ulUf3B9u2MQ84igEneKWFcsLqIMWTKQgRQ1KdgbJKAPHXcyG1TmEXqkML0Vwv7n4IK
K20W5Sab2gRozsaJ2TbARkXZnhrAifdepqAmuNOvhHlG/Y71ZFUIsY+bcmB7WbYL9p3sq7XfZ0Tb
YiavPZKgEGxY4x0Yvvbq3eZ8kEpFGYOnQJZPOxT2zKnIbxr5vGmCFvOshiFg7LiJJUcliZhJGB35
J7F1MZtBwVbEQmRCc+b1fUAwHmpWI/nHrkIsUIp54pTa+7Y1hIfMwxd/3JnugJHUvmgUynb+v0hZ
UHpoUX8u6qGNVZd7Ht9k6oV884GtIqJctdlTpXeOFwfPdjwEwBOra4hsgtq4mnjSYE5H0yPPGMGk
CJASVy9VySLZQepfyIpNgB5g+bdpvf82ovzUKPr2rbyuVhHcgpPxm7ZOp0CO7eybbGj9SxTlgOrg
aw1g8p5Iyo7U4ZLGO90BWgYIp1ojbTESixbSt7XaPDBMWYYXBkqs9JE+ssy/+WWnrJft9I2379Gg
e+J3ZWXNC9AL3Y7DuBr5hiwqA/M69rZwH/0mdvJ7J/MW6qypJy99RHbEEVHGjP7K3ZSF0u+Z4FrO
vG+AbtTVqTXxlbFRhdE+l5ZRn3K0bdgNa4tJ+Rh1vrHrDJzGHrflv/HLZZB7i91LUhnR31aunfmV
DdNlZxqtyds5TBmCY5sYU/sygBplO08BkF9K0WVMlAxIDeX3MsobdTbKps/IqLP0Ij2yk5mnndJq
sX4B0HSaj4GZD6+pHSX5Y8zYdLdtz031l7ZafE5NI/G+h3HN0Y9xnbBegX89YOoIFwB9huA1GrsJ
aYd9X6fsz/1kG7MNYOlN/ZGCiIAivtxkvqPq4EV33VT6B0ADnVy2tomQNqu8r+N00i8as5QdTDIy
tSAoy/mYL6yHkwe32Tpte6FlCHWusyLlhrIld432mCbtEI84BFh1ih5oXowI5Dom2jRNUEd5erBr
Xe+DhgHI079aJ7gbwJkUr2zbFCiOWt3Xvb4j8MxJqp2qXCvfF9Bb5g94PuFVARYw4uwBDab6Kl1f
iT+CVRGw/bxybb6w3Qj9b4099fF9ZWC28ZKVvpjPW4m/YYBF7yzVVtYzDluWSjdeYpQXcPN8qJIX
pTAXIP4ms4hzmS1z+gYJCyOaoNNz+IkRatTtRB9FjzWUxoNMEoWdkghIPtoMfSppIzBtM62ysx07
0oBOsNhnLB90/ox2OSjvCrhS4momYTIAaTRW94BXFmdjmTWU3njQqCW1c+q/cET4weXfPbsK7LZ/
3tRDMWZJ1snvrDH/xLupwxN00DHBnnMIjOt20GZdOv8YYbtUWPfB0yFwNTH0PRw5rQ8pMkfstVOR
WfdljkPyrl+1i5k5pQAkyLrhA230OZ/qjX0GFWdReKnB1MbHrLfwc/IRXHPSlQM6JCylBn7iXFqL
4VBUWpLotj7s792qxQR9N60eIj1mh/ofT3n8aeXMXIog3PxhFzIrUjBzVkwsRME0+6oMk1GB9Aca
yYkvP7+3TTr7j36BadNjvR73eP3wI7ZN3JWD4WOR5XXybqpm7s0g42S89lVt43kfWPQfRLtmKP6+
GJHgit68Jyy8v/gQ2sxRSobIayBrla6vP3SrTQ4aZCd7lLAO7e7orrVY7ieSb8LNJr4JYgBTk2xl
Y6yr3Xa8+e4QsNVrv+3keRtzb18O8lY2CmERPNymtB6mlEFeH+KIsVNGRk/1+1LzhvS9VGDBQkJn
modM3nFvB3ldaSDLVGUG24LiA6+akAPCydM8JohENJzvdLnEamKFNOoflCEL12ckoWTYgbbTNaZg
wmSxTj4JLdJdVPC/f0Lvlpi3FP/MP8E6TUkfcssPNJsSIqW0m+vmPjSitkSZjv5Sk2KXVkjzhdu8
lJFNtYt9hoaZAsGzOWPNJu58rRDibeUACjRE0ykeP80BZlwenbw0mNVhcXyKjyRXozaCnBMP584w
s+kUzVZn3ZXMBGFvmZ1dnJmDhidbSTM949o04ZdQRqZ/LdEdYWK9CnF7Jej3S2mW4bCLWl3WJ7Mt
UthrWnJrZKNqjviSVe0nlVchi7nOHOw/M7/oz23l6+JVRdTM1xx6cYiZcUu2cdanAetpwhUf/hDW
BXjXGx7sbi3BTD9vzN4FskQpvxmIbQXtBCMNxfp6flRduByn2zhizDUVwWagUwjfcEjyCZLhiFPX
jH+xLev6bJnEUXzu54JiY3PxqTdC8NZPJSUrtV4rC5+aD6LwKmpmWst/TxxGLHt0wnp6pxtdDVH/
2xrRDKJmZg6OpBqOHB3XzeAZFfeA4stKroMTcXsQHgyWledDrE81UzH/xUVd+YJkkJkFnjJ6PMJv
k+NXM3c9hVbfCzAlWlQX3YF7nAhkCyzHOQPBgQTPqS7nl+0n+6KW+WM01Phe6dU4IHLdjOkedA1k
u/tmBMn8PPdolPZzWjIlnZzEImprwoM46l3r29Zb2FRa+pQGAvftrHAb7+KYvf1o6iwSj1ZAx46h
b2TXxsca/248Amj+C6JUDcq+TehtZ6WJK6ke3fc2/y2ziC8wsGGOooEyfTrsG5kALagvSrNpr2YQ
Q+Yx6kQwWufQh2G4ESmVjoR5SNEFhHto63NT7LaO10wYebzTD/5C6glkwMtgGrzwgTEquXkeVdjO
5JRudh/hR4zTVmxBcdiMrWRUBOlizSgSpN4VU/xzEVZ4EeIzIfQ/2zsr54A3itN88ddQ51Kc/61W
12s97QRlFvsTacR+43iaVsoV4kCi849MXszwXq/rOid3mybGbvnrf3+a/TJNWbhzFhxt3H7hat+q
n2Kzp2HBKgBbCBEbh9Jyspe4B0c7J2YHvTjiahN3Xq5tGI4kArynefvlvGduDWgGuAGaB/B9+xXz
fpGbTc7IzMOBLenFIbxTF40IPOYVxGlVrtHa69ggkWKqIU61sRs8V7MRpy++h0DnimyTAk1XGEm/
swJuAu3Y3swAAAWkYM5jQla9gTXCsMFFwxbGFfNrDpLNyGobSpi4qpQfO6OKLhAi1XDArwAaS+6a
6mlzLcJxBYlzODv5NYeoMT7YLn5Ex2lKZm4Cs1DzU4Ow3rxO637d3vXv3+9NZNryARadmfBxhLcw
SLgdVo0Ykg8G3NJ7O3Kz7NBaRgRIu5pe5pkphlNTZf/D2Xktt5Fl2/ZXOup9901vbpzqB7gEQO8k
kS8ZMlR67/fX35GAuktENclzGdFdERIpmMzcbq05x7T1y/KwJTJVY2opHhsDoZNOkTY/jiiAIE16
zgVm6u+zpKjN619FqYMIQ6BGFnfHogSyKHLM/awFjxQJp609xNdct4R+YnYmCt08azheEPieySi+
Ap4q5v7afGklXEdr3zaj/d6CfVLT4dFmV0HniJ4OtcPTHYWWRYhCndo8i5lY8Y7nJRnaqjYLlYiB
m32dXS8y4yYoR7V5Z0Y77YohjdIMHVmqDf72753hDvpVJWtbQEwsjOFnG9Vpe0WVVKE2qfNgN8sm
GRlUURAZ+SpM+W8DhkxG5ju6joMO6691ihLeHGkxO6GZ0XikTivMRkTlsJV1vG0xEpS3RuDr3Xkt
FRID84pQ9DPaWK5PBGajt09+w+qLi38q08sJ3kJ6P9baFH+t6i4jFR6pMMrgo9kgrKvikwgo53nd
rIB9bwC+7PbTAcWxOyt7KWFxyOEuvqzIZRmnZXDa0jseq3Ng98k6qtjU7ACTVNHTr2aINXGo1JEQ
2retUQi5UUKDsAEbMsrXt4eUdboBRP+Fp9xEyWrMttHTJb+uaP5A56adOsRsOI/CU6Vo7eDaF6WV
PBRpFs+874EW87rHzGPugwbMhR8RDt+xPde3qLJ6fBmFIwA0HV0W/WH+MvvK6W+PFg5MjvMCVwUd
boajV3rMx4Ct7lFiHYxCN7by4Erq3QwezaFRiSjkwHeyD14IF8JHDZNodqQf3+jYI2i7iAev5laD
oD0Qn468HysgIH7fZkyt+wGzOMoRbWrdJXhexV8dm/q0/+cwjgHU1/hgHv7BUY7eNx3J1abf+Po5
IMsuvi202EEKGKOVWeZlU5UXMqX0tDi22YWPmXFL+BoL/HEshiILcVp1wcwHMkPpB2dEfMf+eQlk
DE+jDjdsk7ohCKy3byuoqflZ+muMcPbA+QSdS7E0nS2IcsBT/aZ9atpxartOBLuAs2M6LatMLXoV
DpKSJiTWz8i/W8LFeWsa1QND4OiDGGKbz+Qe3PRBjPp0dfTeDJrOVzmKIeoczfGVCNCZ/SxlzRXO
0C5+S2jBlpd06J07Q1eraocAUX9MwJY5vN+8GUik3ic70I7UKY+m88Rn1383xn3dXh63RsVhYXZ7
o3yKsL9bazx1Sbc6fpbQctlKwRtGxs//udzSFHAeEDLQPkE5bVw2igxsnrn5Y0WOa/W3CXWnkixn
BLdrJwQGu5Kmy5owDIre3hx7Lo09gxAQUczF3MNDpsiQ+0iOAhxy27d08ZPm9WSuDf4b3QEcgkd8
/DhJYk3+g9UG881MMhQ8vmvNV/ToPjk+zFMXcgE44WKXSQx73MrAqNwBsptiFp/wXI3JrS1G4KdK
3uKmXpsWGO6fR9f2EX1gk7U5rGvJF940SivUL0rnGPnPJJwbjMdbdjS81iZIFTTrNbIDOuutu3dj
wfXoe+EP91k1+g9Hr9/xxJIjx6JVVqmMnmaidTmHjsJUoRqqOPIi7ZUofVLaDPhWbciYelcQPZdB
bufXKvsq8kYV8QXFp+vujgO7MkoeluO+d4Z0tGdmppFkrh82fcfxfvQfmmGJwqWJDEVc+F3lg8Vq
D9ah4xI8CNw06yFrWfNDGag/kAD0mefqA8GQVg7vmdC7RrCnJ7oA1IoODmUHd7KpvrUaj8ctp0F3
2mZ6SOEywK7+H2NYlodTtpVJq/SfjnacnoFB1mUx5g2M3YOVKGaCMjd21DnRXVC3Di4BBWzqRWVU
VLFhU4ex9UWLB6aAo8dKx3U/gSGfommX+u0MeR56PpulfaYgZu3UPCYbXWraXeoY1VLvpLEY7VJD
1W3Ym7gIVykKPOSf/mUyAMusM1d/DjQCKRpm3vVQilm7WdqYNUhwzhMRnmXRVJ5TPpbLVgu4NYkB
NrwEid2mZgv7s03GazQTDg1Mswl2dGmCderW/qUZ2c8SWfUmc+oWpcV4m/SD8a2IBWaMqnHuZDB2
iJTdcV+Zln8WBqNyISKHhj6OdLo/dbCGxCgv2VSGm6qxu5uymYalokwTYFhRkHUPZMa+UM2IKECf
tPuh7Nb0ljCT5lG/at1OAdYrO3VB5mz4xOZY7m00fSudwtg6n4z6Qg1laHHoKI0vWh8p32D/kH+u
2C6pGbGObECEF+VQ4RCsWv1s0kfDi1WG8qIHfPWpM6ZpZ1bVPUKGGv0fNMEV7LT4DCwNCZmAiqC5
Nv5lDSGfBEg/Q+qXGetRBNqmxv6kEd7ePQ2sLstGmZwbvxLxFwO59A5phRosMJ13S38CPtfpnbKq
VBqmTS2SBJ8nAK9GjPtEjcd1KNNwDe1nWKHLcZVZa6ZslZp6h3SnVF+x29VWyOaN70zCVHZreI97
ocXdhl1LcyNaLdy5OrsSJR0J0u21z1VWBFdOWGobV8eGwnR7XojomkhIUunZna/9eILMZkeGpEYh
840yIS1chYVFGRvfW7eucWdHWOweFITLS1h00YajQfBNDqTliUFNH7pifFb8dIQtyqYudvKv+AqV
aTXYLL13JOWF2nLyzc+J3QdbUw312RLGbMN1boxVOWZyUTfDtUQQsQiAo2EVz7WVG8TkYaCwIl9t
KlprDaQtrlfTmOHjy6WTLmv85fdqpsEz1RLpboqg1LHcSofjR+QuQ5PubNemsNYj5jfZWGhyddRA
vQzrLagY+wnzJHA6NXO3biGea10JSD83raVvV9NFLqp+oZFD9FQkRvyAOxz0eF+15/RI4s+x6OyS
toaWn5F8TnjR2H3NWqQogV44Xo4VegWg1akWbdsRtmAz82LhJWS91KjvUoH1lZXt1PZNAUdgWIUI
1m/ReQVLpPtceZLF1mhO1ID9AzG4ajcEP4bIuIkT1f+RxfZ4bZZ6vMAmOH6BR5wT8WUN7rpQzaH8
3CmJ9tmXLudptADWgucrvrfV3j3HRKydGa249bEnr30quCtSTrtFF9pXwqbIutUARGXw6oSCJKok
2hmZlrkJDCP2JmEVOycVyaVeQptFdSm/kJJh4roiYLnubfmA5yM9s1LXZ3STS0xWnIFVQKTnpeUT
dCBKd2tbko5bbM7ngDKmHrTI05Qf2m1b/cwCollal3aFqlb1PgusT0ZU6dc6O5KU9FdOaXmDLgBx
mNMRH53a5L1V+nQH3Md/RPAxcrN7RPyJSgR2kzbXPq0FAPtTcB1OyrVRJfWyS7t6Fw8lzLemVckU
wJ7WiAAOTy7dfplqSeP1ThGtyqm/m5I0vNFb69npp5H5qHd3pm9OW30a3a3fJRFZWAYTbRKn41Ni
55uGpvT5EEXGUitG9atVqVJbtN3QL3EIk9Rt9cG9riPb182CbL12yLRPlSnVy6BS+ofcjesHl5X6
NtODFGkcBpDLsLeoA2t5871O89wj52MOiKN5NiR24pWqC7TKwrXgmIW+NKN++jwm5rDgkbTSZTmZ
zr0WWsHG9+m0SaYTdllB/OQGrfwsS1QHszcrXbtIW3iicAN9yQ2iPylEMBW2ob0opCh2BmLjjZOX
w11nORcOntudjv3zGohce4XBP/aIg/dXPNz6lYltmtTAsPQoEk6k9NV2fx5HpvspieDfIu7WPkEa
CDdKbOrfO+quOzqoxY+u6Zwzu6oLCKXaWG9qO8+XpdJFl7T1jaUlJmfD3qRdpqKvaNmFhEPJIW2X
gZF9zWolI3IaWicyfFeci6k2FknPUQN4Qexp4YCX3h0h0Y1lf9khdyMtJXQv8iAMPhtt7UID5Yp0
NAwfk0BWy8oNpcdomJ7Ie056ZPqJvU5AihMUrtP3B1Rmfx9S7RLaRf6YT4oORHAgztaqYYos2V4a
y6zrYMgapksjEnbCRo0z9atJwNBW+sJap0j25EILRI0nzukaBfNWqlPVt8WMiA67q0RP2y/VROBg
mqKQXGMVjgKPxNR2k4yBcweX01kXZbfN/cLwfHYznxVYAmag9+t0Ikd9cEZ5Du3MXeaqiXI8Z2Jn
mSxvWB2bLTEE0woba3GesBdddDohTcR5ZBsWnXRT6OnGzQh2N0K6xqMp2Ue3Kp5Yq4k9rtOlAHt6
r+L/aRc+gplLUUZErciuR8miVPYiRjbmZV37aNLO8jpEhjvEtO46d0MdDgPY8CQsH0emGNzKk1xF
pkWF1mrNZq9m4xPAGOuCPcXlNDAv0CAXm8rSdmVIxnlW2Wyd2X4usS812xa+/FdOMrhvpvjSZ3O2
RPRZrG06hBu3QfU8jI6yYgtgr3QraB6rwk8vQYkrS47i6UXRN+KS57Jm59OO3aK1qFONWP1Y47SI
vk8xND9x1+WeY0+SJJzAn6Hx2GonXf1uBrHy2crEJ0tLnrqi07cdNE886ShjHro0HmZ7bB+uiabI
vyZJl2+xvTs3RlJY91gHIlDMSb3JaagsAnvkRBAWwxWFGxg2oxN9R3Rqeq6vwnGMaFst4gm+vKPm
SHZaK7+kFTniSJ2BuXrG+hR2l4DCFfRgmXWGObS5TKHbnzlIPW7dtlc3lt2l2iIZa/cOlUs9beO+
jy4UIzCuea0EEFaj0/i0HgWxHsucFAI2E5a5F+1Qz1D9vJP4nke2l6Oq7mqjV70JAPE67ozoVo2s
ijgyIIZTVT1GwBxXVYWPrwXpuiwrV7nWrEm5aQqrXgj0Clc1CMo9BOSKIcI0ouP2f2CykRcxJOpF
0wePKoZCRA9mhHiyeLLg2i4aOlBLqOQpT/QE/p1jZFP52UbrCX0PTFq8HLxCfNlE1WzaMgYRi36v
30Vxyd4zduQd1ansu2rV4jHPFL5AnrlnNFeiex3oYIYeEk9zrHJCyBEBbztyTr745RR5HY66JxdF
9sVgVv25jODxUlDLNzZ8hLn9nlUL8CnGuARFqaxBdlrpQnGC2kPfwXQW+RfQXdn7cVJ+qEDCXmQj
tRNuB/FjGOfx8CUmtlk/NlmHh31Pw/CHqAqeUzu6GsypfBpzgo0AYWRfci002Wyzb0iqAWZ7NAAK
1xkrtoNOwEX+Ubu9dkZeYLmXkiTztE0vTM5SnwigoeUg9HzFLt3+VmGMp+/qm5d9GJMZJKLmK1LA
9FEYoeYzHAi9zkNCNHF1Twtp8oGrUcdFVNJg6slysW8nnCKXiFBHmgLC2VmD45zXHba+Qtfwzme1
PNOcpl6UUWovFLqDZ3TiaqjuBnDyWLVIScjd1dTk3xXAtbdWbigglbXOX4GWnlYufT5CaqQTPqiZ
k+5jRagrv5bmxpE2mZdkbVLKV/TVIJMvdWSHSPOa8ixgEqOVU+btqtVa7qHeuw+Z1mP2jyAYoogy
272KSndNGRXspRyV8hrbWXyfaDZaM1IsltR6SSZPu9DYjHE3XWG47M+VsDY8kBFl9ygTQ658DGNr
147Tdday20PT0+6NsKjC26TLzA1WsWoVZM2nKVIcz4psbTW04Y+yCtqHdMzir/jLSSBET7SEQaYt
EUNHO5tMujXF9i5aTH5Jdc1GFWDYJaEHMrWmtUTmvQ8NZD7rIEnzezMpXQpJB/wGyjrWPi2yTOzq
PU/trdvYavWt64ERXYH7cTPma5GbC2XUdbJ9gryaK5yH+p4ZJZHv1W7i5pdHSo+CmzS7HhJZKZsS
h2+G/8ghHh0LUNCvQx/p9JpwU93dJvAXEQWWxIWuWiPSm2XHISm9PzIqjjUwOYy+OIvww7L5T+LY
2ZDfNT/xTTipyj2t/+JB1ZqYnDBRi/yhGs2pX4yRUVnrfFSc8lM2TOK86Q3O1JWLOv22dgtKKjXF
s/GB6gn1AD0yi8pTOunuJFFPgRfpbWhdCZJE9b2f4OjZ2UTL/9C4SOu6oRa5os4fKWeBPnLRjniP
gEdF8zTg5/nlsUAYOQls6qSsiJ+Z3UeUjnBmUWNCb+e3+0LPrcIbyEcmaG/E9XElmo5Pc6xJHjnz
djBanDDCeBRXXdOmVDdRw+e4prHjMaFXAC02gToTaFi+20dXOrV/Fk3ZfC8PVZjUaXogvDRISy4y
Gp4vR47FeKgfyQNjckwd6jXHCslohuzkRE2B8rxnWTW2VjbxHHTKOOl7xO+9dXVkmLggYrSrtNJg
zy1p4c7ZCW1siTNrIGzmrpSKXaMaKcf16MNCNTcKhM/8wcSBIXe4wPR41dgRxdv6wINqD7foeNdb
tHp+uyhRnGUbsosoNR09nwhkqc5FsTJ9nWmH8eUMgB/PIjY20MdGXAJE2PUWxSIRTU31nIUUjkq2
0GNzPrIZFFsdJkY4xyiAaEB3xKsdYT8FmWjmF3XqBroPR4rHOyXU03YHOGKTczitMt1UKdmfdMtq
tSxER9XwF05fCVjFLoJZwuK5fQkwukHMUkJSxxt83hsUHC5Y05vvkV1Vcou0KrPXDW9R7n1Us/S2
2TMrKFNc6o70F1IKzleEzfvKFuqME3oDsWvN5u0vcfodXAQ8xFAzOyqWYSBDedlwGJD6Uz6dCljK
eiEvE22U8W5w6zmzpFJ/uAFVQVyo+PK2HRUlwkdKIEm3b38I42+dcJemrK7TlNXAcf6txxCXal60
NfhLwfG+vsxDOw/OKd8UyYY8G4WeQWY6/ZNpULi46eNwlkIqCLzEjyqvEOjND0KxCK06MW8ECFqU
CQcB0lGHlqYlOJKlFsbRtNRGFsdtrmAzQ1tKJ88qCvPRb5mOFM0UbJGxCUCw6A3NXkepgaqdgOlQ
24NW4GxT2MJOeNgdN940RjF9wZ+nIN8GKc20XnfXvUqleNeaQslXYoSbdkF/Gx2IOcXYYY+j4e2r
p2onhfyDjWtuGIHyQjNw+hyWDpB2q5XumVW5lJCNKO2ycyDSdbJTRysip6xzbxvVctSVhq/hvmpJ
xFzmIzyn8z4zck7rsAOsxTsf66WMnl4srATGBawSnB6zluHlo5VMpskjY/tnurApVDd0KIolSnFi
KifEKUiq0rhrv2kctIObnFYSsWhxqd/r3cgqagR2R8vI9hO7veDOZMYGIACNb6cyW1artz/s3+1w
fFRFBcI2J3GQwXwyDvpo7OcNcHU++GMXf+Is39sodPscn0MwsCSfH41vJstBvTiiYA+SStRt9Hqt
Q5zfccJFgY1E6peC72B9PRqt1F+WBwyZntDVePJovNg1kI4wSS/JiKzrZc/q6G87dnPDSneDSs5n
Gb8C7MOQ9ALT1cSyaNT90VARVgj4dyafrjxvdHIXNghXQ/YJQ9FPz4NSJcNiZq495/gdupXUHPmJ
0VT75zrnuGqFyABJG9K+dsACEHC8xloTtbspkdbkydFVOMFjMAuXgWIMwyLOB7InNGGHCd29rEk3
loAZttTdHFQuYopo2ccMwoURhEK50Oq417KFplRNd24OHHaXINJpsSG3R7YTUQJ4T1Cnn3QrEdNw
B7HM0PIF/sh08vKha6IwBw8ltLPjjYqLzor3gVqW3ZXh9IG1sgU7nCXmLu5awMGi2JNQmj5J+jI4
LQlycJZKzDmNrJnZg04eY5xeWlFjljd0zOu7I92BsDZGmp0odA8WsdsAOcQ0Un7TOwzn+6MvK+tR
QF3oTRQQ5QnCYISraCpfjxL9YyinNQS5vJLZiE6tRnSq3bWp5Vtnma700ztEm8NX/63fx6UBjYk6
AAovbWZTP1mu2EjhtE5C+6zShcg8glN0T06Ngz4ebbSubgl5T9SrY2RLNviqfdnYYR+sYngE6ubo
xqDSS+YZC0nZNgudfm7DUREw2rktXPxco85haskwDg24hwa1mqkfK6597kh1Vacqf5P34A9Xma+i
joZ30QfnE42rvaIqLSXKIBsEF9OE8798e4yfiAJoeJoOYEZIE/NShy/nxMnUkTiYRdbUc3YuCCRS
utq5Ha2xbM7YdWkjmZ5dUizQi2Y7lUSWZzEaONvrFkTL0gEER3gec8QsuTQlKxJ7I/pG3dBtpGSz
tJqELgrxzsR0ohhidCJiwCAAKQNGBdPoiSIgqCsmiUzr9sf+Jgygxrpxya1nvTv0444gveOex1Wz
pNxVPAC3U27oj2woolk/Rltt+b8haP8diENAMR+Pxp0BSBnm+cl4s0xtdDmTDfsOa9z54OJSvS4l
GdtcjmGiUK31qUOPMZxyFOQ9ihm2ZHWAct0l2VO746uV2vaYKkvQMZkAiyx2H11TDP0nQ0Om/cBx
yhg3IM2UK/ZEeUTtYZDNlqZ2op5ViCLGGxp/AF6P4TxIAuvunI2uSxbSkIN6pshdzWzXY9qPMVS+
vqxqP3XPOpIXvrQwe5Q1PUKae8jhY2UJ76Lqv+Oht6q95Yg+h7KQw7bHgFDh39T1BaIBJ9g4hRnk
D35RRh0vPmX5IgqVfPrRlsqo0ZT0J+Gg000wiRKjIfQdZDh2dkTKoG+zKxPr+lEJ14w6O7ujaLrJ
fJy4kCXjr05kT/82zyUHYbdllpXEmmnWEfjLqKiWCrC8bGXxCE5eSH4l3zPtipzGSw6FYysMM8rX
SVChR+/5XAo995jKIwtJsnfGchIbdgdIvMGc9e5ZZNuSKvrRjiPYZ9leITIfk+txhwrCuKVk03Aa
+0TKzRBczkIgMoZUS0RLhzDZksYafbEzHw7zXDzjkL9GgOAbDCG8uEtRWDDe+katjPPIxLRCFGg0
1USlinTbx0ZTE9NR4tTM7LzVSCNUcntn0q4hzpeSySaxOcXtGOgCG50esFOgKZ3LlSR39cbN4qz1
ImnpTOtBW81qxGi6QUeXx1tUJjl27KkJ8R3HIk72SdO6une0hWlYiNAmUAYCOAOW5mEaVJmufinD
zU6Sh1sPI6V3v4FtXGhjnj5F0uyiOxwRmb7IM9LMrkabbKS35y3tb6pFUAgmmQKzw3ueDE7GGOyt
lA28CyA6yNEmp0VT3ZicNu6FYmJoAvwyRFuK8al4bJ0c8pGvDtPIPWHbu7aGCXtmXJJ2uiIeRO2o
AVJJwfYT8HAC9WzKFZ6XJLvmPFhcQ0N0+t3RnVlqrEJLp/TNlR/n1o0xCHMDaq7IvIK3e6Adjzqp
dgq2t+985Zc6qHnWYzdqEPJCKBKT3+laZUq9ZIHvtb1zsC30apFleyRsxABFRVOg9pZuu6dcwrAB
X4Wg7pdTJIsde5enVfFQg20fPdehSneWCdGaO1iX2BSkM6X2ajT1tt4OpBklN1hxyuQuTakw5oEf
Be9Ibf4mSgTTx+baBJCh4qLla73ck9QulkesKtYvmrNUiML4bFi1toFcUnbANAIzv8C6XARnMVxH
Zx9W9jhc9Irb2UsHJOaMU0+lue4K874kyDIPFm4Fs3Rj067AaFi1Qn5KOXRSNju4BBVR0p61Kdg+
JROWXC2UrLwDmrjiLIqg2j5zCKvDeSKDh/C9TCe9fA4cRdC4Puxw/7/uJ7o2x2CBYEvG4suB+dTG
TBZabSAHFPQvaD7fF+Uo9TsjUdDP02hnKyUOPvOj/vLoG7IqPXJV6rtY5ddtNfBLkgUagkMvakxE
UEPT5XCgPGQ1aJLNmARGv0p6qv1UFZOkvg+RpwAW8oFzvQfBeXlinTfNto5Cz1QR2cFBPAUgDpMl
VbyeKlK3ORQ8ObhhMoWkrAsUOQS2c5quoj29QvZJZd11BB36qersyrYe4Kkegp6kRjTjJRFAFLlz
Fc1mib7FhH1V1/Tj0gDp4gKPrih+ErOcUDBFWMrJ9+178/fDtw7F0QVhzIlWhSl5+nhqg97Zia/u
B0Gy8E62SVl4BOrCOqugK3weHdYeaoXUjlkmpqymgwkA66Iuh47yZCFhMlHAn9MIWTy68wxfoLII
9TzpNs0kgj2hdI5cl6bjwO2j5/F0BB5Q3uD0cfQ1oUMCcdIAlyFH2CSEyPEka8Qvykt+2Em7U8Bb
SIWIvisLScA9thW9IDN2KgtSTFucJWuKQw1NQXRtTyINJ/8HU7wtv0zD0DZXTZIV4r1N5cuZilOu
bs/bSpa5mQ3IO74c3ADT8VIK4OJJ7VDrg0uJ6jaj204ijlVQvTL1EeXZiBCIv+khmj0EMGnVbzZl
2PjnsSp4uKP/5/v4f4Pn4hdCsvnX//Dn7+AGKAGF7ckf/3VfZPzvf+Z/85/fefkv/nURfa+ZK3+2
b/6W91xcfs2em9NfevHKvPuvT7f62n598Yd13kbtdNM919Ptc9Ol7eFT8D3m3/zf/vAfz4dXuZ/K
5z//+F50pFvzakFU5H/8+tHux59/qPPF/w9qc379Xz+cv8Cff+zyH9HXv/3+89em/fMP1/4nmyZO
R9h+qVlQB/jjH8Pz/BPL+Sd/powBJIfylDL/hCi2NvzzD938J44tFMYASIihPvyjpoBGzL/6J1VB
/pIsnhmURSnkj39/7xf376/7+Y+8y6De5G3z5x8vD7XikE8z4x/mSeg3hSaxtOTvpaO9bs0wJWtQ
TtPnULPGy98uw6+3e//l8Xy8fPnYRoY2jLBbUDXX9e1gSSW4DyCo/3z79V+y+P/98bVTuB6Znwla
Dd9aU4SEDlYit5nnhRj9EqazTEPjULX+OwXN/36tCLl5+WUanC0xp2lrPTZ44BdwjwLM45PlPL39
ZV6qZv/6MvOX/O1esPNXSL6eUCOppXGhIiHL7gYlVqzzyWnz0RO2pK2ZTVV5+/YbvvaFTk6rrAll
T9/fWvepa497ert+tzQaakPrt99gvs1/1QX++kbzG//2jRwIDRBtUAkOCSXLvTXpvrYsk0YL4ReF
sXahdkmXLJFK5hNtO1AdmOnysK+3b7//K4/HwXn42/sTKzGYGJxsL0tp4N5CL6q6TzoIFWXfitC1
bzCc6Nbu7Tc7CQj569uezNOlncE4a5DndgH9uCWWWs/W1Z9lotM+RXQ+9KhCJlucFxAoknWnsZun
SRhAAX3HnPDaDdVeXu80mDK8gAPXG7n9Uq+Ln7bJxv3t7/fai8/L1G8Xs2BaGJypNbHbNPYXpYCO
7wN7eOco8tqrn0xEqRNHVqMTAproUfSssKqc54KI3ncW01de/rT4WoiBY21omuu0tftPKlINrCrS
/tg058zHq98uDZiEuCy1ylzjtpVyrYwCSItVFsV7BabXPv7J1KMhFuFMETP1FAYIm8myRmNRVYzb
1Ydu7unumWBI2K0N+GYIrrZ13URN2H7KqOb9/Njrn0w1jaN0yjCSXC4LNSOkxhB0g6Okqd+5v/Pr
/JeZxpkv3G93wEVGmXZk1VJLoBe2GeicoVEaJtrEVRQa7gff5mSI6waIAQTQtofyUmu3NGPpq8pc
Tcd1GbXD+LGhdrr1r4qeAtKYOV6J+PSeimB4lVNtun/7Xrx2rU4GMr0rR2W77XqaABiQNrWtk7Y0
FdXnxISm886leu2RPRnQIUAFGDWl49VoMHYik8oVdPP63bPFf7/h9snOovAjCLY0ERB+VRp4lXg0
Hi1ZlO+sXK98evtkRNOaKaAaWRweUu5AmwbEOnU0md47Gb3y6U/Gcxfp+ZROseMZTZ9wDyYHmgfy
bgQtb9/j1z7/yV4icYVZgeNwPOq1Vb7DRZ1j24htOVx/7A1OBrStTXqjCuTgLhCqTzZwgOsxCqrp
g5//ZKDZ06xRx3fnlQhIoy0E5dFdhAmip48NMftkqQRvVlmtVtte0gSlsWtQ7TgLNGb1e8vl/KT8
lxnJPhllUxAHtMq4xRWnx3oVB1garzNB4siecDI6QWDcp/wLhFr9qcuDIf/gNsQ+GXjpGKCXQQft
gehJy30oGp98dQmdCetROxAcu8hbQiEJm7bKDKUnYtKVZQx6cdcrrdV97AKfWs8nXIa2k8DdzWzR
rfRosFE3ojp++/E7Yef+Z7NlnQxQs2/HqNIq19MVWRdrqfo9dA5fynRbcqCergL4kz9xPA/Z1pBO
bl4iRNLyCw1nZ/zFSbAjvvNRXhlq1slYdvLYLAv0815p+7O0UbrP5TgO1cfmUetkJKf4NFQws7aH
QmPwAiSy6SIAV/Pj7Qv52qc/GcedWltODGnKw63rPJLpW+JeE9nHptGD8/O3ZRm1YB6DtHY9M+Uk
s+xUB0MGeNapeecpe2WUHZruv71BE1UT/aHa8VpsjBrh1XWtfBtLdc6L0DBKYSLrShrE0iqD72Um
IQN87LqdzB/6kKc8RDW0fcfPukVZaZCyp86g8fGxNziZP6Qhk6qzanvd0Wxb01MMVuS8itXHXv1k
krB8F7d8NUqv6YLWkzlWCQtLxjtz0CsPlXmyOFuqEoqRcxYx94TsanAZVv5UaB97qA7pJr/dcw4i
cJ2iQnoa58aFEqqfc4q/H7uvp8BCuku5QUyC9AJ7ai+6KVdYnqtQjT/4+ifDOUSPUur1JD3hZ+5O
68dk5dOV8T50W82T0ayXvVm2Ca/e+pqxHHSoAU2mRh/87PPt/u3COzkdrB7/vTebwZaJjjbXSmzj
Yw/8KRkCyW1NPEsjPRi66aZx82DZm4bcvH1l5ivwX5Zj82S85r4ZSqmKwaPD9MxJMOk3BmXo3GsH
+z1d0muP/cmQ1Xt40XHiD57OwEUNX8Rr1SiSj52QzZMhSwCRbgzSGjxQZtaOfLluFdOB/djVP+2y
qy1cAEfG3RxYbJxFaWZflGP6sY9unCzWLNR+Qih661UYzwGvmVqztMMRjOfbN/eVC2+cLMGmD11e
zMboEs/wPmmD9rzz/fRjg8o4GbLURwUthLjd1F0wNHf6AAPsyqwdK/zgtT8ZtQmqGHTOGqLXoJPL
pDQfJ3fK33nwX7s289//NmjNWCSkZ/v9GvIAmKumI+nJRWb4sSuvv3x1HfMDKEan58qLx1pjf5e7
o//B23oyZuEl1kI01q+PbgByWpg98SEf++ino9V0/M4J1X42Ms6oRl69+fiFORmtWMRLsgx59ZEA
nmXnJN3CsrR3w/r++2ymnyywoWE6BSpXXt3QnisQ9JsgCj5YbDqwtX97YhKkr04U8OKgDzMPZxjB
LIk1fmxvcJrAMLboNdMp6ddmC0BtVHttoZZ++7ElSj8Zq2i3MZrqSrfOMRwvEMo/w4dTP/bE6Cfj
FBA+TNpw6NZZEmI+N8xH0TfvBd+9Mk4PssPfrrrim6ArQ9C2c0t91YzR12bWp3/oWT8VO1RQWmN2
wt2a2F30xzGIrQ5Q4gdfXXs5Cdh6LIjGIh7Tdjv1oqE9cg1UPH1H5PDahTkZp2OHO9XglT2p0mxc
yBwtwEq0wnkvIvi1NzgZqlqFvozMw96bjJkGL/TS9MpBa79/6Nqf6kVVwAegVTNWVr9JgWA06qpJ
4mn9sVc/WVq72v9/nJ1bk50oF4Z/kVWAinqr7m3vPqWT7hxvrElmIh7wgArir//enau0M/m6itvU
DJtGWCzgXe8DiZIN1wI6o2+wwH0/B/57t6YPu+oG32ZprQe1k/AeER6/WgbBslvbh3Wa1KhMoPCz
heGyiFHnE74MbTm4BYEjwRQetZ5KYhSFejVAVTAlvo/YRBx7fp1Fv61TPN/C23GLvRPqYv6uLf0M
4fgb0o8/TER22EyBSKw87Ne2QLMzqo/ZDN8JO/uVW+j9xfz5resgb6yiDaDyhtiSfAlA94FnCKzT
3DKNo40TSD4MVWHDCmKN2vNhi77D5vktmPifxuawSMu4niJdq7UIrbKZlCO63r718vqHxn+Z1v02
MAmYsfCKhK4Pr/LJQwzv4IfOK8fPTnP9aPbPUBqoFlVjOgp4EfjSfIGrvNsn/SVI/q3nezAkTSna
tVCh9lMab1+BKHpy6/dhjQYm2Aw06Oh3M78Eq32Atfobbol/GvDDTjoY2AUsfrWcUN/lZR7cqOqd
ON4P0OuP/jYmFKLECBAq78RJ8k7a6GusbOcWWo5aHHh8a0RzjEkneljSDmcA69wi+a8anN+6HYwQ
M2+4Uz8Nu4blDYTqodsO+usO9beW4dIAA3bwOwoAde/jATW0sN5xmyOHZVl3yybWFZ0e5Ucos2Bt
/Mmp4aMitYNXBQjh+IiBaL+rLXkf79wtTpHjljnpdrOGL4WdG/qy24UVzerPuVvHD7um38MfoAER
FM47eN1nfXuTlMkXt7YPKxJE3vkKuvRAN0d26xH+F0oGHTc2cliTmNjThFLrpQAiG3yfOfDyJIm0
28L5BZr6bQ6iojRaglCD4cxBRYdthWMmQQ6bpqgEnLCEXYo1hr7C+DOEehN/cRvwQ2ZrIB6x8GSa
T1SMkPLiuR10gcVxphwSWyg2SQu3wvkUd+GTv44/6gBIL7eOH9YlpGSWTHEyn5T0n1AkB7Kzdmub
HkVd1NTgm20U18bMJ/drXDW3U7Bxp1H5Fy9VzIHukM9eYd87T3fSfOy4cEqw/mXOC+eYwMCLZCk2
3y5NRoISZULgyNDaKbRAuPd66xmNDEq81aCOLhj/Qn3JZzw+fHT5ohAMvm5ao7ZVcVjDnNa1CvMJ
7kAojmKRUx6BUuPXrSuhI9xHb+j4tj2twxW9MbmtUHosHm1kBBMI4c9gn/kPHQSHpxjuro4jflih
K5wDeLLqpSBj9z5AVTmsf5ySFJoc12fo9QDayrlgLGSZkVRlNGh+un3OwwK1eFGYY7nADarjX6t5
u62j8Nmp6aPWaVMLiHrMU4WlnQFcJZrOV5dCpzSFHrVOQ4iCJ5TdKxR1kj3v9+Ex8me3Z38aHzZP
EGBAl6NGFQPkL3BVWZV352liP7iNzGF5Gg/k3ilY8UW1/XtGBrfN8Xe3pg/Lc8HGI0Y+zEXLqw9A
L1+IlG7z8Kht0iU8IZouUNCrT6hrMhXLva7/4dbvw/YJ6+hyVhtcyRIxwlXaPsr4rbTz+qf/+8mF
HlVMxsN9sB5RfiykDtdURbx5mPgIG7Ur6Ttz6/9hkYawcuhbIK9AxfS/dSL4DKsWp80f/rWvY+IG
EWLHo1Jh/ev5RqMOBNXagdtTHYypXrdewVynVj5DxwP6WWpYDATe+MlpUI7qJQESSauImIvwSl49
7f5qgxQOvKJ126SjwzoNALOPV/gooILbe19L9lJPbmdxGh3WaFeHEw7MaLq0yfuF1O9Knzs9Q9Ho
sEZBrCrlpC3q4UvJCi9my3tamdpJfEuPYmMWaRJq1BsWJdnBFlNTAe9sN8EYWCmvZwvspD34vQD+
2uuRpERH58lUbrfD9KiFWkD6hH8Ohhzh8U5bdteFm9saOqqgElMBhgR6fBGhsjCNdnuXKNgauk3z
wwJNMEtQBduqAq7ST1f7UUUWt34f1UuqxusEcIBTMfP4c03V+66dnA5xKNt7/SnLDfCdamxUATfv
CUV2lUknK2O3eHhUIy1+A3/YIZnwbiOmDJyt96uXfHQa76MUiRCcs/qQTEVV+/DoMrioOK3E444D
c1ieDeqRd91YrJvEgp63cv6hq8nu+EWD18Ou4b1aQms3FUCIsIzOwSN2UrfXc3qUIa1ej0JtWCwU
85DAwBux1l6JeHGiW6c7HHp8/Z9wjxV7qxwLXzXxNxhab7CNk/rG7csesmiIf0lSbT2+bCXgKd7j
ag5Gt8Hk9kpBjwWAtkV1opLlWMTe3E7wIBnlzzWJjOORlB8iAYx64R6SeGOhhJ1zWLvC8g5Uk7PT
6BzlTFG0oeBTkxGGSVeINIdqHaV6jtH3KGeCHQfFHX8/FnMAuEIKS9f2r9bChs8tSh4VTVutOKrK
MTaDAFquXuTHraNuO2p43KzZABO5aMW49/F4Y2eY6pluEG6z8qhm0r6+AjPMWDRluH8GcKu6CaJ4
bB0H5hARfEThkFl81qQvJxR5rwAMp2E58MnxBw6bNp76gJcdNUben81FqfgjcI5uN/+oLHwdz6JW
wlwewHLQ1ZfnugKSsl2e3eb7IaeuStTzd101FVGffOsHQ1MRBG8pd6+j+x+ngqPQaIGNmt3hT1xg
LSUph/Ql9awXnZy6flQaKbjaLWOH1kNt1xT+BLdwSXpjsv9SUP9X1w9ZL2xAIK+DOUEBz+Srl63s
G4SDqN5a+JclVQv7PGueV7gWXcAe9nixCDGFLyhxi6YnlCXP4H5Gkt+0eJccbpq2D3gadTUu40Gp
QF1yugfNpD6aicHFm9ipb/8ahPCmjCOxZDkNcdd+isZ1W3PY3ICnwfFKvV3gOhPDgzjaRHAph8bY
jBLcJnzxoOy1ZwrDVdjSRhvaNF297OcK5sMzqu3Yvp4lgx1bPmvp9982lNaXTwuwlc33GX6+UxHv
LNGF2vD35uMCd4CG6DDO+ohRGBzZqFpv4DhVJfc8Rik27PB39sxiECU04+oy1rPaCzIkYBbAnlQH
uVZBFZ40OBe4wu6EDrIK/OMB+WySwAZC1X6UyqFW9G6G7+587ugSkbsdo20yeM3qy7578lH1mgR5
QLTe0wZWU/tzB8Bh5JaFHKU1SlZa61EPRRtX6ycVwwxFyT5e3GLCUVwz9fUCdX4ygB8Bm+eQNfdg
SrjV3NCjtgZ0THBIY9TWgyEPkMBATFNsE6kdk8ujuob2Nd09vxkLMG3C7cTmq1kv7K7aKXdavkeF
zSInU3piGQq8D/wE7ec29GY3IT09CmzG1Sg92WgoBKAgQbrM0dbBV6xhP936foj2Opx2X69sLLoJ
lpppNKBoH567wLK6TR16yI8NfEmAZYZLdK0277tsjP9DeaZxjJyHrVxuAUhDqz8UPIQhHbZ1WIf7
iVvXg0PX/aC0OEB1YwFzzn/KoH0uo9ptvQaHXVzjBXLrGPodrqBdJN0tfLfdLsWDwxcNNRRZFDen
BQrbt7T0EoCIOzo4jgl7vYErUvm8xWN1UTHYh27t9BM4kxenuXj0g2lQ1q37iAzAW6zjIwoT6xuY
Ikq3vOyX3cdvb3mC12TtGZ+LSrXBPeimDSpeYMTu1Hf/MC5m7DtKtgonHUKDdI0ww+u6djzpXL0W
fhcHjCBLNXuFBAEvQCqDXg2+4Z4hhVvfD+cQA+wMDP/6AWW0XXfLfR0uKYfpllv1ADxVXvd+bvoK
MqkBk71fo1uYmZNvODFbt4vmXy5Rv33XCPiTXcKquMBF2XYpg3ItIrJEbrGdHbIn5ndrUl9jAFxp
YVxrpipdFyndVhM7hC+q6LZuOIUXnu39fwS07P/scpVuulJ6lJSFzO8b0bRjEcK+yrvAuppmpDQm
fONl8g/mAYAcvv6yKGYtSw5YRbF31FcvY1sDulxGPRtzMw/eC8rZHgGG7JocOWILA8QEh9Gz8MJw
cPv6R9nM3ADMAcSvLJACPUZ6v+um6g1ni+sf8R+J81E1A2gTKPEgbxTzxsQt7VScwnnFuC26o2wO
5cucrA3ScmMnEWeebODLIQWwlGenVX3UzXECxBSbrpkDcFolaFcVyvHsZBeSuf3AISjt8IlEITDr
C9+ndXu1STdB2oAD57j/skNcgnsv8gaGH7Arg5p7Xz+jqOGHU+eP4rlukRYUrb0vRgUwxlb5P/cl
dOz4UTsHe1o6z20kC6T8Z9Bzbhmb3zjO/WlSHuIRDNtIZWCsUiyBnrPWC/ACY/YPboNyCEeL6FRF
je6LclXxaRWsSmVYO6ayR6mYgX1/rFtfFn4bD1UKr+jpVkRrL9zm41EwFiTb4POeyCIKe0DAk/gG
tmDWLVL/ioC/7TIKVKCqTOq+SAJh7mclgyxaGv3+/w/8NaP8j1Bz1I0lprUadv+4XtiDCakPmavk
BC4vCAIc2W3/8///zB8mz1FDFltewpW6GkAA8JcxFeHSXOcQSYbc7Qf+NTvredJJjWgcsud1IR8q
Wrpl+uQwN2EuscQERBeU/IZhXitc5YN/17t93qOMrMdk9FqoAk80UuUHbb3xuRehWzUTnHZfb5Nd
3dOVsLm7Bpv4/Sj9sFjqMHYc9EPCDwS2JKXsOzyG41ZimOL3XlDVjgPDXnd9tUtvV1t3UAjAwilD
8eH0de8AlnBs/7CJwCOmLGH91xW7AnKlbx9kJD67TcbD9gGuAF6rUSGIotWhBJxlXvU/xp/cHjdh
9ft6ZGrcI/SivA77GJd425jji+Th6jTd4RL/unXwctdtV+h8CcvwU0gZeJ3t5haK/2WenHC44oYz
7t+oWajN+xp6BPjI9o12OoSSo6QsBv5nRO7ZFVRwm8MkmjwNqOf74PJlyVFVZnmNk76ZvLyi1TaA
e0PJI5y3w/WN3v+6ufl3PP4XJpsHPts4XzF1+BrKdxOlcGmuWz2pM45KKzuHIPLN+RR22wCsGvL2
+zEC2usrww3OeeVsv0SBZ8M02csV7goWZMt3sg83lslpsrBqrkS5fx9KW6/nfkSWma1hs/3wZRDc
acDDbi1Qbme/XA2agAeGSIkEkfJFUNS3vG+vPhUvfR2Pc44jVQBEgwQAUBAoPx/hMe7tOf7ruX4A
ZmjQb2RM/71HkaPZEimTqGIjjG1hytzyXCyTmupUK1xlXmqDeqE3DhX/vUmRo/AO+smJXQufT1VJ
m0cN4M49qxkQS25z5xDQBq8NB9zCtgXcSP/hbHqf0OrJrelDLMOp0wKIa9rC36Hn7VhwYcP8lmHH
dZ/7ryl5iGbr6slqB+u4mEZ4glzUvHcmT2DarHKDlBt82oR34qvTX3IU49EpCXmgw7YADomfgtZ0
533sqo9urR9iG+xHV5wW/bbQQyByUG8+Lw17a5z+NE0PKQglVb22am0L3sGCGurtALTXavtra6j3
xk3SHz7F0S8f8oRq1byrTlW9tO15DTcKdZjXnWq5g1MFRbfbvQ+QKa93gUrgdqNUHf6YHoCLNuCf
EYgcN7D4kDd4MBzBUb1vC4oHs8U358WnbwToP32EwyKLfGg5d9Tg5jBYj5ZL0s3heYgTvMzzSnfE
SV1AjiCVEG3zuo482HTA2w+17tWXZIrcSlvJUUg322SqYcAOrGMULmdoruO0FNTtsALs8usvCyIz
zpwrFUUNf2jgw6zM46R2urkgRyUd4SMFG7Mrc6rrW6Dj0mDgbmN+1NBZINTmYUHT+x6cymQ6y5oV
TmHhqKGDc/RQz0lb5m3N7qLQu5u42z0bfGlfjzZkhfCq5nWZj42Zbpt5XgogrJ/d+n1YpGUIGIj1
PUx2Ws2ncQRk1SZdcHZr/bBKSdKqMiReXUQ12H1QvX6eKutmDkuOGrqKR5Wn2VoXnWXdeU2W/oZM
nZsUlRxldJ7d8LAnVV3UDaA6o4jvvUjNJ7dxOeyHW0OmdfaHJF9kUG9nxszHUbWt2+0ZOUrpBHi1
UxeAvtjr6bHthqJRg9vmepTSWbFtlayQ4HTAo6f92pNs78I3Iu8fsqejkg4UQljZVwMW0ayHFKqx
bORwFHYa86OUDg7odgYsA8TPWNqsr8ZhSkvVwxDdrf3DMk2kRc1FGyYotBrAiI67Ut2BqFC71UGC
dvM6DKy8L/to8pNcmh1vV++hAnij57/um/8jPTtq6QLY3sOcqhIFEIW+viO1DFFgVMHL8wVOSUMB
1PPup9GkZXjiuE822bQAlguHzJHb87QmZDrtI63YXzIKmS7K2K8jpztychTd7KEw07Lq+dT3wF/D
nhYeE0Hp5qNAwkPW2yWLv/txOJ/qCIDqsFxgIuy1bs/H4Ha8/mTwi/eBoFrmk2+kgIZjeUHB5vbG
V/vDYjmqelYzwYQnsvMJoDcQjAlQ6FHrGP2Oop6wXbnnTxj1XcIAwiz2J1HCrToJq+L1sHj7KKey
89dTBT0+QLACpEeG4jCndXj0DtohrC5rjVAdjez7LP1nKZhbwSbh7HXPQbamMIFZrmd3tVSX2ifx
ehJzO/e5U+ePqs2+rhcwVARQJkpw7Ja2AbRMhJz6P9x+4DAl1dKuO/iVK6gjYjwBtWJyQFmc7vfh
Z/t6eHB+APfSl+uJXk3owFOGbUAQOYn9yVG0OUY6mMsFjesV3t4daEWgaTA3SShsTl93PRBAygEg
vJ5YQ8fMB7k6xfXYd6dBP2o2hzaOCfHL5aSZkGnseagm3ALilmQdNZsVhM8k8PzlNEDmlYJmVj12
kb98cuv7YdsJzDj6lE/LyUuuEPZ2r061DR0H5pAf1srQAe/2ywmGqewJ2Iz2Oyd75JaTHyUwQuJK
eRiD9VQTBeD4yMpTWUJG9/8H5g/HxKMKpqPtxNrBj89AwIT6SayylmdAszt1DtSIXfD//8yfwvxh
iErtlwFt8EeELAaZnIUVIJ+rmyKGBIeANgL0vCwcrVdVX+cx5DBZMti/3bp+2FzbBps39IzqNAJJ
ltVyAkpYlm6x5qiIScaALDIM1Um3qz5LAR4dDIx3t2BzlCRaCfzprow6LWLvznRuP+60Cd0+6VGQ
uAsZ7ANuI0/g/0aZ7LYmgyTVTZhPjorEPrLREsXlePKkp7JmH3vAu62bcxM56hHLIOgUbfh4qpdJ
ZADHdxnox26ugiAwv47CK7W4clZVfG6afn/ZQSf61JD+LSv5Pyyloxyx9I2hK8TKp1BR1KNcY/zI
6Ft3d39q/bBQwT3DdbVNknPg4epce1fU4IvTQjrqs1rKaAmkRXSGzxfglXqHTHYBFOmLW/OHdQrK
IrhWRCXncJQ9hIjNxsU9p10fu63VXyy1396fxzlekTiNyTmZKcCq7LYjjpvfUZ4FI65psQxNywDJ
6vXhv3dTxpKjNgt8hroU0ZSc96v1UWtokAUCVCynQT9qsxrSiWW3QwD8aHnTq/GJcDc3QXIUZuEc
gkONlEHOIfhpeu8+6Ov3br0+LNAQNkJC+X2QM75KWgQjKNwXYeT60a396+L6bab0I50akC6jczDQ
DRbqwRzcXkv13vITvKZz/3HSPQqXaq8dg9iU/CxHb75ZSq0leLgEkDHUqUblpZK7EQ/LDmrfG9+Z
Br8Ok//1o4dNNrKsBBp56nBS2Ey/ZbSrOzae2harrjuLcmu7dBokCDJp70/Y27fGKgAyh27kQp5x
sG5amXZ7q+1FAD9a/uX7BsK4nkBb3aZ+Y3dwnJHkjNN9y2k8Pui5NJRfNi+IpjZVe1d5dUr8pPYr
oG+jEYnQwPHp0jCZhuqvUQm50jRoo1pe/L2F3XNucaCPqtxO2qisBfR1e4aFnNF1Grag7sDm29bb
3Kfgp3s8SBMLa/j2ho4th/W9xJ3lIlPUFQDuBwfUaOg/jkwid2yiJv4pR4l/VusEtB+H7txPV4xQ
m2ltWA188bqButQSf+7/GnBpG63ppgD6NmkY80p87eugTX6Axw32Dgo590HJFG5fjf1yVaMBCSrt
lvYwjZozY+qZtnmEwsnytOMphZ08Vm5zVsaYaUmmQdIMZc70HpI7GmuenGtgQcHCBIbb3oAS0GcR
HzV/aMhaxzmpfYA3RcQnZGGxjHPwRfs63aaKTz0Uls0gqnxJcMSKMtyQbNWAnk29itKY8Qh1I7ou
yiBC2ohYwuV6i681iDpVMTK7NKFeJ/NV9uzbtEieG7tv0Y+13q1/HtUQto+7YjH/JCYWRY/+Uvr+
/V6KeK3ybkeNSnBOzErhiLDzaO0eUKER43uNdT2icxXZQQI8E7gaIxuTZNjbG8v9zXyfYlmDyj5o
XAZfIhQ7Ji8UyNPZZl0PTvGpir2rDWS3dr3xUMWyQ6YIB51o1evJ4lsOw4WFuEhjF972sUhb3iZn
3grgtvkGeCIOsNab9TWz1PMdWef2ZBRi1CMfqrV52TZW9SBBVP3ALhqU0CAbKhEwuMQK2+W4hRDx
13jx++Eu2XZc0wgAUjeVmnHBZX6agHvPkEEtACL7GShwfvOetrHiZxistNtdzwzFrfaVN2x2PDMv
ukJ1FbEzXyBZ5DBZI936nXUeamaUjoLxOQoBDM9FOYfNd9xUxB0WjQwGnc9NOMyPLTjt/AXyrEme
GxuhTCgZyBDe7iFow/dUmHb/u+67YUXFjPKG4HHCohWnfhSWXUZJm+mz8GRMGMJbW/EwjQCCHx/J
srT0e9CUZWzTskpkVRijdXhLVB0MXxrDbZjB856gGr0yPk1g7Rzy7ke5mKqt0nZq4+9gr0/jZ1SX
A06M1yXsXdC7D/YBhQxzjP958IIfQ6P0fgGh2dqXdieUZqPASvoBBrjmN1XL9sclIdWZsClu3sVq
jfiJxPUoPkyt2PYnA6E78/BCDN+AGAxZLJrLbJa+/9ni5QbIeDA+bTEMTVcWE0uoulsnAGGzJvAD
9hVY1SD5m5q2fEQJuXeLZ6T9ByT+Mm1MWOUVDIK8fKv32NyCIaH3G5gH+V+6pA6SfOxQi/g+sqLr
HymYrvRihnq1J7CDm+0msVcMc8S3lnwmvGzLD2JKqjEb7eLBE7EhyYxiAslnfav3OVQPM9kXcvFH
DqoqwB3l8G4FhV6ciWiHCDj7RiN2mjBW4gyFM1UPU6L5jw6eAH1W4pbGvBMbUQglYtjMiYfDoqqc
4LVK37UNDI7PZbWOKDPwIl29iHhOgoscx5GnS+kp/l2IpBmzqp/bpUnjnpYE7KHA3y5gj85LvhhG
vHyZe0bTvtvN+NVfEvQgBySYws5wQy9qr5pV2mze3J/6qyVPCkO7vX2cDArTTuGozDdGrOEgnlVg
MWZAQfAHpEvVPyWWcJQ1nWAy49KEw2c7+WEIgyMpYXmW+u2+1xezoI71xYJPp0qAycHURrzfRzMM
abNgmzYpbrz1/KOly1J90GJP7sDhUNgVWljWJB86NHX9muOyqlOYcDx3nnrDZJiiRLMPiy6hSXvS
uvI7m1Z0ifc7s80VLho34KWSG1JaJIooZxPiMoN+5qW7Au74mYetYjkw4quXz0TTJI/svjefFNn9
5kYvu0mKFVjQMp8MK+29D/zcE6FzUz/jspfZNq27bknOsI6vltukxTHmEWToIT4HbY1NbynLcIKq
ORDbvaxI02bgodIlC0YVeSgvUHNZG5TQ7TP9sJBWomaiD5blqd7wSnUz4N24eRxgd1dPqbYBKDow
F08noxJ6oX4yL+/CefL6v1i9xd097/wZE60XshN/+4CqYjpI+LbNp6GKa33GX7Y1p1C2wfyRt1qU
t3NVN/4Fta68e1gVA3jrhJjU8Ry8JL/8Z4dfMozNZ9GEN/NQVxWUvChHwUQBnbm5Fc1ix5uxkT4U
sgyKWWDSR6APU73Ynj33XhLfatkln2KQaacUNulh+RJQ0XkAmHfPV9HrDaxUmD0vVkXPkH9uPwGv
JianHjbATDd9+3NEldcn4FxteMMRnmmqk6m1N9T0n1sVNDnskOsPONXAI2knHoCEndpllCUbw9SX
BMCGRz1uOhtnJGtPLcOz4blaPJabps4ZXD3f86jX5qHbmQ2AwG7m8FkmU+ydxeCNmdgGloImQTAN
pOkysob7/E01DMeyuIGRSrbgLPjQLKj7fBIB3BRzyJzKO4N/eNirrspr5E64W2Ctv+VNoOyXVqlq
ySRKfOw9LAH9v4RSWxo0/EHIllz0PHt+gTrb0b9MUGDdJFEcPO9UwgxGJFj1L4RiLV4R7RrzoQsz
xrDvk6Sp+xxRZ54ed2+NTzpO+mwl5f3YePIjPHv1u2hFiM/DTvp5PQ0/diKm1Mqy/ga2SnMfGAu3
czPjFvqm5coGyDiWbbA5UaG/fJ5ohfJRJFo7wO3eAsdBePW1mAfpYLzghYEVw/LajLT/EWsf8d5D
DdPd2MzQZjcQDVd3ib9s+id0L0udJnhl3XPiMR3exdGyb39HvTTnSi+QLqcCBv3v4mnhIps2T4zv
RYdg+M0fZJmq2Rt9kcnWrnBUATq6G9JWRWN1uzO6qBxaoGUtzMzlg5FIBn/2S/TkL7uked/QSmKo
BIreu8Sbyic2juV2hjCy7z9As7Y0z7A34PeC1KUu5GStfYzgrzDmasPD/CWAVY5O5coMS/1tmsSX
tVcV+VYLX79rfDY9jUrtIjWwYJ817n33jf8YaD3R5wWMRO+Lj6cwD3BvRFLYNi1LiCraoOOhzaJa
aZZVIwi0t6LeVTZNa4TXKb6uZRbtoT7Hy9o0BQ4n+/hgoIl5SrDZRirVRkICVYWPLJF9ZiNADFUJ
WR7i95p6zVpCfizWjKk9Om08qS9W1llp+q8SRLE02mpzMdDRNUP/GWo8m1l/CEAED1oOcxMDXIIa
kg7bF0qu4qYkMGlbbV51wYjMfh6BAtQJvQe51rO5UILchAb6W1viUTTo+XKiqPvNuk5Nae2HsHZQ
vP+IrPcbb8N3KwWYgS5YooG9KrEl25B/8i9VnTxoP8mGiWJlUEoK0QIMnu1Ngwt7jwTPVJrpgsv3
VqW06fyiDcYkW1Hq9zSTLr71mqhXGamGR5wzFl2wLgo5wNQbkdPjKCaB8nUKK9jzmDTd8ODL0XjY
K+CBcJfwys+bYVq2c0jrQL+jPVEwdMbDffISxL0RZ90BvfQ0MeF/iWdgg/I5KHG3FNfewh9tP5bR
majGsHd40PT7D/PC93dh0HW0GLth8LZ0vl5f9AEiLkoLoIGMwbkecTbZ+yq5KxEyxy0DL716slBW
ednGsXo/zLuZUHDf+ZSZDDaZZZtFCa3Hd+2MO0wMXtVNJ9+ibrs7oxaXnuLS7/tckZKNGa1FRx+C
dbySgvl8Ta5jSHdFlSWxDlku14nQFY2gZryXS3Rq4g7WXOkuUSL4MqKU1/9UzXy4V/2KtD4TVeNl
oFnrCFM33nQaGY4gwVa4X9xU3IxIKqON4CxYLXjJhU+AMmAs+YG3XGp0hrxfByzMjIV8ylsr1r5o
N+wnX0OijD6zqO0oGDgK5no0qP04t1EnfiQ6rNLZp/t5jdftS9+XguHIE5bN/LhCRYeIp5DS17d+
PRq8/Zf2XWyv4N1d7f7dHMctOcUgJ21I35Dq5moP/PCT6bRXXVreh8vL2pVUf+jVSjM8h0zsm+1K
o7Nwq718bMXHZFvXVI/eP7ZFudKAd9lUbY24EcsI65UAdf1I9vxs3xfA2SMcyCfIftvnRRF2w1pm
im1Yk5ORkX/X+knyuUNClW22+V7ByPodxZXWk6CMV8AULM+h0bfDgJ3hNjaV/ZuODf009WEsblgt
UF6wN/OePEweU0/EwH8Y9vfhA5xD1zTmFj4nK9kLpC3TpwpXTupJeyME5ssWZasHyUXphZ/iuJ9T
O8QPePmBxwAwuL5KZ1LdIcTpi1Ux+4joXp1aBj55KuW2QHsD2AkLjZdVBgSIvMXSwfisBjGjrG/q
NaqumHMAw3hlb3ce/x3H1fI+YEFwy0mLCed3KqsJf9+FSn6ke7e9i/nYvK/IOENItXZtO6UbqRMz
pxXOb/ZswUO0N1yz6hOn23i7NDZO8qafeCb3dd/OvWrCWwuhbPDReHH0XHXGB2iALX3k3ZQy0qZL
S6yVGMYPVpC/a1Dhl49hyLlNdS23GOJkqo3N66vDxaWz2w4joFhRO4IVPU0zZtlW+0OTV1xT71bT
AHXWqNg35FYJWiaPswey/FnDuYJ82nnH+P84+7L2SHFs27/SX73TB5AE0v1O9QNDTHaEh3Q6hxc+
O9MJiEECIQT8+ruiTp97qtynqm5XDQ+ZtsMBIaS9115DKlY6TzeWalZ+RS/WDQjNCL3woGtd01u5
zC0Shct+xtYa6JE/E9tq/24glugc1iBrD5MNE1VH5c2i/eLhyUQIG1trVmeOO2WTFcB5kYvJxnU6
tqi6XVIQj5A2Wdlq628LZ2S4nRc1b6+IWXMo8KuJM5zeLR5kphMJrZfM4QtVhPuRt7V8WAKgWbnq
Kel2U4yNL0OPXsbH4Up5zoe4C8kd9FCS3YARToIsEAsTxwCKt+VHjVO0u7Nm4tpPV1HO1ckMhvhR
AhMbjvpvk2G7PgDsiUPgOiAHbzfGtAY7UdXHqKF0h0f/QwP4xX1pWCOOFEnvgHw6F38JDGm8rx2m
tAB+FsUQ64mxSpVidaDyTwo7N0iAGe2SzV058k8RXCqmZ+4qn382ZhChzFg8eChWip5584fIbXIp
Ey8MY4Iqpxi7VBSkDS9m48v6gxZStN/HGkLEnEtkYz6ubbUIWGgwNd4jtZw1S97P8Cvei9oL1X2E
5xN7sE/Ga4GAeKQY8HfVwzHiIIlfuQNpqsbvMrqNy6iSNoqiEsEGCh012hc5pCuKVBTWqHsm9yAn
lIhuL5qyGZ9b46l5p6Q3iaMxwjJ8YptwYzaE7TJ/bQSDoUBUNcJ8nVwzzDtd+p2XisYGN/VQFlE6
YJo+3a5S0hIfSVxDgGowN0pHPQ/osIYIFkbPdqOCw3tiKG5VGQ57Vyz8cSDhOplkYtum79a2bZMR
AbQJ9HylJUjM41LtVsdRvnB0LO4g/SXKw2ijXlIJGydmciiik8lOzjzEgYurHzMSe3i+Nb5fZZGD
p5dKSoPolMMWdex1Rf5jLROiPFGckDJOI5qadpMeOqzV9/bLhmW8j0MWxKcJx4t8EVtdZWsP95M7
FZoxr71hsyD2eIV3RMdGptQHPI6tkeNpSeEaRj6SeQKtcnZVqY+iup5RuGVTANNipeoUB6Hunhkm
U/5OVlU/ZdpjtcvnBfocYBke9JFbXAX1hUvnAweq1+YCeYM9tkUd9YllhT0pH/jdWYTlFB5RdLdf
uayUu/SNM6dpiPu2yvi6Lilj2D2AMJbFV7i5oCMpO2yptRyb8zT5AgoJ2Ou4YxvzKtXbirgdiJr8
Qx2PpD0PEzHteSysubFaK/kSjgtvcsWb8QlYCsk7j6AUw/uJ+HHdYjqm7ULdM4PHztsYRr6fVHCV
qbGSUe0krYu7HUG+uU0HNKwq5WDXzEh85AuGFtg8DWrScUlbCyAkhbuTWFIIudYyCSqs4GFtwjbV
4H9BGwHbnPCsRD8BNZy8TXSn2M2s+ry4edhuN4oT7yPca1R420W1rU06kVnXN4qDHQZnwGXJ/Ehi
jytmehcimTObVbxI+HIUCIXuUVnED0FFgMkUBs1+EiHR8bTJwlvAmh3aLWswSUepUEzQxn0reiTO
HMMGOGJSwPuEv6kJ2BrOM3QvSJxcfNCetgl73NnjQk0fMHMLx1sHvwEUvw5JqBdqYQOVcj5qd9dh
JPpKN7S3X/uSTdWnSpWQzDWT1i3YgB196kKBFge5wOgEGiSlAAhCIiQ2wFl/qmpAHwCaza4xdg0S
bBRLUScbAGmWNXFUVe3N6mKgJwlUZsHX0eiepAr4yny36nJzD74evPizK4be3tm5FvWJVwJ9Td7Z
oqmPc1ktQYVNN2Q/GofC9muzlq6b801oeGU3atg+YnzQgXU0A2fqlmTBOT8eFmkcHu9weA5JRXaY
9AQ3MEHAacIZjM6T3kU2/ojnwbW5qKYKnQsP+uXWcds3X1wHSCZBI2vpOfDCqH/TUogma1Qxhk9e
uHXzZfW5nC+FQs7bAweuGv6CJtmLNoT0P1hvRHxYgrL1U0phl32L06zEiV0uLHRZEcUL1ymSskD+
TbcAhLUPM7yN/FMEnyb/hsE+pD2hYlo0gvv8pT8LDZQ1iTRxcDvX1fjmM1JXl3ArenAAC7/pD7Cd
98J7qB7jSKXIcNocpjf9qndIX3TjDtQg3aWYiTD72rvOeIg33CZ+9FrgIJ/9thvQRUQoH7NgFFqi
gUFR210s0L8mhTpiMjaBpU8Q3oAAxlC6s8nrDx6yYKvXXjdiwVVFxbR3Zc1dNjKtm7wlhA9ZiDyZ
qUmGsVurHaqpFm0Bhb0ZqJPtNdwLWWcqk1UtllMxgfmeQodUCpbB6cA3cEUvOkyjMchU5SmaF7Kl
wMQ0PWCfVJi1DzjHEqCoQZNA7rnJbOh62+7oYoPhLa5Z03qokwI6EaTVwgvnh266FmqsBvOtyaRz
hzORpl47in0U6nBdjk3ACX+2I3JYbq9rbtG48JpKmspgIeqOxXW7fPJwNQJHAzo+ZXdXL2oU+TPf
Znqx1/7kpvBUs+CgAdsV9lBrUZZ3axcYFGajhVHAjMESwKY4xaSEuSnxTSf6b/WKLRtkqDXu/Ldx
mr1hZ+Efi+IQjzkAAGTNqPFkhLL8jlVyLnEscrl9byrMEr5K6VSzoyXtPTTDgyY9kpSjsX6gKG1w
NIQipmynsbUPb5WmzPFkggX7enExtfwpALBWI7wF6P30KmDG2jxrzyrvXpUY1zzMQg4GwvqVt2Ea
zwNciSF602N7rDpMrbBIqCa7MUaRF+VIQbTDDfR7JXPphgmQ6uCxNsZ1nPksmviN05gD3aKS4NFt
Yyk1H/pWNuMpLolTR88i6fwr8X306FG/RJDkqM6zSRuHzrtVPjx2HjxrbP3Z25AqmApUAX2+2o6P
l9pMkKl0zI/np60FByzlvsGIpiZtDwuXsfSmbzwyungiAIjSsEc6gZy3k7chfHvMCHwD26PTJVkT
1BpyS4N4mexhVb0ghxEYudu3TbT5z0E1MXaqG8zxUu13GN/nUAP7Ixq8HjA9wHuzMG83jGFoUxJ1
0kvwzJ0jba54VM/g4rDzAxCjh13tBZjWRD0GNGvSIiCNJ+uwaJaNVczoYVqs2A6aLp7fw5AtdFYk
DSmRdIYOLJC3LBiNeWYGnuhvcUltd+sD2Y53Laus+OAcBitZWwLjg7YQ5M/7uu/b6KYo27754Dhu
zM0a8sacfItAHKAV4Jcjj3zd2L20cVeeFjmK5iOKWkBJgA2jtR4AK/AOeDOFw1rtpxYPs/ZSWFRE
q84wxYu52DWg3l4NiOMvcAj0TZAKAYPJLu8wyDH2GHduxI2dYqnH+2XETcPEEysBkeRhLNYPBLcd
0ijBqmb7iNkH0K0ZT/JObFt8y9B1eTehVwBGTCIf3nPhdQjHw70vo0jvGxkP7HZrFXTTQbiq6Yur
rQB+11g4XOwmxEyvVRI4ALGYUIagTPmD4TMs7sbOfO1mysN7BZsQE+6uRq0B+reFIZqdj5uYZSo6
55ps7cZrHtxkogsbC9ofKXS47jD02pKsnFfd34YGPjDJUjR+cKSbZuTWM0Hg7TBbnOqs5aVAca0H
owGPka4mL0uM9PebYivl8ghUmU6Ay6ti3L6TnpHyVTfKb48+gXTw6NduHc5Q+4/TUwsr6eqj6hld
bgPqmfXHOjCpb+vZdnG+WcYBgAjMqBMM6ixmIjV87aJimOjZ+p1x6bQi8PM44i3IzG5h2KTgtEeY
dVN6ZSLOfCdAAr20MxJ9P/quKc15nLagP8WIq0NFANi7gEZBTCsS3U1M5SuQEw/wE+OeNoAIUYKl
psc673IMkxqgDdhCr82Mu1Yiwhtnkq6eF4x4TPgwQuag2fXeCY1evUyA3Io7E8+tB5uAOq6/2+vJ
+D22ANugAWflcVACRYiPna79QMYxnGxKS8D3Y2JbCiMGR5DvFAMP9TMSMg+sGFIOxSWs4sntsH/C
wnBu+3p+m+Sil1u1xR37hCogoksiB2lPKwDJ5ROPOz3f4bguycGgTkk6mLEMCTJ8yiXrCQB6HLaY
O96jKhbxyVQQCFww2uigU0dqwYb+fWjQmjPkTVI2vVjrDTyBHih0wDR1A9RiHKpHsBuCMptnZCk/
ShAScSAiGgOWi2LmhXiOtS/Aye19jKEAcxXjoKakhkyPJopj/E9SjKxH+4ZuuQQmhq7Un17Qkm21
l0QTCBAyYdhepy0pWwWRRgJvee3K3QK1JTJ9+oVG1RcIo4FMJ9Yhe2bYd+g1apm6Abbf7oRueGFB
NpIKDIzsrxFd3nGuopX2nepNm/vis6RP0fzXyMDvbWdYS+bFoEHPSf3I0fPU7C/qT96bzihYvomi
juMdTikf/aqY/bPBZvlnufK/48eE4+C33B903eEEOhfqbg8PwVCperrpnKdgpGZAbQEmNkt46sdi
CO8XA5QoRRau56eAZtFz/PHH8ouz3//C1fGvxKFfEZBiuZJoXku667io0AqLfnWAevDv2xpM0TPF
2Yi/6WnQR/tayye51U+BbQk7FKa2FaqJssqRfvZ9mUmlw2SKsWn+ybuL/nf20vvouXIBDFh7Y7xT
CCptsxoSgTN4gUOKYg5DRQwE+fGP78Pv8KSC6zv41W0YB7MaSki0g9Z/iD9Mqypspss6ohBso08E
SF95LUrWZe3/RJj8O/zJ916LEtQvHDUh20UccRsTHGXyAaDbn1zQ7736O2KZRlifiSvBQArpXpsx
eHZcF3/CBP+9137H/EQNP3S6LNgOkzh0E+N6rLEg/uKLvyOPTUEw9cpGbAcwLgcnEwhwAPTljz/m
33vn73ahYsGYhYk62pW+Z3DgzwVQAZQGf+3V32lNwkYTEH9wX9BHwnZ3EgiQ3NSHP37x31mh712H
ohGzJL1ILJcqFuF309edS/1oDREZxMNOJ9qCaH2AZITpv5S85793IKp46WLYsbAdkk7ZJzqM5iID
YEe/XNB/fFv+T/mm7v9rkzH/+E/8+ZvS61iX1fTuj/94Uh3++8/rz/y/7/ntT/xj/6YuL92bef9N
v/kZvO4/f2/2Mr385g85yuJpfbBv4/r4Zmw7/fL6eIfX7/z//eLf3n55ladVv/380zcAu9P11WAk
1//0zy8dv//8U3C1b/uPX7/+P794vYCffzq96Jd//f63FzPhRxn5u+CUXEXP7u2XvwnDvwswhXwa
+AFDA/7T33pkhFY//0TZ32EK6Acx50jmQvuM1WyUvX4p9P9Or6CwAItX4LiGePK/385vPpD/+YD+
1tvuXmH+aX7+6Upy/Z+zIeaERYwh5g//oWeM34vrbUincYuMvZ/XSaWeKflF+YjSJXEQ/1tLDb8q
QuyYILiWGDy2f1Hyyhh4uS1n+QB8/QERap/62Dz+6mb/8+r+8Gp++yt+sd7+1VaPGdB1AGpBmpPB
JyvFUdTrlw0Y/r/3a2gckZDCGJBRxnj8nnm7Ahqp3DTKewJL/MD76Fddrj2Z/du/BYA3ZGYhqFI0
eu+ouPKQLwHA8nvXHFt2EOpC1J/cr9/ulWBtxBF+BdhKPEQojP+ejN8qMRIXlfK+v2VoA/9ss3xX
/lxfP8a68hmAHAp6XPzuNBmA0vsT7CHuMXE5ww7+ZJc6Z7a7gZzujpL+4wTY2Vd+ovSc//Hd+9dL
E2GIYppzEUZh9H5ht0vvO9uGxZ2/tOcGXLPJ+7O6FIF81wv49eOD5HAK+YzgPgzY4/i9/FNGRPql
N8R3cQO0oO3h64nBcX2YQrD41AJboJauzedQArIAmk7BCpGBn4SVAKVCuDjpg7I5i2vbOcw5aHpF
ss2i3um6+sYMidDJV2jvhB8XO9i1f/F9ifnAAqwrgykGPY5qRnPkjSOcf1x48Wu5pMZCEz5yN2Sl
YfwGBK54Sqw1YKQyv3VIng7cZVZT91SJWu9Xt7RlCij7xzIsmOj2sGY4xUSj8mMzPQjJl93orJ8u
jjRZ6Y0fwVudq8R0Bpk8cx1xTBrV5k7NRiEvAry2p9AKJxHXX/Qi2H4GWxpIi8ArhIu41HhaYEcy
1qmCNmNNfEz2wbGbik8EtDFIKq4RLjGtzqYdKLrrWd1xiFUf48ZXEE4bDt6GBZ8XzG8oO/g2fKTD
Mpwr2kWnOCrH3Bq4BTQ9rHJqcEheaxGFJw7HWwx74DbEWh5/x0nq0gVk+azUzs+XEtO3lQdlTrCQ
jpy35OgB0dqNfP3W1Wi6TD9/iSsoHGhjp1xcp6vtWg175DJzOF1Xj36oP5dVfyWIL9FOwnMrdcAo
b0pTgvmIzFjMggl6TDW0uFMF1WffeH0+RfOQLhwOklOpwKbsKnFWLd0uQz33u4kNMrEgoGfluA6H
qm1ZVsSy2S8QRiWuHO1BzQ288oAwY9Y3lTYJGrwHpJmQ80Cb9ohQbVCyeMsflkEhCmCZqEm3fnoO
Jh8EH082O0NA7Qs9f0jKgU9HOFaLm6C19DYYnX87Ro4lTcu2E/xRxJ4VVb2L5lan2+LzbOiFJ3ee
0Zy+ScvOYuxXEDZ8mbR+ox4j6lMsGUvfYjiH0ry6tram2z4jTKw4Lnx0p5URCt63QdD6LLZHRcRw
A9K4+1Fa/jp3CE2EGDzaGSG6FD3IsrN9YL7Ax9i/NI41KS+j6gDfnCZHMjHBGH8J8JnG5G4d2ugo
Y0PAootMAlypTKJyIFnP8GMgXzyLpQQj0WDXUzAc3JEg7n4IkJ8SzUD962AdnUPPEN0seNyOWzC2
pwZTFGQ1rPrYIw0F4iJ4I0QTwFkj6Xy8sh4fYSMMblNFDXkYMRwA7MYBRXoM1NRiLjDWKnXebvCx
AacOxOPGoC9bmU2vhgMjGrG8JyC3TlSbg/XBoAhKcNpwk7t95/ryDUDKiNkkqRIG54ckbiwMYOrh
ha8Tz3vmP6ho6zMGlOpYlVZdvGUejg2t5pyX4C82gosjqc16jhYc8s4N+MCjvsQ3R34WKBDitjGq
kxa0sTrp2mDco6JxN3DzGZM1sHIXlCN26xGUAaWrHdWqS2XUBfDgXOvTYGiU2WI9gffcy5cu+ugK
vIepLtOiqNVttHKAx0R3SQO34F2JDy/hcL6U/RN3LAOhOS8X8Kvs4Op8Js33sSw+TCSaPGyWin4N
y2XMYjN/BH8cUGxfAJyrFGQncNC7wxS2ONTAtJMADd+JNSDoRk5Wx3G266FTiA8CRWE621VvKVAl
lbkWWmZM4EvMZqd2fhi1/QawH+yGYuL344DICU5HmmkCF+vaROS8eos8kgkHFiVWHmzrgUnTQhjh
F3GV8n6cM1DpRAWqBoZA3MWg1owT9q1g8vwXL2LmBtN9eNNgU0XYEBwaSgJ1haxWecC+D6pFNHR5
23Z6F3aIB/cZpuOIrFH3gRNhDpSvPfRRH53Bpd921TB836QWtwLMRxCOfJWCswIDYMXYYW4VUkcR
sAnyvOYJdDr1js1BCYyo/xbOvk23kG6pmzj2xKZtXpe1M4cFSM5DMLj5DdTMpgKBh14ji+z8NOtB
3mD3G44Aq9gNVld0YxHZk5aKUQwZZb1Hf/eoLISmGoyaFOIe0IeC+QDD1njXzP14cA5jHUNWsEIr
KfYwEl5yr1f1zpJVQg8CkMt5uJGAhcWXGhBgrmTZHcE41gcaLeWXYAEvLFINeCahlfcgDfK81sWQ
EljcYIJZWnCf5y5dNK3BUg4rUIQ0YtJ6T8dPoFWWaasKczDh9cgrsLelDAB12mJo9DlYGxYmNfcc
tnacBck6wQcQyoNd64/Rwbek+SAUSGkJa9d6V4PkftqGxb9M7b0CsC/PoIm4bwZ5tdAiCJuNcqD7
aBgeB+hTduAxzDgdYREIVcVbr8CVcT0qolF2CvS6wAc1brbYuwbQ+OASnk6yegM3EGs6Qh4EK3r/
4FU9eHJeBzSfefX9EpNXODWV38PZeRkxhbnjsVSv4GSB5lhFXp154aIvsSQhtmrW7jsymyPg2yD1
AidvFu7j1lnUDFbJbxbRciQfTUBYBmlB81CBw4V752S5B1hYhwlO7SHzYZaz70IJaiCSXOekh/Zg
p1BPXBTKgjzuSZuCggO2tRjjPUyq5M7vqm9liVhDugzhSXr0kxtVcFaqfPVxEaD+GYzPVvAgQdQF
E8Ym0OdftQVEfQCtAhTcusV53cPmJmVFND30sa0g/mL+Jain9oYDwYGug60cTXkncP5Zjbl2N9GT
V4EDb5YY47ACLlZY+OZhaYGOlgX8fUE/REwNZigg4EMmYqxvUoJ4xzxWc/3ZcU8eO+EBoxorvDQL
v/rrVGKUqkBD7j0vB+MowHB0BYdrrlw2zNAGzEb+kLQYXyoWvLnr/46NGRbOdJqrpgDjAqOYW1a6
FxnBVRIGGRiQ8bA9LOPQvqHrC1BDcDyxxP9GZfWiHPFeZjAYd5bCocNr/PDp6h8Mo0o4wiatXKeL
buA02Rezy1pBysNMYcobT9ylNdglqau1SWu+eqmBbCaHyqDN+NijtDDzem9b/6WExMUlVTm+BmR7
o6z3jhoE0wmhossKfCyubxbANXnUzWPqovmVtDGu2XfYQSYIgFKg9jgevdldYMfHEgIuWLaG89Jn
nlZ8D7HJHfhJF9JhKubTfKTPY/kZU5S8hlAt8bBRJm6myx24cVFWWP3D67a30fOmU2kNpggBAYkI
Zj03qDLUrkNDk+AuhiAOOpuZxge7PoqB+kTjnFIxgekWS+8s0XtnA5KQDqiBm7PCznPx8SQly7XZ
paz1d+OgVQpNm01I7/uoojCU20O27fYzEOIs8iHk6WSx7iyoNEdCWJCyxv/aB017gKFJk1qMZU+k
IRYWjZ04DVPk46QscddCaCBJvfJdu7BtT7cCOzNSi3Z1G31DDDyGiz4QMC6xkarCsT0yk6qPcKaY
E01QqzewNzmCi2ZSX4IlH21C3FZefBlFu6Wq37znsl1pbgMaPNewmcOTyoEn42gFzVXC8/Vk4TGN
gnCN8NaW5QRiDzgyA+WPK6cmCYm3nNt2gViOTt96yCxvHShY57qlL1GASqvuQH2+ymxqUDlKdah5
axNURSrbNKjXYP1h5Ndbdli9fnrCImlul5APt9WqwcTsdPA4UtSvgbIMh2x1BGvuAQuOZr4R/A5a
q+a+NShZo0V9XKoRqwbEzqt/43jsR/JJ84nmU7gEud/2PzBSmvJIQKoCWle951cxFoj4lc1UR9e7
dkBIRkxNm/i6nvPKFesxUEtl0hYCw2doq9adQCp0lQj46aQgtBU3VQgNGB4zCyIMmeHeOY/FfdRC
iTGXrDxjn1sPiDEHfZNJ+GAMIKKgCFS7QNdIdiox78WmX0xnZFG0iQZf+9iArgs+ht/3cUKhcHo0
hrBvXd/IvNNw2GwwYXy6emvdlWoAuz/W/ElhreQceVwlFiQY2D0QgaMyPtgN6I5OkK+xvTF4Cgew
IU6Bz7+DqxXlQ98xSAvDam+GqsrkTModSgSW9xheJwUFn5TSWoAgH6KyKLt0U5qA/6n0WdbQKDTj
Ci7nMNS7ZVhfmxWSASn1egDd9Y11fDsLg/U+qUocq5pVl3VhUBrNfZfEI0pFQmfIU7r+6t4Vlmmo
TZgVG/w9k0KG24cFer27opgDcC5X4bIZU7+DhYTtG9mWaUdger4fNqi+mC7koV2D+bXuCYbsvirz
sPHtYWj79Z6Tan2WmKWchg3TKuptMhEYq5xBrUNXvFJwFdZZfG6jQX7EDBJUr3haXFZ5XrOvo9IH
JQplaS3II6tWVWYLNJzJVrDmkQT6MKIC102AGC08s+iy1B61WnVinHSwakDMGdq+4jNklBAQYsS4
Z8S4rDcFSUlf6xScBmhgNjskEwisO+1vH9BtRUk/YkiIOwd34QI13WEtClAu6sC99KaPruNLc7f1
mPvJ6Jrc0y6omVs4XoGJp1NRM3VTwKL/0BLJznM8yMcIi+eIoW+5pwbnFSpReYGd6nIZNkaR0LZ8
6UIIlbWoq11lw3UvohFaJPjS5nMAQyqosVEFNhZ8LtZGJ0zUTVZHKEOhuSYYBweIDtLd0eG53Ufe
xjNXB91uxB6J4SV9qJFyfKw4FD5t68abyF+a3WwClWEzC29jOU5gc5bVRfXR+NCHLTkFfc/yNYLd
U6iiIGtN2x9GjQ9vkGhAk6pG9FofIfxrA7wFVpoSX3RVv3nKN0CCULx2HlhXDehtE/h/aRvQT5A0
tYcB0sXEB8/0JgSPCo2leEYrpZJhRuU0T5XIQzNDv70NQVbM4L9uBaF5uKEsv7roHmUIPRUNLXYF
TvDo17gvPa2DTMUULndl4GdVFX0DmvGEuS7qMIZzoRw3d5Zi1ik3TEBOxqKPFOLxPSthH19DKpzS
QbkDOI46lVBC7BeQfZNi89ABWI99XKYOk9x6K9FvBd8LjzSpFoLedrJ9XQs2HmeEDqRkK5Y7jF+W
vd+4NxtbcVm1B8IGE9dNUS3Q82OsXl1FDJUn+xtFYnEA9cXlsKGsUrPGSN4pJBqmikL1ZmP6GQpK
uG/VIfsSCgsCZlN0j7hxJW750nyDrum6LLqvdCYLNihywUMS3cKIqsHY0p/yEEQZiD2ITqyKSDYq
9J6VhjQH8U2QdivQzS1HpzZo2JAyjDjzeWqKtJxtm3i2mvGEoEFeJs9LabyBgwSSdBLN01sBlTtY
+zaC4hHrYetR1lYNGvnC2fIgAjBeLUJYT6p0zY7XCK0ZIPhSgTn6Qx8e8GCktaNHUJ3YHWma7snj
G4KYJv3ciLHIaa/LRBdblMCwW+7gYo0rCNoZUJNyeewZeoSO4TNiyEkGgZYDrdz4kNc0oABARZ1C
devOmtIIR1N4Fct5uS87s+M+ccC2gnAX+s6rwAUNl/1cTQK2rn2Fm4p2+Oj8ZkrXwkMaS9CAuzoV
YQ6rrB5OCdfKFKKmRLauy+ICGhCw99mV+YQdW4V4CzO04ywsvWOs7A9iGJQRcFDOxjY2uQk2P2k4
pPTNTJtHJVEzxWBP7yvQSY6eWw3ig11/6KwqD9EA5sdMxZhDTjOdcQmYQC60PSM0I7hdimV6kTL4
MmsoQfkyQZNJe0iqXAfGMQUrbKhiuofNA3rzolwPQKjQnteVTLCMu1thKv2kSqnuILn+oQI0SxDi
2TSaIXed3CjvBJX9Ae9TQCUH6U0PeDSfnRovoQYaz2Jh7uvRNDeO2tcY/2B7AzrShnVzh74FlpYz
Ly/1ujWogLyVHgcYTOzAjxOHRht1A2Yb5MwTKK5VgdsN4oY8xWEXfxalH75MG1lzMHhtspkVc7qB
xNCI4sGUlY6xW4OGf1uURZnqhdlkwK6cUD1/5AHyOPtBQhs/TuGhNGt3jHGX7qBswXPA5QiS0hA8
6IlXGAMaHwVlUe8daMK5F/gYPBZW7OaJmwSzA1zNQJFWtVl7iMp23g01/zLQcNr3wLzu4T2/5KIe
yG4JsXbBmaruJKvnvSqWYF8G13MKvdwOorwgVyAFo7uFNQXqnM9weleHcGYrJAz4NWCLVg8lDdSR
eDw699SZrCDQpm1LGGUgB7bQ7S3lHjLXKil03RyLtgHmIHmT2TWkWYlR+KGk8JlQnQV11QFH6Kf/
S9qZLbetZNv2ixCBBBLdKwg2ItVRkiXbLwg1Nvq+x9ffAd9zzpZohRi76qWiKmpvJQEkEplrzTlm
JjblRJGBZN76DalveA8zNvdMJqorcsrUfrQUiDkeDiul1jdzSEFj2IZK6QUVsnHQvgX4B90d8KcR
H5dql0mfgpqwBId+Wsxs34I8P6D40zZBJ74nYUUxIfYXDV3budEwk6GRKJi1w476tObkrqnWSLNU
bdxbIfE1vjJTa7CK8lKz0SU4YGK3uHcT15BmcTWn2Hhby0xWFeCA2zCwi90Q8FGflfzXHCTZBQtt
t0F71ULF6aZ9LCEsBC1SaIKU0y0P0t/1wXI2RNnrlbOBeTLtbS+z0GmGujnuB7K19tjCtYeKMDX+
cICO0w5V8kqbFwrjKmWXWXEDVDy4XMs5cGecK3S/+TR1SiK2nUziVdkb+brPKYhUUf3IZjf2Js5P
62mMfRenoXUR6I64GyZ8UUIOLpkoA4gEdmxCLvQLm/BTjo0t9TuO6ymn4Kds1sbLUlceAJj068ZC
j1kGxNTZfqfBJbAyd7QbylBz9SpTagW90ljrQa2Em8dzfauxqK0cdHWzq1nTr6Hp9Z9ar3X3o9NM
Llj3YJfgkvIqWSlPPieES6yduReB5/XYTquLy1Fuampx6KFu1RyGgFRebJB4riIbvtJmY+4G4Ue3
1ChDtxA8W6kr01UowLgrPXkY2EysizGzugcElzprj9odxkiV24Zw8Y0/5v0qqSsIbypi7VFrJ1e3
o9JzcMCuUEcwOcwuOgwFUPI+gxSDj6P+HiWTPNRUNe+7Kkfp2TX2uCrTpLsqDE3x0OfrK0UptEc6
LD2yLDaBbl5UAZ2D3EAkhsLdz4o94j83adP0FljBU90vBf5hRkkbEsYya0N9aTnUSXJ7qN8SpEU3
uMKqG63g9Ip9aSAWN3qMZ7899PCH4D7mJkILn/h3Us1iy7OqQV/nGjsd2QXFNylzDTeQarf4vJ0A
TeKSxGtbWLSMQr3OR+d5ErO5reJBUIdK2RUCcvAMBL8HMcwzFjSr2sZa3G8GzvEryqqq2yhTstFJ
3b0cY+01xLafUt5AOjv1ITr9CMjO6JoQJ25qsDE/uqRQrjuDTVY7IlFT0TW6vDf+rc4RcYPmV7s3
fIG6tbYoj1EzAH4REkBno2A+tJE5XEP9bDaAV+YnAtznmxaDS8ih0LYv9aF8qvo88GxRlw+4010p
ule/FCatCL41uhGlz3asahfCD4cbk/2WC9W+3/nhrHhGE4mftpOpvzkW/jASf7imtab+BK4SP8Zm
0SEgprC6N8EPuHTVw7uK0tuWyEYwABHKLOC+LCH2RqBxvWbiPepNgRJeDF32oOJpcWWIZRGJ0gwC
CBoP8awWNom4tmos5CiCfw1Uk9ZtFtUPmqJ3V5goE28UTrvVkIy4vjVnh8avlgPc1GaQCfoiHTlt
zBGuKMpnU0PTq6st44bz6BsraXfj65EAydPe0VgMdymfEGrA7DeIeJNuX1BHw+iK+QmHkBfOlIqG
bG5ZqGV87CLjRR2i9MAZ1ET+6Pc3tRpxcK2gd4QNpUY/lL5bVsOLQXN4HRpZuMVH16MxSYVyOdGM
8Oy2HL2G6XUbD9Qa+sZgs6svm5QAKxWsrILylTK9iKWzniqQUKzAfLVMHyaAlfXjDXY7ZY1FXtsT
MkwlJFXEKlOobCOBh8qYgd3aiMlRf8/ZIFaho6V3WpLG9zXekxsEBLwK7ETwNDRO+6O19bVmRev0
pyLGmRUZ55RjZ3hrhhHDaRT7IV+0qHtpRSovqEMPt6lqM5ftQXf2rGLpKrHq8MmJknKvz117GPim
rqp4XvwLtnJVTB0aPNHusI3BjaT/teb0VlPAUjifGUU+rYpS0w9wPpptacftqgS+z5khsbYZvs9V
F6BZ85x0mL51wo41GmkUcWsrxNylweRu7VZs0WfYbtHprYf1xv6lTH27MQt/+a5zTtOW/8ijQsHN
V3C9On20Mil/+nordohv34h6mfd0DL+PzvyI6e0t1vkUWWr/WMZUP90utPVuNVagejgjGMU3Gwl5
UYxqu2Wik5+jqLiZx7YZVyrFhcdKEfItrrQp8rAd2Zd+EursPah2FZGZsWNIgssGmN5xSueMxldl
7W3TnYbuKrK1cqsSdnXFj5vdaoz1dKtlVbJSLDskU64Qu2b24RNwXuph5MWBjnk9Gadty7Pamn7Q
/whjPb4kxwqke0MDJxc55vzMTD2d5uE1NZEZDojZB5gfaU+iTy4ymnmO8tRYjgm0NRx3WlDUm4i2
8qYXOb3FUJ096bfh2lbC8EB9Od9T1skvDKZiv5VJ3l0g0K84D1kwUAahuBRmmJf0To5V0o+7mMLz
OpNZcsdxLmAdlv1mdMxhZwj24NLXcF9KaW2y1g82RdbPNO1ZQjpoCMSJ23TtpmLeZUBOPXvQODPA
VVj1gY1JPtHBgiW+6fWDPm/op/yM4t7YBoWdrjtk97qrVzEHdaf+HSnOjDE2kBq1cCgbq3rZ6el5
gA0qnZ9RaqlvlMPVlr811fc9/rd115EBnsCe3YRJO3DmyEDEqmF91fqgKaDmaJ5iD/nGaizjYIHD
WkmzJQGJbxtd8OiNUzo0kjlO1sTD4mJ1stqLsBls9c4qV2pJd0ptp2dgzhzQMzhe0fJxiGzcDHW+
arvpZRDQi+t6sdr2wT2fTPnoT1PGFZnJE3dcvDpVBqOqrtAxJHpEiQMSDa1THFtF85qaVnKr05Ra
Z2NqrhJHpHdT5xjfkzYbH5XGaCuvHzF/OkGqeQ2aZxc1d+NWLcVmKzG/G00B1D3n3A08IcSY2msH
/HGgGiKFOpdt0afkKIUxtrUW9lWJ+UGl9fOs4DcNN3GhWOg0MWR5YzL+JDPLRq4eFySmNGafsclN
cAOwf7meAoFZUxMUGoVZbzR7aHcE57QM3vW7LBiCvXSgK5qk3H+fUmGobhxK9jiONdx0Fd4QrBbh
AcKD+lNJJfsso/GLjZGP2oq5pnujruGx4NTzAPDMgHKQ2YepM9Ag2KJ4ckiUpyQwTd5kynZV+yrZ
Iir97S4c4n2mlhr9SHPc4ePBG6Do1qZFm7NWhqLd8mvG7QSYZWNi0Hmq80W/rvpyH0+AwlKAOg9B
FnJGiDEamAGtSxxgLwDmOrcx82yVlFBIMqfrD2HZ5JtYtFlMgS05WoFt9UxW9lqkmcH8i7raaD2r
nNIHZUpjNP+a/RL6MmbrAH+lLKNiw/F/2GajSO5xWTk7oVbRy5gA/wIR1m+p0Q0cPbN2Pftl8pDD
AbpjaYXDh7kKG45TCC1xk1696TQ/cwe1H+A9zdF05AfRwUVfr2FLiSDGUVNgUtY8NUwxbC4ne2sY
ZbVxOl1dE4UWg/hW9OlANXH2+tCitdfJaWPo6bUe5/3NqJTGqq31t8zCjQ5Nw78e9Lw9kOoaX+D4
bGlWFYscRzFe1S6jIlpaKpVErMR4PNZWOMy1iwnnV8hpAaiVEqx0DSqkhTF2VnM37IdVHxmm22MF
4Yw7UsprFUpGReDH9+RfWHdJOsRv1PO6DqzpHN3SevRXE6/KFnHajLHYAZrH9A5XDqYZt9Dr8Dql
9Ue1flYvIJ/oT6JIHayNSXPMq17Dq9Zpt5Gq08YszZue3dLR4LhXoclJyTzoeE0xk+TL3llda6pe
XRRJWq9FvcN9fAiiYcFiTbwkYVZOnqmrAEuJcqWeaomKuqkt5iOhEbzxVZgBRvOLN4knncaLoh/M
QjN/hD2o4ClIGzYey6aPbcqGfgFtPYu6regsZ9+KVnJEtZ9BZCx2vm6qVmXNUlJCtqjigBiCzv8V
BbzmMf/ATiXAOXUzTms4sGY2/c0CFqMfsiBbjAjzsWkP02NZts1Og5+QcqCM/G0GOgdbuVCuk6hD
m2WF9VppG4NGV1M9FIXBzfDJ+94adZv+7oX0v/uNNh9jeDqPxORQ7IoDhXJlSYcite4wrCCyYct6
Tip/Imljr4C3AzUgvT7dlMaiCX0vZDeWr3WKMuqbpRyetOkMHvqj+Bhd8clfR+f6/q/3FUQPjGDh
Nzqqd9NIYQFcgx+q68I5Ept3Rtx4ei260MHjYfC2sGNbOEo/jqYMOmRJX83uMvUCkJr6r4T3i+jQ
1FQVrS2qHVMnuenjnzeMUSoRnZC7fsA3ckQqckYC+vfvtzQbwJlE3mbazmksTZTFmWb7wrhDHgMY
bbV4Er8WMJ4oc7mEDyOcalnB+hTQ/hiBFSnkQz34P0wWuX85iIY0kmQHRxiGoWnOiawdX4qp45Os
jxbXYPbrHpWeOCfF/Gjx4GFoTFrBEzFpndjGac7OWAH4UrWhPKrGsG6pF/cqSoTHjH7811fz10PR
bHWRMyNmVR1NWicvSNxhxOnpMdwR4uWo1Jf+lRFpuZCPf//0FYE7VOnwGe+qGYTVnhzlMxfw153S
pbpIZXUUsxaxOKdvRV62QJ6q+H5Qp+eabmUiXjNh7aBTnrmUj7MLCTYdUtPQLMnNQvt9Gh+mKksw
3Igcs8q3oCVg97bJGQXux4tZhmBiaYsIGBys0PQT8S+idF9Mbe9cz447vtWz5zdr8PZfP/Jzg5y8
6HOWFtLXGURCeK08ejl6tDLOSbHPjbLczXe6co4DuJyzwbnG+T0P17620lDDdP8qaJMb5thouhHh
syXjlVFPp68uZ4g9YXRfRKSRBuNQXcdTH2z/3R1zbKFJ09KlSXQo3vHlO/DuWppENKWqVvMtHYcA
z+iUbJOozjfE0yGX0dLkzJxe5uw/EmlbIGEnPYVlkpdPCtM8uXfRALYvslpxm5FHnW2cKQmubbXM
r0rNDr51lpm/9MnwAJrlrE7/xPn2/8e2pM2HgO/mAs/9eK1+gUJNmrq4za1dotBbUTlLDs9+epvO
t1nYsMf/NqCuAp3JcZtCDTuwWj7ESXTmXVjSYj7eBMoWluagFQc9+tfnQgyQC6kAZscifBL6xTx8
dxoO1Lda890HmpghZ/r6KZ9I75dL/zDi6eeDTnocDlqeHR2t9leNjC9rx3SrKXyDAENXruQ4Ri9n
rxTNISu745nhl7n69wWji7dZ8zXrNMd70qOW3mCQHeOq3vtj9b2bEbxQgu6jKMIf65tu1yPinEpz
j2HjQeH0dOYnfHbP2VuwzrENcDA6fHz4UVLrouWkdqQudz0q7VWfxtRPtfm3XczfzZJ+lRM+w3i9
KkbDM3CluKZiUSmOn2PF3NXwPG0gbGNmr4RWH+iV/weTwhHsfjSdlx6zz8cf2PUBcmlUNUdwmEdz
XoyijuO2Cx04R89nAr6szfYV6dKZhebTycEpVPDt14TJN/njyE3ZiETGaXZMUDI2E7vfnDUab0Zm
fCuN73r/024ulfFMVKVYvo+nk+L9sMsy+27pmTjAhHXJpPDluMqVXdW/jMPPKTgaoQOl9LtPOnja
3FDFRn59bj/1J6n7q9FPbrdaRAVqzyw7KgnFgjmebg0oCaswQ1RoZi+9iVa9hWHsDiE6Ikpwr1Qv
fqW9eW+k1oqP3aaCYADliEOYcSFVqiCjKNEOVa9DWCtoWtVbQ5nQSHf5uhwYo56zW3YMGYdQjmqg
TdmC2Zup734XGZpBIw9Wi8iClc8TOSo5In5j0NpgOOrrcJRrOc/fEYAd7IRyvD2U6JkbLyvCDWHw
nq4zYYIwWQ3auOv8kt6lnn5L/eDBzNVbPynZwPOvocGjtD95osz3diXWuVk9CdOH803xdMztmVKr
mVAiQ3yCXwIOCRhBH2o4KjawLAVgNlP71VfyGdkjsu+hXdcZNvWpOES0bKntokcIgocqarpV3GhP
ogkOlv0roYqVSufRlGBIRddvgUdx/KUnCbVP0IvoL6dCPozKcJnH1bqgE7nqrXZdNsHdmYXg9Ou9
LIWOw8orTHY6bA4/TjvWgZmau5keVdO+pU4CEMoZS2r8yn4MtG04IRfM0PqZ81aP54MY/W9hBOCS
ulvja895pxxRe51bIf9+GegCa8I2lyMEVcuT5UkvqLpEsiiPSfVm8CXgOUmqs4r4VsUbh1qhMj23
/YNOusBUb8/ckr8/ylT38WMZ7DXM5b99vCXQAuLeBB1xVHslP8w0Sja6QrpR1MqZHu6o/ga8OL7M
TosoyqrLmzadX6gehvtZAExRUt3cd4PT3tTVhH4zAj1NnojcqEPSvX39W5e16ONrawjV4QE6jq5L
ebormqyhE3HfNvQ2eIHKZqNa+TrTznwt/r4hhhACaBufLPxi8mTvFTqoopYYmmMJUwQ+xLOFPtrQ
7aPeJ+u4bS7pyG++vrCPp5XlC70MaZsC4xiT4NT1q0y1lY6CIZN50C6QYSkHtVKGp69H+RNI8/H+
8aglR2CTyoGk0fbxUdsovej9GsWxdi6i/i0qnuwZy5kDNdm5haXsxd0VAGG64m5RXXMseamBVhlz
flmPN/6Aos/vPd1+zhOah/nvkUpMqsDcFTgwUtx8GNIC/RJa5mpUk1snPuMa/fvx47ETGihzbhUn
iZNPVRQHJaasqTzOsj34U3ILXi3C+6Scyz775KMIHUZwbBF8lA1O9x9v1BAVotZoRx7zFPlHQuXq
jap+umsV623Mx+wmcuR4heVvOiB2QcAUjeeyhf+ehfwEbL28kJbDmenkJ5hklgzA9MpjVD1Og3GX
ZzNV+spFwOKkr1JNz8z6v7dIjMf2g1OAwZnzNF5eAU+sGgk3N8gd81UOc0pNfk7XgdWGO6MYtW9Z
UkPAHAVaKrjY3tdz89PL1fFnOpYqNG3xP7/fDyhqR28R7A4vGYSkDg4XuNX8LmpBz4ExvZBB7nWO
eWbx+/u946L/2DWXN4JzwcdRGzX0UY4sNzlMofelnmKN/36D9WGM05SoyPJLZe7b8ii1rUO5tZ3k
qjQeUUigzQUR6qxzAQa7y8+sKZ+8LRy5dc51UsdsfbrtLnWBf8O3uaPCeehtQSeq/zbToPv6wX1y
sDI4PVJ3xQeOQ/n0EFlFCDe03KqPjTBuGj//BiEUGUa6C8LmHgWhR9D6Q9tOF62sNwVZJQ0E+lFH
6+9k5R1IwjMzaflefVzkPv6eZaa921mmQ5lNdMJrNrQEErA6MXNQcrhKU2+G5OHrq/97P7EMZsHC
4suNAvZk2o5UaecIotiRiNMLtUA507UXkMN2LYbefz0UHz9W7eVpUn09qaFEE+vfRKeLj198TyyH
c0wEAWFBrP0O/Mk6cxf/fjP4IjlS49AEEeKvQ5vujArxYIyml/kx7+W9rodnVhyxLGEnT4r6g6aj
VNepYZ8eyRFcSBSSc3O0s9+1VqyE/+pov0ebE2CJsWD0ZH6cEVPGTvgfXN37kU/miI6ILbDt5RPf
lLtKLEklJBSceWB/v4DocR1AZyyo3MjTjwh5RFaFhsO4tfq+wnasm1cYN7LDHKXzmS/j39OQjZtq
cG5k22L+9bSUuEeNRdLrsTOsmT0K4oVQxys8DWHhlVUyn3npT94xujzS4aGxk1Y17e9pnwTCFB2x
gMde2PlKybNyO3eqtk7SqVyTstPhsGj0f9WVoHRE55waomNQe9UWWsHHF9snmgc1YGcdbb/pNj4Z
KyuSlJJDbwxECHJ/98mgJOcm6cl3cRmVUo0NkwNDrKqfLqN6ReUkHVXlCKpzuFBrkWzaFlNUVwhc
Hk0gbhQrGp44T+IWZqe8t4MmyVZ1nyTfZytBsKyFM7i5bkiPJMYEhyxttNs5iPjSjkW4L2xx5uGc
TAZ+sWC2OezzKLaynzzZOZRqqnVBWyi8O8/J5HVYc+rbZDrzXTs3ynKmebfMysqYYYbmynFw7Hu1
LIt7M1xSFoNQuVTVQt98vfqdrEfUDbkcpPd8Y0CdSHmy+gGE1xeBVnXsJjcZSXQ487Ke+/vL///u
cirSiUSlOtWx+tliDAj/y59/8p0ox7mwMoWfL6e1laKuObOgieX6362lf92f5XG9+/3Q8MChTn51
dOZb+9ERRw7VtIgA6mL/6RFwFxjnXfk0K3f/3YNZlop3AxMaMhZlJ6sjNhwxemV35srOPZiTpbos
s4FepMGDYWFDUXiuOnru75+sKtM8zYo682Ty+VrKO/VcQOKZv2+ctNUsp2utAt3lkW0SKt3rUjnz
up98Zv7nyVsWX2rKGvbp2bEJ2hH7hFIdbfu+Kraj3Irm9etn/Ndy/+fl+78h/hyX3j1jNen71CqC
+ogvcx0vcoqOoD/7SdFKRLHnWndnLujPtuHdaDbOpnaaeRUpEzsItZsLjPdfX9C5IU4WLyTojj4t
bzuO+5x8GXHZzWeG+Py5/3PPThYsEdcBLAqGwGmOGNhR/qMF65+/v4z/7i75BCDlCcbC45Ds6mzd
3f93d+hkwYLsHglC0esj58Co80ikHNr/8gpOlqwBjLMZpXZ1rB+0kdXpzANY/vW/VkRbYiDR2GCi
8/94g0oOmyA2mvo4Zs0Wz0sYE+JVfCeG5fj1rfr0Sb8b6GQFtBuQATB066Nj3Shw0+bgzB7k09kK
f4KaFKUb58/a/+5RIzaaYlLe6qOakfnZ05uobjLr6uurODfIyXxC/DSa4D/qoxkFGxwO90lvYZjO
zxT+P11KHAnEXFBsMI2TzQmiqF5OiIiO9pYUgcFc3erTBZjiry/m02e/AFo4W6D+OK1pAkVU7Nxk
akmxj/2D/ntuPfP712N89tgRM7D7dcCzEaH4cX5lWkVUh97XR8W6wmGFd+A/eD/eD3Dy5UPY3cJj
YwCnAYPxM6rORal/dpcookqVug8IgdPzV2bUAXdwLo/ZczOsi3GLybsszuzaP5tXUtD601D3UFY6
uU1+2vqYjil/mN2lkn4f6+tWnNmKLjfi9E2XGgA2iZKIHtbJWmU7QJj7jAo2hucHzakuFdW+NowF
LRXs0yicXbmU1P/9438/6MnyEpZdXwUKNXvDenU15+Xrv/7po3l3SSd3bQoyfchgKx0n2zODC/AD
CNna7kxw+aejwPdGakLrkR7ExymcB3bMzjSojtM6jG7s8FVyZtHOfEk+e09orFNms0no5iT1cRDO
ki3mCcEESPblRjfPPPxP59e7P699/POzDUcAiyoPP+gQnh75WHXnUtg/nWCk4CyzmJP86clzzuj0
aXLkxAaDe5zrrU1OCtweMqO3WrIz9P/olv3feKd7xqaszXRKGC9lW5LN91MlVl/Pr9MK959dI2d4
S+cgvayRJ++M1eILa9FiHmtrhwMfbz+6oga8Az5VnKIvovW+HvHT5/RuwJP3JQoLRF41A7aa28c3
sEiyYvf1EJ9OZ8eifWLwfYEx+XEqGEZNYz5nCAW33ajhkHyrDMu1Lr4e5tPZ8G6YkxnHa28AFmcY
PyctqtkG9bbStkSJe/BegMxrZ1aazz6ZlHZUAJM8J0QMHy+rysjHIqOnPDb5beK/Zf46sS6BqqTn
ZBKfvanvBjqtVFtmDxTeZiD7N4QuXZ4pUn02AwyVsgT0U3Bvf5ry77YxqpFl2INZMW19Y5uYk8nz
ODMDPr+Cf4Y4uVVjHMGpNjJeVMBiZrjtzy1mn02xf66B/ubHZyEhEti9SZsiwKmnZYkrI3xUEsJ6
Js889k9vF0xfvgLoPyk/fRyKKnnY06UvjsWMQ+mVs28GiO3rqfzp5fwzxqlKsm8SGE2YCY5Y+aR8
AshSyTXx6+eGsf8skaffaLav/3s1p+0liyyuyc/04qiKrMBK4djXaZx13lihym2wGl4MVNquiUGJ
DnGPphywHa4va6T/WNWxR5x8jB6HfwNgpn1Rg0ABzNcsiv9USaOd1NvAlaVUXDzsEmIX2eu/I2jm
u2KwfgCBQRBYzr8SRbGOsRGYXjxVleF1oQUCkixQ8hR6zdnlWdrdDnWQrEMsicAuAZRRPl0MN6Fg
URGWGxichGpcoxiRv6V1t5oAeXr48MstRoRXu61Jx6Ilugqq6GeBX2vAM0ROXNUCbWsg3zVY/aJ5
MH85VsZ1akQ/jjjwthmBHRChYP3rTRwe53Ha53PG+bdVVzbMEgVrETgRSAgEXgSBhGdDBsQqJdzL
3IEoId9aqSWq9WkEzRJJ0gQ0qEBaYjquI6rcswxILRSrHahQwKoSbfR3JhETt1qRvpJHIdf4e6wf
Fj71rQ5pbptXYXcTkE6xo3tWraRPoHCvktrb2Jm2NgEw7TNy20gdM+O1YrbGXaP3zUEt8XXnHZ1y
gFnlRZJjKdSiSu6E8IsfVhs0W2PoqrWlcehzCnwxdqhb+xzbqDenqbKu8ad7KMUtz6/7n40MzFVu
dOK3kYbTKuwoZ0/qIOE6mhpCvmnsQOkF5PzJmr7BvDhH6tLHLGfryZr4jMibq0C4o5yGyu2UEbdV
BeTMIRHsW9HCfk+y3CeDAlLfZTqE2qUWZL8rQSkItYh90Xc9IXkT6Ml6jsGn5nAusKZpbj2xCAyR
Pf6MegeMGJCEtWr75nrKI52wF4zC2Evqqyix7f0SlbIznAmXR6imPFBTQM6rXpgdxLxok/4jmE2c
bhq0s75bYg5V7JxBO6XruJ7etOEw+IHb59NDZQGtr0NUQ2UYEmHll/7WiP14ZTuzsRu76Q2jiIK7
3uah2HnlmTBcUi9MQSyWGtmmlhDx2m7y9qIx23I9lP6NiC77ZB+RjNqX2MRIHHFxymtbvBLBLm8G
uUNACdsP2g0+mlTHZznIZKUn3e96UH5Wk0HTlvyQrW/V5BbKDNlTU4Ysj5P1HbDUZLpUWGEGEFxD
/baet01aW66qNwJPfQCyJQqV23wo7INWFu2GLMiRJDpcSl0XjYcB2tXGJIwIxFgVXDWW/KU4KqYW
uzVIn8WH2RNVQCCT9XMUMSI9hCErDoDDJlV8leQ1MV4IojVpGOjRVZ2E/UXjC//OD4iDb8qCXA+g
qDfOhM3emaHi4mkGxJpn0bOigd6QEhwTkR8koaaRwHuv29dRCxU/wjfHQdZ4NSHmYsPF4ZdU9gvM
VHNTYRFc2YmGSy3z6RAWZX0ARUHZXw2uBvA3F7lvIzjDJo6IIby11X70wsLOH4PMtFyd/7nRZWd4
I8TKTR/PFgbRYkafRbJcE5NYEimDtimLBd9U5qVXdWrqRg64hkhbvMwjBkDAnUAsM5Q5iZgCUtlF
BO+BtBfiqYt1ONfla6Bg0wcCCFZVWgrygq6aVq1h/QopCJCH2DZb3NkhcPUgXemtnbttTOLknBLJ
jIyZ4Mo+KLywVU3cde0C5CHWOjLm3huCqrsPUAht2sWW35VzsQ9t9s99DhLGLGZCV6oZaWNS+S7/
hH8r5iWBPix/xF2kr8iKAy7TRJI8GoIqFR2wHhybFqAkoXJhGGLmd3x/XReVs4brpXsztMFNppDZ
ivJOvmT+qK4IKWtXUWWRXoeZWkbJ25A3v0osfIgr47feUJ70soO7OuqvuZ/5m8biBsiqxOVsV69k
lFaupfnEFv9Jv9bj2Js7lKsZAv17+sIJzm5wU2ROPxBIyc+szHQVi1CQZKbObhKB8QtwheP8qrFq
27m+NSHMuEPF/qEnWBnRKQC0vJ8AdoI4ab7xD/ImphEgSxnVBQgWNf0WWQ0OQaNKH/umelWmGWKQ
/4xcMr8ngCY7DIla7ae5CA4B3SHyrgW8uS7izbcWFgvmU+VVBkTVZjmWZazFA3i8QN8PBPdsNBr3
HsBmc58H1i9JRhLXmBSXjeVAIxwaxaUdqCIGbEY4FOiigiXsJzLLeKsNUq77mAqhyvuygaZi3sWd
GLacOJsrgIjtdVnKeF9nrMFLa++SniFZfGOIW6YwfrMYlV5vBhbLnpLx38hLwpEQb8rembbgn8ZN
SG2MKT50yEDwhGIRxb4t9cVqE897re8Gb24a7T5KFPHT1P2gXmF6jLeRgid0UJ34UfoNn3iNjfQr
ge1R6ML+69kw1NxTdQiO8bhQubUeW66D2Ncp7Gcnzlu3KgWYIGeW19hnycLCdGW6Go5pyMAyuaRf
9d1qjB9G1z1OmFFckjCjO/i2CcwrdoRGz/7BNCfHBcNVH9JOCW6NCCyJg5V/1TY6MrYxwehGNFbq
Un3L8B1GQuo7P415BlNg1Pu8lGhQbQPUgEEGncZDQ3PphBsryUd6e4GxaVN8hvkC+MpT1gAazr6b
oq5dWVYHJCnMUzdt83k/WnLcaLUeXzSYcK/7RCK5DiRAal/+yipUvw3u473atu16EKn9nfzpFOQm
RzWSyMqVlUGpIYkaR6dpat8b+Io4/HAY4K+bjYd5smEjdDLGKxeI/o4s44ypr+ZXQgJXI9X8dwkn
1Q1jWlMNwXbglpXoZi5A82RGn+xQiM43ZdHxsjR6E1xKEqhWcUFO2LTon+DTBR4fPv++aVO5DYxG
bls1G9cpEAush135mBNEu+uyyl7xU8VGwf6wbXOs0uTptDVs9t65gVfBNJ4q59Um7I58EEV4sBud
WzDa9lqqA97CseWlTdlIwWwPsbOXjxrBnc8mNmOMmMmUgWGdM6oB6syaryUdlBM5qEdRVf6D3wXg
iLpq3Ca58D3StKe1GSAudvKZxdknsrwzlGwJHpuCBxXU0Z0M+RJOLZupxB57Mml6n8wvtXyQiw07
wUy1bhXWILBtCKNHPd6YcW9vI1uNvbjqMfQ7aNTizr438wYgnc9eMlyimV1rrn7psPe3E1iCIzOb
uSDMX6pEBVzlbG2bGqGzylc4cNM+KV6ANBsbxLwqkVa+3ETxnHnlNNc3KnGGkCQcrtUN0yI7xJFo
H0jDfjYbtWET1L3BBgyuplGvr/paU71EFW+jsTy0EY2MWWrYZAfS/loAOOB+pnA3jlTm0OQKtvFx
g7M7b69DNKmukrOm2m00b8raQOWHF35DDOR4749TuVLIH+M3pN+GSiQeyrTfthbTy0G4vseGdwOZ
wtOwM2Wb11INH/A2Y6Ef0SpYbMG2Q9WYqwFkjauOQ7dNAycicXRKULSagri/YFz/P47OazlSJIii
X0QEtoBXTHsnb14IaSThXeH5+j29rxs7Exo1XVRm3jzHNFacemlUhLbJcyo6NMTIt5PhuFgatURW
9Ic0LdpHqy2znVI1ZaAY1Yo7oeu/+MUvW33MWWGdloW5pf1/aqDt+BXMxfFugAZpkEfPACWQorOW
vK1onkFXdWBUcxPRmNomElZOpb2MJchRFmbywG0q56xIJ95YKOS5oov+BkuPwkBtp/izyyhCNrlc
pocGzo3kzjq2H3YhT/NsfbJ217Cb7iTVIg59A9b9BLlQVc6WKutPFurvjyODPq9EgArMwhpDnH9I
LpPO4u3e1lI7dmXmiGsHO+3M/iFzZWHaXgnHY2/17IjrUI98QEhcQlYBhaAyReg6Tb3L11R4lqZ8
FB0e0QLT2d5pCJ/nrUZB45QJudEBfoWTTzU0jYRbdlQ4KYbg3sj3pCaWcCyz5KY1Y0ZOPpL2E7ZR
6N7SfBonpyf7ToaVw965idS+g/FpLrSyLTt8za3df2iWTm6A1KJzaLgB7o1RSTct+Jl9VrB/oHC1
DqwBUDOhY279s2r5S9KtnosTyotNiMQkLkp471x+VJG7LLQ3xj5r7DdX2HxZHBmDVpSs03OeeVUS
fRQRIi8zN3UI0ijy8ul+ErI+7jUiS6ifaCRS4CXntlv4i6H2Vc8lILsscEFScr13FH5UreAyA9aI
A9PKljOcKAt+S2atZ0drbnlbfAxAw3eTYPXaGwyWqpXClduJvOqTPasySACPhJphlhtMLrwcwG+z
/syDydZ88so9gAwNtOIfkcTzP1uNRtwvmbW1tLoCqdUnF4itbIPGq6XhJLfHiHNBq9/7ksV0vXIM
oGizvdPXxPCUCCQgd45xr6eDfc0jyXe9umNYRyE5IbntBLJboHQhv7sS4QGwaHUfsW3/KgXZK51S
5DBPlfLm6o6ylYtSf7kLqt+UQCqfi9GglQV1o5RJjz8EoXY6GuyJcy74ltIqO+AYxIDI7XoqNoqg
5RZwEhMsEtVwjLuQ1fAaanzdQ+XMekKzIKeYJgUVANzHm9rNjsfYSw9RAaq+FWerV+YwUZ3OJvFj
2KtPi0cPMtX4dWNwQ02NO0CrYtRtXOEC2JM/8wxsCgwMlGl3NQJ1MeGWqsa8KSkwIHKPY4w7lWdS
NIGylvNTr9PeaNN+3EmLUCTQ1/gkOwvYRmk5cELT4ZqX1rBlG3X4RJvgHMWcKRfIkpCcJ6vblEg/
3hOOmyNIkjzI5hyMNM+WfuOqC+wEESqdgXp40uX0O064QZJ+xFCPxfykJ09odiMHag0FEZ+Lnmsf
XGlHzhmuQOu6wm80jOEi+8YOE5YRAz3WcR7i7vUmqbEHniZJzj/Tcd/NWoClkMtafVtr/G9J9ekl
1qt6j9wcNYhaLnW6J6pYNBer1RrwlEkv/pLcwtYrZyOI5qwI8a+mOCMj1kg0XDFhuXT1pev1H6ml
6rMrqfW45VGWJQDn8mjkAFgbIDr5LD4rYfe7u/n1AbW4RodZwpWoDULDFd7fBiDBq6sub3a63mvN
BTJo13DPUwplaw9m5Oclfdup4trKZhr8tLxGSY+yZCOYjHq27DuoKOsDDY3xqMYsz0ROPF9hAHew
EfGGpKWa7FIzindOW8nHRHfsJ/4phidsnszUYYWqQ34NPSuYTcAMKrcoj0QbcKB+HEKG4ebbgBcu
XPrC+My0oT8Zd8iU1+JhYnxZdEHPMXocTRaQir6DMaZGbzo4VU5opYKXCKqqh2waVIXUd53LswZx
5HuV+RjCyILf4Bicnas7bTLXjsJJNt/zKOULzSaYV/ESb4grQnU0+WCXZTEfKzt5WbNpDugAAXMz
nBoOBevUtCENzxTD76Tbd8d63uySQZqcPXxmKtTZfb1Y3aM1VsoR/JB9hK+eXGyzWDdljhJ+hYpO
C7fhn6Hdq3/lAxxzfc3tmatqj+yTupkWRhzxzbT+8WL5dZFN+wPxMJ/ZMS0zUE27WOhRKO57U3Ga
2rw673oJ4QzXtIIMaFe86ypQQfx8IsGho7dhrLpfxMDbjTJUfCcVq/tqpvaZNHrCpaubNrpZlxeu
hePbXEHYM2SUeBSPsAd5pDaIW/C95IKqYG1E/oG4Ot5U1chFY7HKkHIGcYm6ALFo+iLb9XXtHmJb
/2ubhVXDZl39prUAXprOX9OoLTz2Ij8symKdWaSqArOf2A6LY0M+tuUwU8cXPYhVaQLDZud444zx
gJQr6jZN2UWekZXfRIISvqzyJ5khTAE10YyDqHjwh1X7dwd5eGzz1BsnikTudThgfvPIqv26s7Rr
yQw+BK1PZ84cjWDo3accDuTJXqGF0z2QB32YJ/C/znCzixxBswBlQ5Z99AwlUV4LfA8Po6ElDxIj
8NnNHfsd0wFdKpvEPr/c5hqTedtAh7J2pt0tAZhuIwT4b4RCV6i69KwPlHjQAejVXfnR9yI6Qi2V
uyTR2l2kdckNqGsXVNoKR5ePxR+yST8aIx9NLGLOcbW1wnqCwFdG2bqtM1c/6gBP4H1qjWcYqCFc
V6u3//uEZNxt1mr9UpLBpgXbzGLfT8T8WMQlVMZ9baN1MFm6Rpl2RJIB8DkJH0cxERxITbGfZnPn
NOlzK8CzJHU3hIXZU5GpSbYn5N5eXDQJB51m7XEFkMxbRWrmH7Gp5kM4/XvUFMlRAxuIlRkC2pxm
P3E3M3SfaAGba2tUNKkGazOnXQQtSswBKzC0q1oKAtPO1StCCr7fFnyTJXbVsKyNfseX09ggPDJD
pdKbgyLn6kmPMvt9Xp1vu5p5XlTOG0Cf/abGee7NSuXsTautOUva6pmQBHp22PdU7m7va7mSfoy6
3Z/SDDO4lSrQ04e59ZV1nYOsKVyg/0rzsqY97hW6E0glRB9FT3wYGmVf0bh+1cFjsUHGh1KwB6l1
wvrAQj0eyOcMsE1n/Z5GVacXXnDmvcWr71nPUK9JQ2NCt6Nxt4z2Hfeag48qUcJn6JODsqECsOi+
/7CTnrjAEdvyXxLDW8IUX/7RfWU5zpGm6y3DLM5G14ybqjTToG4N5MwQ/4nOmPBVTQsVLwSjQB0j
lEVubm+gH4B8MXnEr+CYkwMZZLQDcS99J1pm/D39aJ0HQWtu1WGg1p32nsl72H9uf/U2n3ZIvwAs
WWQU93peleQ7gY2E6tRUG0MzkrMu6wm8rw1H3cXFIFvdfMOT+06mWOXS1nxaedKhJmvpAICu6vdm
y/qrMs2hHkXDj1G6Wkxrd6EUyfqmPzguVLrqToDt1V6+6wRRglGW1E44cfXq/c4AnbonvTZ5R/SV
9edw+p9QdX+wx9ocEHvh6aDxRD/zIy3J2M0xri8aCL0/S8JFRasAsVU0DmLuwB+ZDSZPL+HwEWTM
nkatlgwNwNyDgLU3UVYlu6nRdL8mtLfH1lQeOkHunO+elbASOoga2OLgHhtkxx/W2sgINQNO7sVM
XwY3oUoxpo+kuXsCzFk1fF4F5pNDzwDi+lCkAcaiFT5+WZrA4ksj8tQsepwpKy6Ws4J4oznddi8p
++XDJutl/0ISAY9rl7qA1Dr0KG1iqAegx85+hh39Fkm1C/j+EswWXbSPF24Vupu8Rgz+/cqJMSNp
lrONdEXZUeREe9jlWmBl8fTi1KjCVrLVvhJ3xTYbJtp57ljfOdlW0DrNd6lW33ldar7BRnUVzrZU
2uNIPSnDIhpuhQO+dnCg5CN1yqicEj1sob3R682/B43zcWzKgp6DyXhFGVvjG2J3+cc5Nax3/03o
Zp800eroVFUDvHaI9xMbtWOfpltJMv6yKmJhj8lMt2zKpb4Dccurckm7q9TwgwhF/Kw51PAK5s5B
Met/URHfW5Sv8q3MjqLdaE/3fwB74AEvDiGOJuxE5CDg9cy53K8quNmMbFjbmvxA0VIEmtFqW6EB
0+4ZL0GeA/EfC437xVxBldUzd2uz4L/Go+ItWf6iaQznTCm1TVY41iMOu+9Fv09CII7VJhvReIqQ
INGgLxBQ1G55NqdF262oZfxOTX8hu1d+aR/t8VaSuLIg4tLx1EvB9b0sonfiZe5ZLxn6+PaiJH+N
OQ3PmXC6Tw0SZeAuvaF5rrlqlzyTrhHiT6+v3JaGk6Onn47RvcaNikmigA7cayO9MNyox2SuJR9w
lfqu2XDW1C7bWyagyuvQqNPRrEE20ieevDpV4J8rdKerlA7FUNUxreBebrJ7hQqFjZmJAfzXGDFm
xIk+4ddCLlZotPnpGhVbqzbfKctYHUhaP1pXrhOpUChw4bWqE/w5c4JyOzb6iE5lSDfg+ljo7kpk
TgtxhNKgl4OxiLeeCTC3m5m5tGliH3HDfHDe61ubsYhvIC654nbIgoitUx+VHtzhriAIorKrci+A
TSBbBt9yRer3DhHvJq8ox+63tKmjjNypw7rjLhdpAl/dFP/O9pyEWPvWKmQU8t5yLPkMYSx+Sh0s
pqNyU4Erv9EVk2IxbWb1R1O67tj0KlxIDF1eWbIxc3/r8Nymxo9prg5TD1UzHsF5V9yT16b1l2r6
NDiqggJNgQ8a7ctR0CdIXbRLaC4FjcN4jcqrHjvamUlOfbY4T5gTWd81tfExi8UCn9qCNG+5bKt3
WoIsR2NiW0Y5pXrxocZxu4Mc5B5oQn/3yTDRDcbt6WRVG/FZkh8Nin7sn1pXpXMb5RLGIRDctAAg
YNlxgh4rHq5VKb9wZ+ih2bqsFWa8uLnVFV4OC3uE9m3LhbHM8GaWkIMmxy7PyiDL5ljqeXlWmS3Z
LN33M3DwMcOYxcehZCtet1gtLwbO8mtDV9/nS8bNUR36l0nruKNnyhymLnpuI9Vf+Toxt9anMRws
KzustpsfhHq/fEs+AuasFNN63G7aOE8C6fb9Ro623DHCwa/XVgkhjbnYK7Wrc/xVqufSaA+izHrX
quKVLWnnYEddEq5ppO/w/lk7d9a5zUX97GwYXi6Po8GidG9Pxl7cEedT15WnepZQgztnDVgwWoAb
Q3KcTVMJV3Zxw64bBcgD1znaMX8CXeln3d3NGLnGZEDV45BALxIpxWb4L+FFG7SbHhJNJjJQIyHB
Dqt5fJaIGZjW2LrHmB2SfxfdOFFMvHmRdhBake/G3kx3d3I4pc7KYD9zKRfwFYX5DPceTEDjTwst
LRNRDC9WAghADCQTSbvcjRb6pFSAMJhp6m76mBb5mGGXAGpD5Zk3JRfofmbWEec+2tbuOJPDOqpW
qn9NJXIlfNTadpIQDWE51zvHHIsHjZvaNs6Ghxwt7jYTLYIcs9DOfXZfxjaNMQDNvB5ZizYPQljN
3lQAQNROhN5QpvIzSdMmjBF7+SZ3Un91S533Cy8CbDk5+ix1fDJGxjP2hDIDKQoZtqjvQqta7yEm
jXVtzaqZD6+9hGWMW87N13XnurEIx9FMtlMxMXhe39Z2lDtURnVoj+bwyEb5wvAITljWDsXOAOR9
anTZHBetASJrjO1DY2Vgidtl4Lq3MqNt4+zayenJ5Aq6U2aDDlmvmMhG7zNrU/2yXNmdFxPiRGX3
Yt8t+vLUjAOtJ24Yvs2tpoKICHurvMpEOKHiTj9pLqb3eKpE4i1i4QjKORSaKf4px0VscieNqKOn
nFG3yh8Y7xDUajIfKC3ir94yqi26S7xsfc6oN24zP8/s8VLpWCkSfUWBVkUtu22xe8B85x7UBSdT
nGcNe7zl0zI0OfoU3strly9b2qwy4Lbf3mTeTOdKK/Od7TjD/Z6osAnA4FDvmE3ZS17cZ6jclJca
Bv+0JJ7IrJeiGdwtEx95aER390y2KnXwCJtC9FCDI3ff2XXkK+k0X5o5rlEF3F0FhlsjM3P/lEL7
J6lOmFr/swhj7IWjFG+TYeYP47KgEpfxEBq8ha8V7eIwHxn46lZcHTI3tw7AJtNtVuYvmWkXlKSa
euwsfeYX0GNyq3LTsxngMH1i109MrBoyzFr2uhXFb3m8/FR9+wFpJPE1znLyfR3ts7HhLmCaFIEK
Xqe75IS0i61e44hVZNfOu01trbqHMUsPUk6hc1V0wM6WhbG5mF9AZJPed5MCNHyiXSYRlfD7NeUV
292eBdXLUmvphunABdeus1lH63PU+ySwFl61jsYjDu4yObl8qlsqNu3iQjF9AP+Q++ZMk479HHcT
DYXzQz9HA2Zs14yPcpeciCP3S4dMzVisT8ntbgeigZCJG8GlH2bDq9AibhLX0vgqGJ9OxryvsWQL
xPpepbXq+2pO6cmtouFAeQOpgBF56kHZmIin0SdI2aX3NbPicWky4wGDZH7WGuDBawI3ZU2SNtTS
BoMsrfcri3H5xq2oE9m3SjxL4F0tRrNkvUQ4ALumt4m+6YaHLAlofqFr0zprt0YuQ3mhmH+Rav//
ReDPU3P4kZvBvbGVH+oWm6lL8+HOA7iPaRjOOcf2LlP458QGvaCmM1+JFyR3Vsu6W4GW+2ItH5xp
7d8EP1rgZkzINFWPjgpO2CDvkw/SPQDkTdLYY2oHWpxMz1Ft29c24Rtq5bSZMjZ/901vr5tOrISm
xtc6YraYTRjkNDmk3sj2aUAfLPIdOZahm2j9Xsf3fhvUqN92eVo9u2NiBBi4dJ9lGCSsMEMrP2on
8WnparcbncV4j+HOvSiNE/sctRhWGZ84YHIKGnuEh/yO4ip0EjqGSzu0XiZG565Xyx8lw5zHcRzh
rtCWwtVyZ2lr+dkQbffVVlZ1okNlMvm3o+eFTpkn2glmblzRmE0jZp2Mxs446NR/eedQ80CU+V77
qH0vNGfdzUlmb4yE4lQyiawV06+BFOoA+Lix//b19JYo8TOWQrQ+99jOXNAZlE7kEFAT06tkt4Jh
tl1t2o6BIgUSkwtIoVcrm+S32rfjq6ZS+2TUu/gEliGkVCFbMDMmyDuRXikXY8wig+0P+RTvEoB2
gWsPWhi7ZBJKx/lxp7p71gbjl82HjLX93t7OupH5mtZG7BjyumQspD1k3My8XjDNwDyD90vnxsNO
LmB3Zhc7zWgY7SvEfY1oGn0EpRClS5kN3ogk4p1wlL5JR/vF6YT+aJiNvqP0IrMj8pYDvuHN4ljR
KcralbqgzLBMRU8pxOIj48PypbcIW1SLU5w0cSArJWNK2uwNo5DtN/xyiJZR/pgOOTOmFeqjkX+y
QUxj5yHqr1wFfMmXVaX5nOb6OScDML1m5UYjZMRM8dxW/0Ytu0TrAgH9lhYnyJiqfqRh49U0DPL4
B38Fr0qYogU8/vuI30Eo+0LKcWMJuTPFM04sfIZakFtPjXa0LLqS1zg5OOkOhHzK2EcFru06O6vl
hndCuoM3iltyRf1jemX6buKKMxR+vbu12Inyx7UfqLu8VKV06E6W3GortZB67GmCVkOYyp2mnBV6
WujF7IdafTHy57W6Jum2s+nzWful7his/ZbTrqAd1Sm+TuK7qk8L/aWU7c3bff48MGksxp4JCZ05
Xm2y/xvwryTab6cEyALkcJrLnwE0lB5d6PVrpcSch4LLJcOSyE1cP8fmu9KetCbbWwyvhflgt+5G
DMqpju6Zmzps+M2DhQ9QFB/VYTN3PwsNDCsn4khhpU6vCz2qLg6nkbQBlZHB1YsedzHttOxgLkcn
yXatWQSWuVOLh6p5rvjmSCrts9PT7QcOPPZF0BgnJn6+0ztBPf7cPzWR/K2sNVUZwLcVZ09oOdda
vqmcl3GTH3J9O2lHPGL7sgCTTBXNwTCo/7IEGy0JVa2jqHT9cXqKYpAkAw3W+YcDyCu1gz3QlTOb
g5x472DsyOHBq9VrLfaCVgSCXS+NJiQTh4T8EU8M75GAnzpPNq12U7Brmx9xfSu0fZ/83HUUQEP8
yeIXeFZ0PHRnt7yPwj5oskz2g4tMsSN8af8ztedlfgVt4jHr6Mxz5GwbZlqs/StEc/ptRpqmtMJe
+ymYqpa8VdEcpKuC/PBcR5fURLlHgis/O7zHBco7s1PbTU29i7KDRFhZK5Ih7mi+JLhp9vR5v/Rc
zy+Ow/dqpbLKzxP2eAd9J0d7L2ef2M/NsRS/NHC5Fwi9CXnhUhCnSG+PyYj0ttgVduVNuBuTJt2N
GiYwiJMEdxku3Tfc5rOBoM7kxHNfxpaD12XIVtBSjTxzfEFPEICt9Ftug/jPU0bLE7QYAq67JU7B
Ez3NjN3Ks0DGNWdmaHXvmfLGpr1k2usY5xyMppsvftdfrflFdR/baJsRy1ybPzqVW0W+quuj7r4Q
61+LvwlpDQOsGh8ONL6dOmZk1LZ3G5Ju4atYPtL2JcUDO6q7KJ73YlL9HDJoWwMSc7Fz0L7nssAs
Yb8QwjHVEd84eZ/qqdNeOyOoVWXH3XZf63cFD7qh9NdEnlIwZqn5mWg0eM1YeaX4ngUfX3Za+bSG
dN/E9HSWyGcxgOJauZExCvTpdWbpyXV/8Hny9r3Z4odIoB8Tmr0T6jRktqu+HcCjZhy3C2P5/T0b
aeLNTM7uonEj4UDkGaBgCpSiCtNOeR0JpWEn9ZzoIbduc5LvcuNTJ/G+VCDISTjEzWc9sjI4Pk/y
en8TzjQRSWcFhUIsoPFcVs+zghtpqRFXecZdrVIlIr6plrOJedYAGTFHbxbinyyJDhFgdTvy+vQH
tHXcG6GSHVuEg44FOme8aYiaR8lYnNERV1bO/TaY6vUoce8t2FMTK4iN16r+UFV+IzMFD/GAWuCb
2DD05AN7FnFHg+MCoNyEaBY7n71+D6fOl3zpg1KJvruxCegyo7Y7i2WvlG/D9M9Sd0u51bg05e6h
cr9q6wYfzU/BiedGzRF9kNSIlbWtcMtN+P1yDSjaA6/VNN/SYSwmxZ/tfytn7tT+k/mzbZ0SQi9W
8xEPHyTLQpbxuPgwRdMua0a+fTcpZ2feAdzrHb4PtwGbX/mu1B8tXZvGpL61v5TuKeab0qebstzq
2Ws3/rOrZrsQvCV5wA3hyYR23ZI6rJQBDXrGkV15svwy45vdNT7zWSY1QA6fuuYNSVCJAZaGAxR5
8nkrthKMjNH43Vi3u2jVVXaWeCzmP8YgdfdD6naHr4DaufRU/adcsMq626U9ZS0vT07xHhy+TXjR
yLZr+Tw4pGXXq7BuvN023Kd9kI/RX0u75M8kvC3o7SnbKn7Nxgd1eS8Jimj9UeGOFdtujw7QzAlr
pJxIAgh7RpgpxJHXHwpcb1s+/d7He1aHlSGSY2sUtwlqDB98suH+4ovpYZzIEQ40CcuL5tKCzCBN
vaYTymDrnz3/dmRQMuzt1gwFfo3vlrmQh8Ffsl+FCYSDCq4ncT0lZkCudLGULd1F1EZvJMxCEa0X
bGXbUqWsQlfJXDvUctB9JJ8KMXwsmrHp4n3pvDMwoJQuNqX1lkS/4tK7iNrLXffl7Nv+Khr+w5Fa
2RvLbc9sjs3J/ZTsBe6Upla9ZD3dcz3j8mJwquYlZ8b9gDB/St5TEfLQKLnZJdwPBJX1o4O0p8n5
kD84xFwEpRCRq7wIBJZ3zhYcd767fsTWUzecMvcXt0oxHuL5hOnUE/35/k1jNs2XaI/BqNMvafMY
6QzkLTtE2sjf9lsX4cItjz7J1H27dMOYovDqkb6MgeCnX1l+bsgeQINcRTjAC7Auun5dtL3sKGXV
nTnbm5HXhuEcNIWBRLcxs4tgSDKtD0RVSatfFvm4TF+2xhPzUaSfSmIRhiNmj2OsUc5DGxABCCWp
IHX8mOzjWt+E8lMzImwS+Be4eb/o+yjVvKuLfdk+qwYhzC/VPgrzMZpekJ7V8X61NjI5lgDo163r
MGQuLy6d2Xq6FtnNJH+b9p9F2vMQHC3nBVnLzFssjdliebH05zi7DeNJjQ/LPTLVv2fiAClzWB3u
K2EKeIon1MvFo6tfZv2hoa0+Wnwf31ft6g4hhRzZkX+8j5h6A6xGNBn9zgIlV3VycKhbBYIVtQC0
uXWp883+Icm1MNXxoGUmMYmNaNmfISUV8XJW7wrDc4m+L673g/2YqdNp1D/jIdoWukuvGs+hvFDQ
+MKWlD2VNzLCmNUtsCXcrk3INZ0LM83rijuBULG1U5UkF8xGns0L2KkeIZmRRX0xlvtplx1mRBlF
9y8lS11WSByqfan9JqPttfpbxgGgqxkIxcyn+1xygZ+ZK8bT77AkgZIuoLmWa9aVwFFp4Wq85vjn
0z3L60MRvzMZ3Q7ujU0LbgXxZr27NLl0zHZoN2SpxZMuik06dY9DjDNkNTlo4kBGH7NFmn96iZpz
EVm+0jK+p1u1Wn9jVwZr8jQ1X1ECu5WQZ8aRUNPBlEqQqkwBrBul36lv8CebvLTi0osUktP83ids
5a5OXFFw6A36S1vwQNcFOov4n2kwtcp+27FiHkGWn0QNL0UZ2MNhhPfDnJtjF9MH/eaKv7Ii3hJh
C7fpH2XyaRzfzWYr+iteDJIYHNrRRlY/BtN26abMP/9qJxQDVI8oeiEmQy3e7hN72IzaT8tKeOSi
NL0TjIdS7hs6oCpbO55+T/gq70o272tsR+RO7l39+E9GOO53GnE3BQvaMvMuS54XfUUYKEN6f6eu
b7Nw5gSfoqAXxquet1+rKrxC7XzT+GnLv8SyjxZ2nBgaaVm8TzKlOCf4xgiQifM6Ihy9NQov3eQ1
dV8SXQsH/Gjl+j2TDomeq+XPbZEWsn+jfQxYowd+1GRnrvuKzZeFCrEQnzH+Zxlkq7ob7fE0iOep
3QjGudyBkYJ7GoNhqh1V/iC/Hdovy3hoay5pBoOaY1tvCu062NtR7C2b/X8EOZYTkqHwe+6Hokq3
AwbfiXifrj708jiYR8lwXCQ/pWH5M63jXtnrjEkbmriZ9mKz369oW8KfnkodBTXSzwg/Umbe8wF+
eq/GaNoMr7OBLGfoPaN4mJ0fDIXfK14dszT90rzUxjPBVS+tZ3o+v5zvZnSRylGz92W2HXIMw/xs
DM+t9dG1/gac8HT/C7kpk7fJjkDNcxKxmHRQeHyYFKA6OjF8NqzfKm5Iiz4zJ0kJvJE0g12bFX/q
fFbbZ4u8anUCRsL8gidZvYiGyNdO3oVJzrHpqHus01j+GUIEMWIjSa8qfRYDMyW8Mk17i8RLPln+
uFz6NmLoz5XsTSP1tcD6tGmwU/DxAHTR2U752lVP5fiqtE+OfJyW7QgwpnKI4gNzkwer4H9obrL7
0KleTPfYpeq+plWSL9x+WEAsi1dc3tc5hZFzZFXQ69bHwj6W4j3DD7MuvW8LZNGY/5LpoKI8W+EN
razlGTRWS8rphDudmv2NpFCbYRejN0ezm9aUuLy5q+rHRa9TMAJLtS0SVoPYT5tdSD4FbYYKNm52
Q/o61gsLDpLJ9b90+nJZVk7IHijGe6V/t3LcJsYSGOoeUQzJLp7j1RkeBgVJOZh+URPbKJKwl9BG
lHGzog4TLZsYJsrifPo2CfUtag50ejix53Wg1RB5rPi9ohryV05pstX5IXLp6yvOhUVCf82rU1Ev
DMvZfqTVgwQqXUJ97A4dNHN+H7ak4MlZqTLlzQDgOmjKX2S2YRkBxm1NP4/VP0cSTNLnUDHVDzdm
nYg+bOUO/sgBS7ziYPfLroerpN49a1gFicn3XbfNdZWg9PpPi/QrEwu/Igprju7W6Pow1e4GoTFo
K3PXLnzZ7WXaO3X8Psz1O9OcnbuOoSPUU11jbW5Wn06YJ5biRi8zNMb5QH//w+JyKNzxgCTnAd9q
ME3LJm2S1tPtGta1CJ1I3feOcirz+JgYyqZi9O8xyfiVitgM5fwYLypTfAZVk+6vVrfv+NakLmii
0vgg/8I9AsMVb2LpsRniAzB+Sgwj0KR6roz2c84dEeo1wF23cA8aL1sy3746GF6rGOHqKq5vTTkL
f39L+dB3T8IcuR6vlae790queGcsdJvSfKPNbA3Yy2GF/EIm7la4zIcMd1tJjRElyiytO1clY72K
Cf0gd3MU3fR0hKMKhH5Yu8uAGLJSxiBnmhep+NdoLCNZPzqczPd55o1c4XkGzlvF1pve9N7IC7PP
dXb/SOfo8dGIC+xI2YsGKXzW15du7UKX/0clHjksse/O2X8kndeS27i2hp+IVWACyVtRoqSWOkfP
Dattt5kTGADy6c+nfe6mpqbGskQCa/3x4HFwDLS/buuGTId+rixCXLEdLd++jl1zckfeUzSVxG3F
KgyQalW/Bis8VZ2+V7aJO1+/j9RpwmZS+L5G+gN1/0kq80JP1Kde5juvSvfuRn+BTa04maesPLed
FiQxIdMJgTUs6tqh5fUexfx3Tv1j5FgUmgSXXPgHH2K5YVeUxDegaidPjLtX8vYSBnXJayb3Clfc
JO0nVywH+b/uNloMvHGPxizOc3Uaxomuuuk4C0NfGTWWMHs0Yp8Dp9tLDIFudXt/+OzcyAibfyLq
L7Ud3I32tie8+kF2TGuLo18XAKQp6JPMAo8ToD7GN/saAB5Y6kes0UtBCnHsLzl/KVn/qI7fO2wO
vc8Vhbx2cJCeuYyP9L77wAbpeqCECGUNwg89ledK1/tI1WchWvye5XEw7S/Y5HqfbjkK4d5KlIKG
uSkPnXa9wksAimhDOUKaQBd7h5kkwrzMBNgdNYkpt4FkJ3VkcalCTRFZdkwXs+49QqdGgIja9Jcu
4ywPt3cP6esyMQwPVqRouIT6Wm7t6BFIoBDqgrjoXK3UMGHuS6OcZUTd9uszsqGZlY7Wbum+0qG5
p6bukYq4eldiRWhU9jnw8K4rqfL2/Ny6Ac0FXtMnll2+utNHtbDhjXjlbYlXkK+TI2PoX/2p+lWu
8uAhW0EceTJNRpchI9XcM89hEUUG2SI9a/YGQim166uCCesnjmTGHh6PkvtjmPvHFe3kmPNS2G0c
onVAxoqZGy34ximfFhQc8ib0AwMGy42v8rs2nXZl2u/bDk4bmwNVlAgj+1h1XESkvSO5BpfvD7kK
Tw7gKg0Wh3IxlNwFO6dyj0HY7B2/fWC+vMP3y5bFQDxZcUYWdujgaVcS2xDeS7p94qIFC/PoJIYb
QGRQdrFf482ahruoXHbdbV/LKU5v7PHkMe6qufnnj3juGnf7sjVU27LeL2yFG5BsHyB7DmloQm8c
TrS2tJyYEhtRO1egeg5+PydHdRaFqG0HkJXuMrIMUq0Z25ZOOBnOLuK6dVR7B4VepOuPfi7vZlOK
GNXs45an9Dh6zUvnI1ZEPcFWiImt9NqvEWMauxoci4sytrTFPZrY+yHkg9aIp7hLoGYZyXzevvyI
Q+ugS1jfjV8RUBSr0j5NTUyceOKmwW6WISoCGllriZuMqnCNLDwAjq96F7xkxN850TKKV17DmaPy
4sexkLNv6aEncrvedBNLywfTKJu9xKvcK8G1i0U0D/fIteLM3Hb1IXbb9ipCfMc2J0s3tiiVnF2U
y78uJpN4rbw49yD+RYh+mqtU0ARaS0z84/jTMYH3fF5rg7WX/cVIdUg3cXCB9nrbvbeB/QfMG7ts
Gel6Vc6l9bY3t3RPaLyPvTO+UnHyDCN83/PlLEYeZ+tgog48tNSnnDb7bJJHjFN7LGUHSLlnMTGq
wkGGmAQJJn0mNfJXr1GKhrB+ttjYNPBjyBzWONqHI0M5M1w+Wy+Ry+qm2/PExE4TLi20vpnvanWr
sMf87ATHyPz2uL2Wnr+aXPhGAxaRbmmY83E98G9tYheKiVHYyzbE796fleBtFPffPHscsLiJPTTI
UzB91b6fuHX5qAHnJpNDCLd4vbJLoYYj9n7onSmWpnr0vO5szzjjuuXoyPIFNzhYKMwspP1ZSOds
e9G/QRbUhFfYcPL2taNu5UavuwIATs7fJKJd555anNR76gilwU/PhxwbmopRGrqcR37wtVpg8NMY
EOBo/dLICOOUPMR6NgZGiP9f68ApRZ9Vn163GaOanlBU5tlb1Jr7qZ7xECL+9/up3c04GBBndUfQ
ZRiNAsMgdddFCbvA3eBhUUR9feNSLIIFUOcb3dE+vf5yyopekAUtjx+QiI+V24mLemaCnsRdm4+w
AGlPPoOPqFvBrR7yydAkiGgtZTmlGfh0k22uwXhPu/2R6P9LMK/zCXbtb2jcxC/KqwFgxIFy6DP5
KbIlmVPlPWjdgRyGZFt0ESsNNcDQyakM7HihIyQYwn12WxmblTUed6pgm5BqfBC+Hys/3KE0O7t9
8a9zw58o3O4VvSc9hZieh63Ba++0IgiDAFHj5Hd+Vp9uQhjG3v0aojy7YUBAShIcxnYUkInZdq6f
0VgM/t5ZXNpAYRP4ZHa7Dy2cNwWrqqdWdEcT+0eVM83RyFlKQjSaITugaUiME+EBoW8W1j5ZamjX
EYd5a1R39nKSGolYGIzP3O2BrpChsLlA4tNyDOoWjeWM9rxsPeIQCaB5sVYM+1Qihw9dL+lYKSvO
Zlc8I/976+tGUYAd3liixXm2w64PE/qNp2NT5Jg7lzr8U47hb6FExNc1QEHYJIt/bC4sluNfOXHd
9FNGTnUhMKo+amxce42H7CAlQiGXrpdTGrTNsBu66rukGPmxkyjAkBDRwXNc8nA6K8eGLvBWi4XH
/5oXb7gYlf/ZqnE+4jQscJG3kqJMVVFrmqePoW3j9sy2nOfazR2Ud+B4DvEVIvzoe+V84fAPnxxv
bSo4MIhAfIcuiz5Ny3YL2lAtaXm3OP5dHxGR4Smc1XTU47ykGPeE16W5H0gIOY6bh9+tH+gbl9V0
GKoAVdOITM/Qyc3V4G5oh9pgh1FtvG+cH2odUdmWdGO7YeB80zaMYGtBHJ/1RAz0ZZbejQV7fVPN
Bmdq5MA8Yal+QZSWn0vlIldyUloOqAcr33Dso/cKacMldzICOrYjl2QXB7vOc0kuR0ioSaafdF8E
f2Tjk12yzs2zMmH6zmfor7bvpd5tvvWROq2vkP5JllG1G6wBmQ9jpHB5u/DYZMw0f6gm3RKa/Jq9
qMnzwJj0PRtLZ8iiRkCdhfQBnJT7svZRwTNRjZyea/4cbFP3r9omVtyia1lCPUdGiLADkkfiCRff
Y1er/qRn8apCuo09aQO0+PZ949fp0QsX6HGySD6JueG+nUL8xj6ZK09R0Qd476Yo2ZS2v6Ceo7e5
TSE//K5CC4mf86JGtSSZ03sXEcn5fRodKOCo2c7skDh7pFmfy8ra/rVjXX8JBJLHYTPLqYUtpeFA
FrwfZQqjQ/Qfk7l2rb9yRLwfWfObmznQLBGtjHaFM3cuWC5wGPzvwW+JqeBwq8oBE/Mg+IN7/acS
mCVvGdAnd3Vfi3Bwjr5GQcIA01fWHWoVATo9glj7WcNRZYMKAwjWH5hpEXxmW+snaOaKK7oYZ+84
cBQ97lSGsnYyZ6ppkX3IeYYD7Hx6fplOuBK7d9EJZtTF4qSucLmIXV166uiVmOCRMY4ekhB/OnY3
nqfXUfA7KhTV2tjAlh3iVvyJFaUm/K2Lfd37BjQjY6wu8jC2aV0GseUAaonzfuWP4IByoMA70cwP
zkzA8o7MHMhomWGzA104jkvxQylXgcBZgw21VYRvYYAAy4ntgu/oKZKtOz6N7Y4hvTjUJtfNyr07
EgCx5ghsQ/DQspzXR0s9QNLhCZoL/VjY6pYtRQ9ZGTBeBFF/6rvqj5tub01lsLTcL4V8CnPS8TFo
ktIRmRWpH9KaU6Y6DnOnfy0ZpvRuyjlMm5sn2k/99rkybsi11Pbo66mvPdOZfIuasP13y8xgmjQZ
J34K1lqlETaRUa5PU9D057FbQoS64Ax741i/log9dmYI/qpWu8N26Sxn/U6aQL4kfHR1LsZt4AAA
fWUsnLt9UwY9/dR19teNsv8YUrZ727TdVw065K3vWU00IKN5TtZGSr4BdvMsxoDKEdek6T8lhvpF
zGH6M63SzmDF0+IcpOFjyk34qrWnLp6FrrCxKHcm+T7iRLmdGvVmH4xfxGNKPhtzrRfiR63VuJzJ
koTazzzwEEaf0o9FriObHiqGjsOoanINsL72JxdvUUzJDQDrmq1QJOUgFH5cgNbSOIgdQa/idsvy
hJ81O1vFACskFkzlbYXDb7Ns/6KJd0D2xLpwrdVXo74SHCR7TXzc/eAhJHYY0hA7w9AuFFJZ0ohd
NVlMznLYvqwNvtvTlssz4f+3Gp6WySkOC/FKyGLZXCixSsHyLXvXKnCu3h3/07e0EmLjxnihgvk0
RRYMpFMOic4b3JAiH8S3thvGb2RXU2Frmu1qxjtMFAzqOP0oXRPkWeWpxJiL4ocXX1QJ+lheobnB
VwTXjei64DaiWRtVNKXxM3/tXdcwKWdW8L0FLNq1mDMmW7/aZTZogxumeELmqW7jvlhJLhJ4LNII
Ny5auyEec5UhXpDPGdYRyth6NBOzmtIdAFfZ0Uuapmq/bP19r6cfQeXO8iIZzZAhpOWT0m59HhU+
PYVvyQNGzx+iYjQU6VlR+p5Zjv7XcKETB+Y6v9sw+AueFR163bBnMfZXcZRC/0XZcrcEv/1QIjJo
BvKtheVYSGzpGOJebz7bwXeecTrMXwQE4cK9CeV16Pw3TV3pHopa25zWE6lkGYlnZ2iD6QztUvF9
luphuKkfSwe0KmDJOQRT1SR1xl2MVwvbsjdGT0PtoGQc7UtdmfHmSOrRWBYD6I20cNv09Ve41UT2
hP03K+yMOCmrel5/5pNF0UUdQw8Q0RSWeXVPcAGTiKjROvje+thv8l86F7cp1zd/EPn+7VdUUGYI
HiNpmfs0T3H2UgoyxIEYlulA2p3HhdbLkQcE5xV4FQi/MbI7Oputw3OucDinJu3vyG+hGWqNmids
lf61mUPSXXSkc4hQTM4fDWLYAwkAgAg0oVv3To4AMtSFuAUNwRPjm4hLQX7BtZOyjJ6LLIK09izD
WydB+y2YEklOS2aiX8OEbpPgCpn4fvGYAXEPsx1nzlc6sVOAuKQddZ7aRM5PVfsvytcvgzeDFPbL
k6uta6uq4SNN/RLtwwA6MC8ud185w4OMy9/GGQXksfeupxwiLGg+aF/M7708m999E5F8IgyorYtl
nbL657XvXjBZvdUhTioPGyV3OafpbhuGz4lI5YemZAb0pEXKUUHQTuV1+pdwwkbgVsZTedzwDTaP
oq8/huxmGVsDaK1WW3aA/L1E4p8NTTzMGzxByJ0RAlTsmmX6V7fNj/DKFmwKpZD0YaMHEqp4Zcps
XuLetchmEDyo6dEu0vkgw8BD1+8ydOvJowyQ2TQeBqs9ymL+z1ka2t3GKrxfp+xWNhmhY/BKYt1U
Do64si3FxHiRqTa6zml2O1T8xRJ19t6UjWtDt3o2pYLl+M9yg+ZQV8w49Yb2ut6CPwXAXNJ2xa++
b7GRrCxCfW1tu5LUlnheA3SXeDxhMQjBOLRr3vzpG9F8E6B203NXgJQHT8GcBVmAGl96PSe3s0JE
unPQv9hOabPkc6htpK+Vb6AbLKDcYygTRplBAOTLcLrZcaokzS3g1TI09rkrW837n9oIDtWaErGT
oRX/YA+RZ9X3JE5MNvJB05n2YMslP1bY08l63Lztyc70/Kfm5a4OVmh96lX+bipIX1Ll2oTCLLKk
gsX/Wdx67uLW0Y96GZcP344QQMsRqdQtk7ipKKFhXRzfYHLfBMbJfZ1awa4tnSkZahh9xu8cr4P4
cHPKWk9oSLzD6oU/S8g1wdITkIrBIo0INGCN8zdswXW4No/jChQ3BNHIf+SzRRHxDMGSlvd5NT5v
Cqsf05zDaFYN3nOTt9ATzSrgS5medlVL/muPLwM2it8kX5AiFeMUAKcM76vU4bNFQWuy5EtzSeXs
HBhtBmBP2uFCnxrBXeDlUTKkkfqpbqltKFAYGZfAepoJmvqrSv5Da+MhtjgX9mhVw8MYAh2YOQAm
TsP2t/Q2b281YmIxEfOVN62La48HjuQsfZKIlO6XSA7nIizCc60UWLlX4mvVE15PlO0QH6Z9VJoT
plkA3IAu3RuIjO1IkVUCvGch9rydH0RALV8E3ci4Cmb/oWud4VclxvFuUFH1PJoyvXfcpfwUgR/h
7bXmWFfFmkTEWYtDOns5JhS13nm++LOhU7OIhduJjm60poys84L//ORlznzwwcjiMnD7E0AJkgVH
cJaHfKA0d5073RbyexZk/K5+oXEHTHRmWeV79f/iLkSC+Bfw8FEHOh9MYYG0RXaa2Iv9s83Tl1xx
4YtSrP+FADgX12Dnhovv7uivq143gapO1MZc0XLLKcaUAu08Nm+bX5AGI0EqPQshmSXL372nGJGY
unZjNHn/gsnndWSOjnN3WV+wbzmxga7a4Syzd9D5IK3NXRGtt0Ahq49NVcjEs0U47zbhTIdx5tDN
DbPZlGIfGrPeTkIT2XshIFjnce0JTADJ8lG2NP504MUn/CPtg4uiBeafdnA8j2ZmO5oKa0sKBvC/
FelMTytB46TEDMz/BPlcZ2M/1cL7Ib1s3Kl8gqdiyI0YGypJBtvSpokJiMs0/WC99kHl7ytpMMqk
bkvtvHZk+C3nPv9g1Ii+tMMFXorCVydMkvpTNV557DDTYPnDXQwgNHSfW4BZrEUosR8JLE3mxZb/
CvniddUplb5+HmqiJJMmgyTso4yLwlnV3eBaJVEBwsJ9ybhNxlr95emB6IgO3wQw41p8UmC8soHg
iozRqPY72Ca1v8WqXsRqr5fA2boDAzf7NqDJXWu1v4jeq/baGd/q0foU7AOHclztK9FV6h398/gA
Ie3iQ8yAsOwqvUQY+LAJDtkf8Buf+QV7Stin6s+wFkvizFW6m0EZfnXdJkCwNCDLpvwrz1eflIP7
Uw/Kxz0wN6e88Tbn4jtZN/01gSULHKrhSGJcZsdV7xQXhXjrrghQPDWL1OiZSjJuJhylQb2aWJUr
YBMnTr7eG+3ZL2Pqa++MmSmNh9Cpy8RJndLEuFEQdJSBWuqkLGYCZGqUZ8Sg+rZ7GTzsjisBSact
S+1XD94U5f1YJxRB02aL7+BKiwXUZik7AggsmybDiEhUQuEP9dZb+y0IdADEJCpglrV3d0EoyWuq
hI/gdg0/pwI8vnLcrNq37vbhbi40EmlSLqBpmqH8XBEk9WlfnSbb/q5y7qe1X+EfxmHdoD/LXn1t
VTFn5Lx2CAgak1MY38+EOYHNPIW2WoDeHe8hLwGmUlG4e7MgkjEzjBwxX9uBanJ15NC8/QnRezDV
0287r4ujj4py76A620MbNPE0e9Gh2ar67xal6lr1ZUqgXFprGY8ubKAKpP24eX2Iv1v5ST+V4aFm
f7tr+nyC/4OWGmXLgJDb/gNVwtHzIPx5H8mJPjsLyE4j11uL3Lmard7eyeTtTlun7SfbtWQcheX0
hF27TXpnI85otM0JHgAYSnrp73ph6ACuZGTYXHHEDouEY+R8L8qCHK52KkDiRH2sw86OBw2+jo0c
xVYY2rQZ+wJFp/zrMd1cy7bx/xAqQJqbD6DfEP648ZHh+zYzWMd8DPJYMjXslYFOlcZu7rd+Rb7g
Vgt6wpwLDSaq4LiHHmlXu8DPniF0CWT27pZwctwYlvshlNWc/agfL5N/e6K4F46gdpTrjKJJCtPa
T7wLNw4KYLPJAUWJQ6NpcGkigoTm/4KMn3rcWn1DdeuDLYr80wSruGvErN6amScE3UWDwFJWLD8W
TGntCQv9Zt4TjEoYckjkCemz0GJVq/6z82L4q1cSg0Dk5xPWkuoyZE3/0C7mj5Aye2CYaHiu0DRH
ahiwSW3tKZK9ftr6Vl5wAZOgBxG5l5NP7IybtfgHscgtIad7r2A9OtzmbD8wdFEB9FVMmb0n3AZ7
zkA6MKK+TaNIJkmZlOLdtLXrbiXmIclGXjYb4P7GqjNZVtntAeY4W1fAjAmXzfZVZbP3PubMazrH
mtEukyT9MYyS2veakwDC2uF5+5J1fitpUQU5HVIAXNB+uqcRrH83puKCYlqBEiIVpuhcc/RIUfyX
IyTb1Z1OT6LBR+o3qPAWMj/gAlhs7EKvTN4VhnQTFQn8mHucNaGtBCR1j7fTaxfguty13LoHqnrg
7JaO5KpZ/bcSc0WEafqQSpzt6dqWe0XuFPqV/B9nEOG4tvlaF+TFSqXuKdf1O8PSFIfCeq1d5rZd
o73hM5PCPERDJq5bW/z16NDkQ4ZZ9tCFlUiM0TzfUa6f2Bq9hFLd8Wvoa4Bqz0Um19sQXnnx02wh
NHExzR8998jeoeDyTLSUdc5Sb8S3nMMFCY84vSBo7kjxQ0qSb5lzu964tnwTit/ssMBJroVehel5
g3yiwDeXzG2DZ8tj2LEJa9dePrKyTR/CcVbXrmiXA5sRuj7dFK/wG7jGFfrggjDjfLdhi9ptqvgd
NUV3WTpVXxBn8NFJVAIAyBBKd/NkX+uqB2cJJ5/JIyPUEGWnV78SSOae5q21n+GDUHiPLWK0BasC
up3b75DZJUPINpGVtZjB/c/Xon3gmSN9Ic9/iNMATi3c7jFIXQQSReds/4picvejC4CqPMAWPWGt
8XvLAUpuGdAJmk7Dxj0Y7NjHZaBcOxsUbGvQga877RDz69KjPo+k02SOc9kEOhuXVIIdCk4EYVOH
6QKR0s4Qp8X2O73UM/OlYzevZvae6jnrD4Jk7iOpn+I7uEnKu5uzkLeHodHzFRJdX9zLxfpt11ol
xeiZgfDXXh3K0l7uSCLRdASW39it07hpBFpeh4IcyjlEQovUesk3knMyB4qwF9Wvoh6RBHsk5gZz
/k3gTZNkaCyIPqvMtWs71ospQtVksQDsc69nmhfIKSLpNMdiG4NDttZqStCmwVBvkYldabE6Ooi4
QmXgM810ibDIrtdwbUn2Sr0ov5381VMO6v+bBoR3ACv7eam3Sl1c3HLiqaonMs7hUFH3w72NJ2ea
1I89TvlzIcPwKc2REiuakh9pi7+lVaUq5TqqygX38Np16NYR7WI/wlaT35TlczkwW7LX9Hdpa/JH
O8QS2AIok2tCMpfT1z8ih2cFy8bTB7sNUU5yJCEE3sdA6/0pJ8TkiDUWj7/MBBEkEYhNTzaqzDZW
KQb0o+XgBxptsFvUs3Lvudl3jazyvElbXYk+zPakb9t4OIYi1pzKcWUieVla+p4D035m9egmWYTR
t1o7jVcoDw+TvbpvqtswxmlGLNua6sRZ9U2Jyc/aeN2vMguRBYcWz/PCK+Xa41+WWqjVzcFVQzpz
YhFa8uosU8S7LW62BJT4vB9kGOlxwcXB2ON7oMd1SvppM7kT6R7+SIkHoDp6t0jgTc5SymmsUqKd
aAK8FV715uKXXw7jVqxf+DzGOBqxPRdttOxSecs2t1fmPxWis3ABrfa6rjCBTLq8i1xDJHI7v+qg
rU4u8fFxoC3YYRKlTk6whFft4RHYed0AOTd0I89QmTkG0lsJuV6agoVAL6Z8S/vmL8cxmeetvPFE
Xfkyr6l59Zu544wqcXOGAYpxmTtfK6lsV8+sFdM++p+IEX4BNS/e26Eku39D35EGJk9yAbbvyVSg
+9jc7og+gXE/jH6yoPmeCGvmK7KL40abwqU3Q7WnnZepr1fkzuZa4f5aCgQD4I/iPSObYhes6H0F
8do4b7Zs7xpph7sSymGfDVsBxGy5U3wLmLRj4fKVTVvgvOLztF/cpkQM4vL/KYv/ABAiVutm2dc6
ZT4wuIEAjNLThsUAATCqOtMD5Fkp9Ee5wPMKCuk2+DjaMVT+X21JSARAs5NjGXUXUcK3R4OBrrol
8fGOysqJS9aaDD8NA65enOpqLCLd82X0E76kPFn96MeSOcLwIYsutauWi8sbRM54v10JQbAAdKNa
MQSkJIhnKb5VgO1lvdTLQOp+0WVHm20sWdcF86DJbmkgxE/AMZcDCd7ZePDcsTuWYem/alfWr2uR
EbQQ9OUtv8Ld+SPGy0xD/MzMK4HDkp8r59cyBv7jSuRsMrs2BuTU4xZzvYQNIHV+iBBd9oDokkg+
mdmvmcnHDzusUGli8AFKH1kAsIlDDlvIIsQ0qzvlWeWbFzIxO5MrgU3m+aBaJGcWWTw/qVVWz92U
kevJbf4dFhhYq4V9kUxxkko1koHKGx0id1eSr0Okf+0i3SPUAGOyImKS1B8DIViaZ5Kl7TtL+tN3
OvjwUjCW6mmxyQnBNjPGdt3/BWVwf5bZ5nCHlTtIp2SRDgly2KwKSQdeAtgsT+7SgY3ZnvPmW9aV
e5i1mb7amRWDcBImbh3+weiLsjtP3YSBAtVL6Csg+9HMz/kQFJduBjy1ka8Zd7lZXFydcwbZ1a8Q
lp8tHgHDtA7W05CHzWMdyuHZAdUCWL0Bw7aH40duKDPNKlHKVwU9DeTrYwvhLU9Cl4UQJm6m5EIH
+1w420PkM1jgHgT0gV1B5kRrmC4Z2EjAmh0gv9L8IDVvT6E1BbjDhv9cS7Rvy0DhgECw9V07Wm9o
sb3x1HFg7L2Ne8zyTHVdcSijjrXTeCwJr08HyrTrGjzTRfFxzwJNqqzGkENiFUdhZ/8wBzGx+fXt
TlaKIgqFPym0SRUYQ8e8pCFKXOLX8icbvzmZ/US5nWe3DI9zoJvTtsjhmA7bRBBHsH4rWiMS3PKc
FGQFcg1gaoUumD5onCBVy2skdMDNZcKYcLLhm97MhJBcaLHdm4HG2KKhnJ4sWEKCBfewth3rwQm9
JWEFc05aTfnvtrets5tCCG+d+b34tuRxbop/LVl8qB/NmNil7hNtVx4O4sIl2ipzE3tDugtdzO5I
UUDiUdiBRhWFWt7Zo3esV9DGsnCOhqju3eri014yH/anTKfD5o4BalMaNbppkV+q1yB1t2N2xd13
XlwrvQsNIPiuMOq/yvLC/7xVQSl2su/ORAKrvXR8fgoyBLLsVzOjQ0RD1x7gIdJTUOK+SSlRObSi
K8mJCKxTlWflochmi2M1aw/uikh5cMJ/k2eRDXVLBQPsIcUnr8gzsUnVmbYByJDcDf4RoAHKc7Re
MtF5l3YtwhdnaPID0ewV3BZaWW/27XNaQeRp6YTP7rRQvBPKX4wYzpWeAOsiiRtkWiFuKnaJWt5j
Gf6BpruJqehKjgsREMM0drR6VNVMLmQVlefaR8tdE6cmI6KZQQLIXq+/gtYinrHjDm0XPDh5tNkX
q+r7T38mfEZiPTvMPE6PLrPQXUkYQKwk4pS6LLP7AF7qqnnquZ4mjQQCb0BbUeW1dMQJ5v5vCCL3
Cfv5H6R/wHObyY6LltN+YNM9RqyBd7RT2JfQWceEm7c/1hvHXqnaCOdno0mO8oqkqMboF5wcpX1r
KXaUXSIrlRRaUBc5xoUCNuEBjAkykwe6lzKSHEg7h4Mpf7vOSDISloB7ZkWeR1fgP7PgC03XocC0
CLUkLNt7ZqQL3kgIwCdBehApdKQi4m3Jb/b0NT/mUjfM7dQ+l9L6w/VeeCSNcSTpcvOSMg2yK5pX
VIEbUCnnMDJbu/MSRzSfwF/ZYQBXjNfFsZg8reICkJcfVitgcGp68W/Lo3eF8+Vd1havVKjmACeD
E7zgMlZJVBfMVpjesNS7QZwiZSLQAnUfdezhXm1Ze80b458yB5VJRqKCIuMjgIh9gIYMP+2MPGm2
kwX5Dk/H1m39Pi83Ar5yfIOtyF5IJDlta4BVRQ4Qdq1pmMXWGigMJ6NjtfWxavBYMxTgGBgtQX4W
IcF5IHTciVacwXtJp6iL/iICzqE4upXxuHoNHi2BOGgCGSITDB9P1QXH0a2H56avCQKqR3EljXuL
CxuYIJJFd4ogMk6Ibkk4sBlkksYhMsAU7cfYwpdz1OZnl2jFALn/yvTcE3a5M+EU7DXVNQe3HYpP
r10pCAE6RL0Jkn8XWr77idLJT8bbPEHSRX+cHDBoEDHvsmEoP5VqiZLGoKgtioXcDY2M2HhN91EV
Qfti+ThvWZ1XpFtg4FXdv0WrcRJOCVLh4F9OUyWC50KMQ1KQzfyBvJNAjzqEj0KhAOXZ2RhYoWlM
PRM1TyhzQtEwkCld2eM+vHFDcovcjXzXCiFzaw9IPcYI6DmcuBY0NUfMaTq/d3XZE2udq3erMeRk
wRU+EB/NVzz1zTO57oRzeCRLjls/7gEZe/LBBSh8peprWvfbW8fodfXz4mkltWJftvMPh4remYhG
Qfz+6zGl8IRgEeZbH9HPTjIiUqAB2EzsGtgERRpTvZx7MgOvaQN6owawSb5M5MfGtdEUT+JI4PZX
HnIt7No5J/kYKVhaL73YB371jyzQjseVoALsogM6JaS8xHPYzybT31hM/hvJuTjrLV8/JiDzPbzs
kqBAA6Rop4hZIJf38GrdcUwXVhT80kQrUKMzWg5q0arr8UmTxRaBXcSEy0S7qoJabHrZxe4oB+KH
uYKUacI/FWGQ1yEsYBAXJlkhtvy+c8CLY+iE5qUPq+YYLpG3T1dgoiis6BUYaNIgeq1+RPWnY83Z
xqyM9Gfpwv8j7byW41aSrf0qJ849ImAK7rYtvUhCpETdILYcvPd4+v/DnjijbhB/IyQpJuaGM8gu
l5WVuXKtHtpOcppVGgAOz1zzrldzABLR3Vg8VTLcJ3D7y2963uhfA3Vi1DLpEjJ4Tm5DqFDvFbcz
t0YTDYd0dI2DJdvlp7CryCuYPJONIZLJ0vj9Hdhz5RsegNbTMDbRponQ5eBVcA+fI5ep6lU07VCL
jlM7uQNKmhBTZQQeaLx8ww0Ta0FIQr+GbB99ONJvqfVFe7XXqm+u3/jfpQxiyjByg4NSBO3GKyb+
y6gFGw0GDo5rjbRWmzevgVxSLCJcA5FLy6nZkrna2C5CRWHe+C8Uhl0C8jh67pAaebKhqQdzP9Qw
V3XuIdML46chgN7wX+FrB4/ClQ5E4rpoyFtuI6kzwMTHMcDYAAr9uyJKC1InRXKNtxpfVC2XblRq
+Me4aHAxBCtKQ9AEOIZXYmjSgefK/8BX86mSvacGdneoyskzxfZL3r1kJvk9hWTOh6I3rVsP5DlA
jZFnqmhVesuACkbso/vQMKcO8joFcDxm8rWaNGgqkK49amoUfFSntjDZVPw7UmbRj0SjEk2nfguL
95ReU5p+b9d9fMsDI3sc+0QcJJTQDhC0oFNgRK+BpBXZtroKM2Re4IyzydRaJNgRSdnpHpzKV4m1
10A8ims/uad/FWKSxqU8ktcqfR6hatxaEP5MFCn1a9BONBsWXKdll4AsAexJIQA8X68F41Y1y2yP
Iwn2NaoRmED0gl0g7wapyQ9pqZXg7TN3/OZmsWDxJ1xHGhQ3XuWFYF0lmNrlqVQUWuJJH0eNymyf
7WxR20dLY6WMEkYCGdYjqmfZKxlm+R+0jvQrI8ye5QKnSMb3P/A5mrXhad4ovY30UdS/WZ2V39Pr
5H9rFL+9V0ZScxRlQOkVhk00AdcpFE9N8khaePjUZrgCSrAIpcfmS1H05aY0+zeFWtB3N3ZlKks2
jx2U18RtUsufB97eGy0ZgyO8fdZE20YjHZypbKqa3cI5u9X9Dk2DIiLsoSOl4XQIWA0n2RWyUfmt
B7B+ExiEWDb8qw2ExSnds506KcXUcADbpDS3tfnYRn7xkgk4eTa+53u3dh+JGwB9+c4YBgqgsjbc
F2FicXfX1oOSki5D4C8+eo0NbWtr2sCCqMBTFUSEY7DLu4Lk8yN1jQCS2PQruB5vL3iePxp+oVz1
LSRyIXVEsEVqckOWlQ7cRM2OrQbFnNuU3oe+ML5BU5/eKFlLe6/WWbDtu+Nm4L32gPIUrhlkOe6C
Z7rSZ+6zYQCa9Myc5EoKu2NEQdNJi5ICEo+dx96k0SBQSDpoHUxEdZhbD2VbcYXaYgrRaAAJezki
ecjSDTKdTFE0oBUyvZ/QkAyuAgt4FW82dWKATq8ajiOkt/iqrraDnR/QkqLXefWsDzBh4lCggvGQ
YwLPKNGTo5CAbYaA29TKv3pT8JwWRfvDgqXxW2I03iG2EUEZYyhZfMltj+QwU0duBw+ZGFFT44KB
NgyB6ZiaPJC1hn/QBWZyW5t0XbsKPW6KCsOAQIE4UMv6tjJpGtBtMbyij6WSZHTFDZAcGsQN5c2C
VCIMTZ7DmlrrcLjVPhTevk2ZSs4eoPEK6M4CzYHsXbdD36sBf5GTUYtBFEv0UysunWZWnCO1kLo9
5E9Q+dR2LKObqIibHGz+wdBa+7pIxvwoKQBpmlEqrzh9BNQV+fY6NIOdpybWbQw6dkdkh0uqm885
yMKrCujMc2GNaLU2iCkGFs1hRkxo5wrUWcg+SQfoPzm9ZkXwPsjWi6vIz2asd7swG8TdaOqf1VaH
aj7mjq1TKhbAL63nhh67u6jm5stqdkqhg9aOpQbEnUA0oAWHcBxsQYdsASiLoivHhRwqEZikQWlL
EeoeKSx/10UaDTmQcfPAoTu7GqoBz19lt4pN94DWFDzQXJWqepumV1BsySDBm/Aq1fXiH6JXYh6g
qdDDRHGDRxRyfQ3lFlsYuiAJABMP2eSrEKUMe6BfXOmhFNyzw7RrVNzGK54zzQfVl2m9b7IUl5HT
NGvW+RtSSTQTt1JjbhSeqeAXVbpPSuAgpPV4pZuagusEdtRHJS1KEb00Enj0Z41jhkdUxM4YaWRp
RUnnVeBWn8qyrJ7kCvVHr7Ciozf0yg7qNX0HXPcf0ADUCKHgvMu4gfZG7cHInleQMdC0vQXjY17F
IbwCWmPj+wf1S9ObxV1FOZ++I+pBlQKq2StI+HeAhXed0v2DqJp8pPPeOliJaH6gZWTcKHZIKcmW
v0HZlxxKWFif7c7+xzctIG4l9Qmqad9B+yp7Sjm8Vsmzk0qC8c3KO1AhokFgqzVI/cnZURfEawqt
4eRWdfdgDjQJCnS9dgJd8KNpo9WV9WrG2c+15KqRNO9R1evkWfB4BEhe9+2ByCm4YVN9K2qKFnmS
8YqwfO4lt5X3nSqDL60UeWOaUrrr6evdiCGFrpBgbtuP9GmCD8z2jcdFWLuUn5Dw8+mYC/pjL/kq
fUHkY0jmDDVCWnAi2kDtbkKkMHYsBe9xXx72Vpz+VNFY3EH5FH+th7x70s1G+qfoyBMlqlbTlCie
C8LMB6ptUFLJbv+F2O8NxJlBzpU2GURR+13ZkDfqWuALYZh9Z3AcbnJDG/Jz8VUWUpqycr+66WMh
oBMuyicfB3Tl53Bmgv6jXkGRVU3pageMg+IKZQ2VDrlIDx/0MeBBkdBTKwKeUWZvN3Tuu4N7DTwA
EajGHMAYk7aUR5hoGtRAAE6BbqrMcryx7RaiY9+KPtUuAEpLpQRRRVwSutwxhyTCtnUmSaTeyhIW
/bICq9O9IUhJZjmKTbhGZDj+6Srp++yKmo20jSI6IltFQzI9Trk/ZRor5A4xojGlmdLuDaABba2h
C17RsF4OKCdQeLylF+VDGEV4FiMdDpUekVL1OWkxJB/0dDX+1ooGmZIOdbUga4gJwN/TSiODQzal
6k6vjYJaBPAbqgeCd0cz5N7eas2fnt20HoXTvp9e/xL8VrRS0Vuj77JuoKxYuCCY4cqFjC40hubG
AL/uERTqTV0igOXh77boZvi8uivlE2CkT8UdKpMNWACkfiqIw0Ez2HpLBVaHm1GaUn+BXUVvXVPD
HWpIMKFDbAiSzdNvqtwjwQKG47s/SPrPsFaoFgsYgKU4/2GRoj0CzcmPCMUN089LftJ8IHatRpHf
VznoUEjAMTgxmsr4Yjw1/N6JDxuQ/LGAUnOTlQbN5LHodoUhQ/5FU+4tKSXy+B3x3KbiDqYjzoyu
SiShIDuF+iywaGdpbBXa4Mgo76huja8G+gkO/1sEDmpf2idNIO1F4w80+YFPAqAof5cagJkk6Irv
kaEFvBwilTdrwdxoEzOCaClWG5rF5Z9q+q1pgOiraG255pXa0ncQVtcRQrU7iOatvUopDxoRzYQz
JNRvVCUKkA/tD1pBk3JO1bTr7ttWUl8pbdM0KVSSlIZp3AiXMJPLgnYnRfP2eTKU93CL6/tyTAqo
IxAPMMuAjreSBrlegy9I5yNuSXSZZxMlCKlqUGlBsBVlA6GNoYPs9OAuspQWxvg2ppxAEzytmGX3
Mezc+k2FvAuqVTJNT4UG5ixDiWg75i5czBr7rwxgeEGS8tWiQH4w3Q82DQ7EepNyiTwCey0kkDU6
79E7koUQEtM0Bg50qqCmjfjiETN8LlIKZWMby3edn+qPINKnDLCnP8t5Tv9ab9v03oMPBB5ZkpnX
qfVSD6cjCyS4qSvKrdHRSym5zdvYTABKFZJaOaDPnPdks6/r4E1wKW7ilsQFCXZxZMOTnBOdgJ4G
CBsE4+ERljuAEzJEbRNZqyQRi4SyTQmWuJnEi2zf6xVEjjCAlK+8iJVjS9M4bdJoqdwUisJZCZGn
c5Wwv1K5vsDGSv2DSZJbvuoLcMmokUVm/pT19Pe6gKzwRuTLVLW0NlYcQwuRWyxbQsNNYOvQ4+tp
8gmM+atZGzicNkH+OEB12LCj8gcMvgCgeARXUMsa0W5MBnjG0Cze2AUts4OPL5d6yMtqfug2LCT9
eQSSCkwvKD+hIKMerTzunMjXDe4Utl2lUlyljDZuqyI09j7aSzeqCsKdm1sBwKI1VFnJaglhFnDA
pdlxrDXrW8Zp3uoQ+m48FxDVZSXyReV2zbIEnajC5N///k9+Ig4PGA6F5QASYyjTIC80Pv3u53VN
1WxV1ygBwf6qnH++EZ7g4T1kT/RHf/TGfJspw5fLJt5rqWNCt4nZNdXQhTzTayfnZlKwbrMnZbwb
rFc654yI5mUaIi/bmWbiXEmdQSimrTJVmowI9vlQAr8c9SGx06c8/ED6QuSIj+GYm+CtoPHwsq3p
N1+yZZ3bKml2CibtxKehf0u9nzYksjaFcIUMfJzcV9UtYLHLFpdm0dJMRVFtjf/Spn1ysg9Ew/VV
gLB6AsdLJ1qdPRAbg7u4bGX63bNxCdk0DY2TbINj1s6tNAqlXz2Q0ieh3ehc7jDY8DC+itWrovt+
2ZQyfeuSrdmIPBQ72fDYyjqoGGgGaMYn+muBNP4ANLxtJBLPlDu677bt9BEJ12plsO+PFrvRMm3N
llUFbzhN+cmUIoyV2MAJOVo3JlFlenV5gAsrdvb52X60KSeX2hBlT3J+FxRkWI6SB3f542Ur+tIs
ngxithMt21Isq8NKkdx4/m4U14345+9MzA5w3SboTASYUNWD8mVq6wp3ly0sTBXXEdtbCEWjvjez
EPek8sBHpE9f4+xLS19kahOLrRhR1PdTRS+ZSn5QARoMS+v5eoeePoiKbren6B9z84M3U2A+WvEN
z/1GuhHNA0gO3369PLIFp3RqU5fPbYIe0RK4ntInE3p5cLNRbgNWEts4c1z79rKtha1wZmvmy0PX
VkcNGZgniyxsRyOpgK5FGT5ftrI4Iko0AsCZsGV9tuHS0SQVq3NsVft1Io7rdlILJYEOPGX8etmU
ujgizqehszdsbo/z2QMYbXZyzYgIqJFqeYL972D81FE52X4sxEddc/dt8+Lr1+jSUaul6CBoNftg
Z/eEEoFLyuNDDJNef41e5eWf9s53mKpsyhPCXFP06T/nv6yPi1qSfFt91tvqc6m+AJn/+XcWpl9w
4p3q/1rQsqfUfvzLr89mlnyuTTs6v79UwB9FO4no8vLvN/h9Z+59NkPT309+f+kaZLVlLJhUJTKk
yTaxfhutnelFK+DbVGNy4Lwrzq20Cm1JiLJpz6ReQEJBlaO6kCC1Ggpo3TdJBWnoVU9qH39RKCn2
euFMuFIvjI+Gxcu/RZ1ywzvweHns73eHQWcn3S8WV6mt2jPXH2Vur8hyjpCo/ckwXsKbv/v8bNAC
yseoo17klFCsJofmd+9Fk8mcLkRNVgnc1JkfKaIgB/yjk+Ydr5r+GPYrO2Nhdvi+BZLHNmUO9Wx2
0KFExFtS3GcS7unGsP7g56uGYXKhwO0vrOkaONl4gFaV3JQr8xm5lBLi4xUvu/TrhSIEfYGqTKA5
OzmR0EK0E3oXes2b4VD2v7+2qj7FJLowBJ5vdkkpeabnoRR7jgHRn8rB+e2DDzTFUi1QTBrOS5t9
X/MFMDXJlJ4D2AChpC+k+9/enKcGxOzGo1leGVJkmiGhA+l4TLOVQHia33O/YpA4hztDUUzDkJXZ
7gFpR4NInXmO3dC7TpPLZtD/YIMCSTJkYgU8vDVtgZMdlMt5iCQDgJvK+27fqzTMX56i904LlhXN
YG8S0Kvy/NGlS3UtDRTWHDwQ8rLA9zQkhdTf36hnVmbnQJGGsi41LXACmJ2gEUtXRrFwEM6+P7sC
ocenDwKpaacur+vgmqzw5Vla+/5sFfjlBM+BCJzh1YTKsFjx0QuLwHVhW/TECZtAfeZEAx2dJ1AI
sZOlO1Dp8S1vOCTWLo9h2oyzzcoFQCHNECq1wnnIWRVlDBwAI3KDdDtJzvQOMFYJK3y4MlsLx4IT
AWOKacoKeO2ZW0oChCdAnlVOYj3wEgUnIewPlwczuYbZYM5MTDN6ciwK9Ofx6kXlROBbD8gYJjTZ
DwWqbKP8aEeNU1U6HKmQQZGGTshn/7553gcyaQrFENY8GKRS7NOQo5aU5OjlKEf4pw2k7R9y1aw/
hDly4PIYhGCCEBytiLrvLptf2I72qfnZ6FNfHmUhKaVzKPrPkfT58ten3TafW8E/Hvi2TEZmdph0
uJsG8Lml0yuv5egUcDojTAkfh201e8m7vmxtabMIxLXgmVHJy/z7ND9ZSQvAFEALq0ToHLgq1dpC
/6HlycqCLWx+W1g6d/wUBhnzzR/XKZ1qmV469N15qdi67dOIjAXk3uShLw9oaXF0HciDxVGztXmW
DPxBUVhdXzq0MT2XhnfT6drKvbY0Z7ohKPqSiDOU+ZyVadCPVliiaggXxjMUkOpjpNQQSYaSvHLF
LW0GU1UZDpAQRRazAMyjdCKHWlY7IFEzytCfwcFfdQYsSzVoxdhUPvTQ2F6eQWVpCk3CaOK+fx3i
PDDw0gY0KkYTEAck6o2DT1kw/glR5MHDftu0n7qweexojGhtePGCq8QWh6I2ny//kqWJPvkhyiyA
qIuu9EmN104NeZ3RPg0Z9CnFp8tGlnzZqZHZFEONWdEKWtZOU+9G6UM03Ogm9XM6z2UHoe9q7Xwv
zq42nTebt4oipkGfnDhIFvQoHxiUDPamrJ9C1125atYszPyTmbqtItCjcwDZeSTOIZfp3ZVj9u/c
z90Uux+gjkXOicvmfBi2acud0IfKqaRHADEZUJ5AebSLN0VLr4R7BZ/ZBsHNFUeyuFgnVqfzcjJ5
rlklaTqMlRP3IJzb61S8ujBdjxDGUoxr4k0BNuTy/lCmDfBupLpmEhhouqHNH/guWGeoX/3aQXZv
JyvXSffmu4+5e4SPL/Gv2wDsmvQDxPTKWBeX8cTu9PeTsXoBVLG5F2DXFx+olX5y0Zu+PLbFA2aQ
uZFNiy1pzU66n9VVJ+Vu5Wi8X4z7BEpS9XDZxPvkrmnYRCKoHZmyQKF0dp9BV0HbBB4FbZaW4qUN
NcOTUT2qzZ1im1ul+pmZXxXvg9S++PlD4q+YX5pES1ZAjQpuA30eDHmwf4xIx9cObJ8y7WPFygyu
fX921qxw6Ojm4ftAPYGtiGblEbh0AZz+/tkxA2ASxRG9nk4zkBunMyLbFcKDMtFU6m0ygSf9ePAd
aaSed3nh1kY2O2rCh2swthhZhszNiEpekl1ftjDNzfxgsTC8e8i7Q3U+233KQBdbAuuwg3ybbbxa
FSEOGhvfL1t5Pw5TlnnBmUIn+jbneSFqkjZSHKJylIOERiztNbvLBt4fosmArSvyfy7pmUMfIc4A
Lt5ioAdCcVQhPyPu/QMbU1ILYB3hmpgGeeILULTuI9X3KqeDjTrax5MK28qt8X41GAbvaIJOsj72
/F6yvd5tYYirnMza0Wche9yG+yhaiZ0WV+PEyuy8JCCGywadUycRn0Ptg53sL0/U+wuCUdgavuY/
MzVbjKbXCJ9znQui+EwdkOgFUUZA0/FdUl0NxYOlrIVLS8s/RWampTB51tyHUnBJRtALlTMAm5c0
ODUpZbcri7NixJ5FQkqr9dUQm5Xj5x9QYLOhLFaeL8/ce0/Dc5ENoJDSki0yT+dbzA3DAmQD5x2C
HamGMnfbUiAPYdqHOnfFqy0P55etmW+Re8uHlSghQqmPpkqp6hBaK6dy+rnnzuV8ODPnEoZyP9Jt
xO2JKkaIyFpjUkjS1Y2K6F1Zrj1JF6KEM3vGbIX6oFU9mo5rx/eeXbxlIN3IubeplF1tIaNdwiB5
W/Q3vbJyoJaO7cmyGbPwNXSLnn+Ek5py10aouu+Efaybldlcs6Keb45Wb0oQnlgh2uvDNy+888tn
7qLLW3BlWxizUAGEetDYkOU4PtSoExkiwpQrjnTJ/5xO1/T3E0faGwVNOQPbwqLJCs50dWUIa9+f
hnjy/bLp69GtCobQf+pdmkMeL0/R4vcnaIMqG+QG5sudZSKToVWrHXRHtn72MFbf/8CAKkwSYRQm
5HnBQgppq+8KjexR+Al65Pz1Dz6v4Sm5ME1eD7MlLns5bNpOqRz49ZBSVFec2OL0nHx++vvJ9AvK
ntbY83lZhX78WmqSw+Xfv3gQwPFSS+e2fPcgB2SsDa3ilo4JfVg6vpbknsg27BvahS9bWnRgU4be
JgGgvnsnNpZcSPToEVZ0gKYM76AYsMyUKqpLdQNMPR6vLhtceNJNCUOGBUZMJSKbucyohsEqNASC
WzFCuKLbhkMLw/tRM28iEw3TidBd2tDDetnu4pRS3iD3Oj1F/i39nqyZCYoTilSyeV0EDTIsAgJh
+eTN0q8v21nyLlNpkCSsTi1rvrM9WGAH+JtIWka89IW7R9T4OurFipmlLaia6gQoAVjwrmYmWXoD
pFyrHQPWEFiru2McjPYfbI5TI+r5Ps9pFq4lxNqdgqRgA1AWfH9VvGXtIS9XQo+FBxzB1MmA5kfW
LGgNCU1spY+++xHmAUDfhwHBU0l2ZPOO9A/ymkMsQynp7oJk5YJbnk8bKNeU0XtXI4R8BEAdtWlH
B3c4Vs09jYpvl3fGkgk4FFTZ0oUgdJw5bdgZlEirksYhrbd5hIF3ZbWWdvjp96e/n+xwH7lzUQm+
b2r+NkahSyoezAYhzuPlcSztcNBuPBIIgK13ydy4MC0w4VnjCBVBbNrbEjTD4qY7XDazOBydR8hU
9LR5wJ0PRx4qaFclmE54R2w8Aw3PrYpqOTm6y3YWIlL8EHUZBGBUmD9nGw85Us3zYC5zMpFvDbrE
R+W6K67N4EEtd8VaTLqwCaCK4H1IololjJ95P3QAaZJN6sExvO/1tkz/uTyYhUlTgMqousHFQRpp
NpgSYHmr+2aP49613WFMruuRzuiVKfs37TYLezFDykWlCZn2uJljgD3NjKV2ZM7Q2NC8l5A+3FR/
lqInYT6o3kHP/IlDc5OH5hbRxx0NnVsB2BYWRLQ1wd7+waiFmLLlRCzmvAScCTkzijoYnCY5gpiH
Cw50cPjlspHFlTsxMt+PkWiVTg4HHFSyecnGP3h8K9rJ92dzChVTGOleOjgg1jvI4BLkC1dO7uLu
ODEx2x00KtQ67TYMAdFHWEPvoCMP6Bn+u4maJvLED4W9NIxIyQyOX12hcBpUT5e/vzaKmR8Vda94
tREzUWgk0vnb3o/2nW3u/87K9CtORkFLs2aGQTQ4gX5r+NJWb+nfsm/EWu1leVtxWgkZdFDts9Fk
ausOsp8NsBbtFHOr/j5wDHiC+PX92TjANCi02bGtlPHQa1dhvPJUWLgNzr4/BZgn84RyUwLooBwc
b9y7Co1UNFIcLi/Fogkd/IhB6gNQ+myKNMtLYr+BmgrtGC3fdwjxKvvLJhZX4cTEbJZoseiTKvEG
JykfkFsei+e/+/5slvwSyTu/YwjIPSKYx7m7/P2lKQLHqhlgTTWu5Nn35Z5aYVuro6MbiA1/G/KW
ltIVfMf0jbnT19lMgBi4JQFSna/0QFtd2ge57ABqhTTa8VKYUMIr07wJ2n5lyZfWQ5/6DwQhOyOa
eSqlyv0k62qZZ8ltJUvbqh1WvNTSO4QHognsiSKkqamzm7iE7CXzeKM4noDxjlOeRoq80WsIBkzY
hUMEGdXqaxPoN2O4BqhbijkYF00K8Nzo78AT8DnXMJOGimNXEw7cCm8QlI3FwabTzF0Z6NJU0tRO
ZKgTELzDtCaQb45kXFWnEfKuAasIS+rlzTct/HxjnFqYbYxqrFvIorHQwfD5EB76n17yB/ubmr6p
UxiT2eez/dANaUJrvlAcOdkhwgv1XeitPBCX5sniQUoJjiIVT+Lz7W26rugh9xmdDGqQBCZWqNYv
z9OiBfYy5W5d6OZ8x0mhlPtjko1ODcumX4eb75e/v+QEqD7pJA4IgxjF+QjgeNJqmo4H1BzDPYy7
bijtpfYPpunUyDTIE38f0JAtlDofnBFNHm2jqn/giU+/P1uGOh7GsLAZhOYdaRGHmv7yJC1t1tPv
zzZrPKgITiDQ4tg8jxQoBpERqXU0Q7UVd7m02pQIyNXzqLDIc51PlKaiCdtF7eBEIUTWasXJ/v2h
kJwDN6golLXeZVKIsXoT1oKONBTat5l8ryEdE/f6HmjKyvN46XlOD5AQGp06oF7mpyNJfA16rqJz
erdKd7LdK5sso3lVpBYs0WoSbFFvq7Zo7qGZIHL7qan64qNqoEnVkw+HXEru2xXPtrCUZ79ptpSD
LoOFqflNRRps6+R7Kz0X6oMlr7yplm6KMzuzyzXopaSQlbJzNFr9+uhJDiGnDDZ9/lhYT6207+oX
AYH95X36vnvENFVe2SRhLYrK72rKukLutYxQVYpQ/kLFNVZLmHh3dALm/dH04s0Y0libfkQGo9Ty
FesLd71KGZAMpMWDyjJnrkSy486WLLNxFPufENkXUHf0WKfZrauvFGkWF5HODkqzxBWEF+fHpIK2
iW6HtHVG9WcM88KEickhdkZC7vKELpxHAJHyhITlsuLJf24ojKsR1roGlarygAKzP644rgXvC8CW
68kCMfg+LWJqhWRlUEk7DSqKhMzHUSm3pbZWzl4yo7MbiB5Iv7wLHeBqSbJCFL0TJLskoBX+WdGc
yzO1ZmJ2rtA8jugewkRvQ+CDeO6NuZZBWDMxO1JaCKFeP2ICNfEhuKXVTlnbwkvrTUGeTUXCV6PG
cL7ekA9nUIZVvQMbjQyN2fbyJK18/l+ncXIP+qqZ5rLG57tXSzzU0e8/q0ji/PfX/1sIPPm8MOqk
d/Gh3OUIgN+m0LV3Kzf50sk7NaGeTxAs2S0tpayBh+LGvwRODbp5K3fU2jTNjvc41inKEmXvNJDg
ISg5hj/+bh2mH3AyUYHiV605nQfRf5G+QqLxB5+fQPOk7MD3zN2TX+dI1cGf4UAaGzc0i9IQ/3cW
ZgNQBbT0VYqFAE1OJKH3f/L56Z3BE2dKOp7PTzKoIoXFu3PysdjKQbJdq1UtXRUgYf/PgDk7Z4UV
t5ZwuR0t8wHuHQhwUUZNdlK/yawVQPhiFAI9KFk+UL4muOzzwdDFP8L0MzROXDqKvvfaay18sfNj
q97BfbCv1aMXFHRh7zvae0Pz9fJULrzapgAI50vfOiC92UhzT0sztPYKR0UbwG6LTYew8OQmfShj
oK0e19ZuYWrJaOLB4DMnazxHPxpQHfAHO3eUBEoN90r491IJVR+iFnBhrOzD6dfPXnFnxqbRnxyk
wtJc2Oas3BG867P0pm0OUvXkxd8j/8WMYGbttRUXujSfp8ObzWdMiNNArpU7bhp/rmoY5Hz1UFfD
jSYMCCzQ+By7lattwR2RP5rQ/AhW8JCcbaCgsgu7l5XcSdXN8D1b+fqCRz37+uysaTCHpI3J19sP
cf86mNdKdLTTl8u7cAkDcmZl5lKrzoYtR8PKMFx1sIyK4FPlBbvG/lmCoYbeT+qPbnVToaR22fLa
5M08lV72VoKUS+5MjCak+v7gSj0b2BQ0nOxAqYJDEWr43AF0UENkslbpmf7/8x1u0RcDCJDISZs3
dLg+cn1U1TNHt96C4k61bsro6+9PEV2ARM7y1BmjzfA5MVpwgebHuRPfwVGv9ysnZmkFTj8/276y
GdKkNCS5A9dd235uYeD+g9+PgjDxuEz3iTHt8JMlaDpZEZKkZc4gHuzq0S2NFQNLLs2i25DghiQI
b+NzA+lQaa3OU8YJsuy2D8JDHSJ1B0OyV0HPk3crj/ClEzlhDWyT5kaO+yzOJDed1rVPn0ZrPUsZ
pOVZvIM70Fx5WyzsLB0ooKAexsviXasQOgG5l1dp4QQ/IROovtHadXldFlwlXd9cBIYANcFlcD5t
ZNhGqR7jwonhrtqUkrjJOhTGoOpFLHdXQjkWSb9NVwFC49Tm7LhHlm7baLUUTpFA2y/tJsmfy6Na
2M5nFmYHPlHgMFU7RpUPiMsmh8ha6xlc2G5nFmb7OemQ1AkLxhBBw+8HhwZiufJIw4C5RmyztAXI
rk4dQVzX6rz5qLIks+9cr3D03rHqe6R6G/14ebqWEhFQ2/zXxpzcASmtAkFULsyyuq4rf6tLLzGE
Z7bxKNwPSYsW1qOurt3Si4vEw5l0gGGR/Jnd0nLWGhGqGsQFFtI9R4joLo9q5ftz0GkAYWySl3w/
tu4FDMX9j8vfX3AB8PT89/fbM4/jt0GpGJ7IHb+eClSqtYuiOybr76yo5wfU89us8wINKwn6ydcC
YY4amfeVZMnaXM3cQKRKRdxYjKVt68+Flt25eXh1eSBrJqa/n9wAVG+L/0xX7u8rysP1yhW2thyz
Mx9IRiUyjYkaK+pGewkiX2kzrp3GtVHMzr3rurVcyFgxvWOCbkS++7tZmt0rTdaocupNoRBPz43d
eM1dz032etnKovc62bqzkLysUIpuE0YRFdtWvlNpopcPYfgYrkF6lEXvdWJpdsgz8CSalnAIbapD
ARqV3YiOm6XUO1ULxD6y3Bwub/XoytG1JTUb1a4+xYF8hVYB+gpokbS++XZ58Jc3CijR2UbMFHgy
UqY4S/Z+uq2ru+iN9sfLRpayrCfeQZln6cciCeQ44kS5EDvvCH7ijZt7zS6qgm7j5/GIdIP+HLHY
e7SCyw1Stz0khsiLePQirzj45V1L2VPAKUZvxGxXKb5hF13Be89Fnzo7oDy/MtrJP8wiYEb7y8Bs
Q9l5rozE8LkTauWzCTNaIOAghBajqJS9UOFEFvah7fWbjlGqyAeTwzyWhfx0+XcsL+2vnzHbbaMc
jVSTucey5s5sEVRB7xNEMw9oc2V9l0/Qfy3N8fKpr3WGXmIJJbLRv83kx9S/yrzb1Q6t5QP0y9Ds
lrFNt2yalplt1R38ClWw4VBcnrXl6//X6hmzOyZyoy51U17oRYb2gfJiZA9F8hDI9yKHA/3YeV8H
f9hfNroYeJ7YnN04Sm0k8OWyJekA/qhPxOh+BFG0B3lrtlcs42On+iunYG0qp1NycgN5qlXn5JQI
OOw7rXpILPIBf3Rb/1qt6SecmDDrwlDLyQT8z3ulbJ50w7sesupQdubh8gT+fzzML1vTYTixNXoD
6IxCJzLwH2r1eyJeTPN1UiGTa0j88m+t+mIPX2L9CHvNyu5fOWfGzJ9A3NrGrcamrJQjyu+y/ZK6
+6hZGeHieulANGG1IxE4x4VIsZaPaT2yXiZqN088SrYrfmvyB+/c1omF2TgsV1fDxON20stru7kS
2VbPP0bSofD3nnI7VCvFzkU3fGJu5iW1trRhfe24dmEDh3n793seJxzDrwmbub88jrw8MJiwIjp+
qtcukZXJmqcgwHtEaFQzWb6yI49WPgbeDzfYmNmdt/0TcMnpULSZ24shR1W0aSi66tP+5m38lati
ZXNpM59XxIqoDCiWHSk+NB7o7A99e335hK4s9xw2EcVt76N2yG2E0sRzG/Yrp3B5CIKkJWwlxrvW
5FxNwh72+dzRyiu3bRHKOnqQuv7JIH4ZmTlNvc9sLa6nsLq8GsLHTr/6u+/PPGarJFWTZnx/0A96
cA2/7eXvL7oq9HT/b5JmXrKiwZGwgElSqqdIujH9N9U7migzXzazthYzT2LalCesaJombx9C3msQ
xq2YmD7x3lmZOEJwSmCS1XN/D7l93XUFVQKr30vdzyg96ig0quYX+PRXTC1P2i9Ts8u5pRgcdDo5
By+8GsSnuv3cwA9QmSuvzuVJ+2VmtrdSZGQ6MyGIqrzPCBVJxi0afZfXZW3SZttLbVCpSQ3CjK5G
9GhPN8FGoL1WWVvD/iOP8ms0s502FCksX/8maiB9R3Ep2a4ySS2ui4ECoFD4964HKOlyqedFhYNH
4tTT7qz0PivujWaFtmXJcdFjoVPHAF70rgeoNxO4xcMe54v6S3+U19Z9MeA8NTDbyqY92nHochGi
Qx0lX5vsGJvNJmifa/NJr76ZbbzL2pVBLc3dqc3Zni6EpvYB3NaOgXBqCvn/QTX3Sfnp9/fbqZXZ
lqaw5EcoheaOKn0qBuRqgJEfAlRa1ogp1oYz29hJbYRlFVckCmzXSWq0K4ryECsI90XpsBLVLsXq
p4Oa7WzTbPQkqxkU6i9E6W50M/aIZ+06+dFSX/4faVfa4yYSbX8REvvyFWy33Wsau9NJvqD0JIGi
2Hf49e9UP703pkAukZFGo5Faw3Xtdzn3nNsTKBoXd5EqQwj8RodxKepuJMBMH6fhCZLXt62s3TzX
I+I8sayVa21MsMPRDWYVO21E3vYvHh4d/T8ABaEjHcXW+XWtlPLgUBsvQmuaj0ZR+Ird3xF4lqCz
+gvAmnFli0915i0U/xTmLVWn8CgDRA1tXkHBY/1O+P/h8NlOCbQ1kAJD1sRO75Tm2db/wg+4HgJ3
JbQhSaYxZlkZ8ArJ5c8alP6311w0Au4CmIYG0hMRLFhnbXKV7//t69zBbwHMAtgC/mSa35n1Pvub
J/l6frjz3qYhDc2QbSf5KLVfTfqlKj5IJABCrJ+Lf1eZO+lGZLaQWJOLc5h/SelXmfhSt/9vE8Ud
cDJaFlCyOHrDeAg1T1SIX804Xk8Ud7QhsE07J8Ayt5TuyhiaUfRrBFRlVjxI6Rd9SA9AOru29aEP
9536FDm/NWgvG6IQWbTbuOOf12DcsKBDcG4B4mjCg1ydb8/j+kX5f0sFHNr8fgmLotVCFsCoyuug
H0l6GKIXJf5628rtYQAiP7cCAcNgylNY0RDpaUdtFLiAou9zx14xSZ9UBWIktUQvxikRgTNXN7QG
MDOgk5Zt8rgMNEeZEB2rEOalHfC1mmsP1UdQqAKHeXUYV2a4YeREUUdTw6tVV18q8h5AcuAv1uHK
AHd5kVGNS5COwI+FmozV/Dbzb//NABvhdTbJbvqmGzCCdNgpE4jkBbfv6nYF25oMtRMFHdnc/dUp
EJaEmCuDHHlxBQGnO0XaJ73ABxdZYX+/GoUKiTXSQwb2XKETYlD2vfE9h8ufWKLipcgQd4s5XUa6
KMB0QSvRrcOLDg10EIWO/de/WBa4D7qBdIih8W29Y99Qa4px7U8SoMs69i8QW7dNrB6R/zcBfMZ8
znIqJySYcOfLDlI77hS8V6L6wOrxuDLB3SKp1QUge8QpN/6ZwP/w+/YARF/nDl9gSfYwjAjxm9AH
Oo8KLlrR57mjV0mVXqoZlkCy7jINtOyC+V/dSleTw528oNHUiljYs5l5Zx/y76+aqBglWmHu7IUF
hApNVgk3Em+Mn1FAzkWv0fokgeTTAhe0qvDJQWjcArVkYBAohtPeo8IaxeoYcABsRwcSHnf5fJeW
cEDThJbIE0FQGvoxrtk/EPO5j5SDQhxXI91OyX2r+ZiMexpAVQ8Sxc4j4JaC1RL9Du5d1/qmTOqu
wO8IvozQrISsjGhDrM2lDe5SRrqvqosGnywOmszo+hTYIuXoJNlOr3/fPjFrg7i2wJ0YiN6mENnr
0vOk/QnzZ708aeDD2GjDRtINvBuqZTB6Mb7T0kgCte/GOn+jhUSOUR6aD8j2WKdiNB3B26KwxZ+l
xj5tGQ7yYgAML9CXAwWrWpJP+Vtaq14co49o8ECVsmuhylg/tonm5hC/ggKllzfUh5IGgWaoQrJH
nRZuYKleTSgA8bJgCtgjwP8sE14HAE0a47Tgb46knUap6Mq3sIaupdnspfiSA0usxL8bWxDRLm4R
TMG1Le4WSbrKLq10KN9s+z1yqAu5Vy+KVZfppm1f2GtLbHNdvbGjbNKyRDn5zQyD/RhBBrVP972w
T2l18mw0HSIeBuiRb7PAlZ4abV6Wb3L2Wx4KqEy/kBAy5JO0y3KRpM7iyGH20AGObWrivxb479IK
YgJqpOINjOBfjYY8QNpYsElFJrgzB5ZkU5dQ/HkLmvyDQgy3DQJBnmbFBHhmDBDyGxracj9Do6uV
0ceuNKQ0K94aKnvFu53VgjGsbLKZAfb3KwMoOKiKFOfFmxoHLu3vcWscht7ZG6I3d1ncBD/L9VA4
/ypE0QHNQhQLMr0YUBuHUK4LihM3qerdlJ+gXHGIm2anJdFdCz1KWm0t1YFHxYYsjgEqFfzDN3WV
Rm51edTnb9qUnSD3TltZEPms7G+GsYceHnL5Dui453NppYVijFVUvA1DcNfF6gAZwQlqvBJgC7UR
uHlNBRZXtgfrr1d05KQALuG5xW3JDqM4gMVMUvFCfwwi73vNALQmNBDlsn5nnnLCgsqnHhtG/tY2
P8ao3HeOiARrZQM6YNkCE4uNlJrJT1pDuyZHP3X+ZiDclV/dnUK+3r7d2PvN3dmw4IC+AupxS4a0
xADr/5DL+RuB5J5e9q5J/smM+qFJBk/pTU+x94NIiWp9VP/a5K4GOjRagl4zPJUQ1W10v5EvBNqW
xnB3e2yrdhjZBXacBVeK/f3q+KZd0YLMocWmBtqqH6ZqH8ZA4/WF1Xkp+DO3PxQOGnoZQBqtpmit
mZuL6jZJQFZI36a+RLkl2fcAQZXyZk5E8JTB58RZBf2njELo3IzU0kxyAidm8lnQnBX1Ra5t6uvP
c4ujQni9hS5A/FYkVfZSGXpxb5nC9N7CIwNFPnDeULNh/QMLUiqIbqsSGgyit6aPDlKU7SG6sq8U
ERHr0lFCh6qJ1l8d0gIgy+OWpNKGHHpDQ/OGlrNdrB1H+sOK7g3jQXYOWfJxe7stZw6XgQF8L2Pb
ABMGd4fXZtpOZggPcBxDrwXMe7MoiQ11KugKIC9iA8DO9110Vt62/SQVwLnoB6P/miePsQ56o+mH
1W9N73KmuKMz9KRoqsIq3lJoxKZuKWohWZkrBVBIqPkB5g22MO41CLUEFG4A4L7FadC7tmQmbl1l
m59v7BqwuOBqtuEg8Ixk2Fbx2MhN+wa5Hrk4mBVa6D1bxLi3MhR0RjCvF83E8Gq4CKkGmlEh/RS9
BUGvPldDlu4NmxSCTPXSioVUEvDXcHbAUcAD8AwEYVMVlMElrBpjBxmHqtZ3W/fv3AR3sdhyJPUK
+IEuRuSnw7k+/rfPcxdLINGxbEAdeSk+d21CN7dVIX5Eh4rDKrisYswddj0z0m5oSvuitMW++xLW
myV9OQPcoTA1kKFWYWVf6iEDhQAybltrtpwB7gapILGpI9qwL0Ne74DWcROXTiBhmzZT98LZU1mw
AdUaxUQb/PwNIbSXIR1tp2/Z+DBmEXW1EQlvdfumnZvhdtQ49PkIjqX0Tb0ro2GnyyISkuWpAEwO
rULIsCLiRKpkPg5tVOWp6h36hoZj1z52cr/5TWcGWCoSRxyeHr/kRhBQrZXom5G8oFEsVn6Q9nz7
XLBPzD0wPBig8QZbJmsM4d/zrFbylNodxVo0aLn1ct1ron3hUMFtuDJXMzvc+YuVIBmhgEPfAsNx
i58kFrGcigxwi2FTqy7qEQaKAYHyoHsK2VqUBX2ljqQHU8vS4A9zq0HDUhuVzuwvYC9DrLyzJxF/
2cIvgQVDZv3p7MVYSB+ltpMPdtIPF73dNeEutPZ9JfBKF9M0N8GfPYRacWbGMKGgMvfiiAgPFtuJ
+zx35uImsEK7x+cD5b79E8ToPiju8819G8wKrli4ouBVXoj5JQZNTYhpDBdyL8kQrUVH/8ZTAQMs
DkVpEzfVohNwkKe6JtrUXcbXzjx1wVswvrciSchlCzCeClxR6GVlbaaLnqwM5gPT7lWQHpT7sTce
0q70IJP7ZWqhdg5OZUkKDvqo/8nRHiZLohd3Wbz9tG8gYQauE8ZlNb+/snIKY7tMVTCEJG5hKDtN
Oybj6KGG5/X6fRE9deMjaUKoAd8F4AEdyNFs/FZ0Ty/3DJsGzLbxqcbARy5JGSECjDv1bOWh14BG
uo6SnYUev2zY6gSwASuIOKGGjunmMaIl+iDkqBzVs/Eud0fZ2JrG4D7Pzt5VxDf1CrQ3Cnxe64c9
oPxRI1IfXN8y2C9gpJKR7+V5qY1Sqm27NDCCHhFen7s5WscDstcd9EPsgRUuzEPWW24h7MFY3k2Y
uyvLLNi5Glww9VRLJl091/J9NT314YNNXm+fuuXdBBMIlDE8ldEFcvsRDZ5lm0eqeia121kenXa3
v7+y0VQZRxqvHYgPEcjOhwCilCAs4LOjqrFvymPyUJdQWxA8dCvzBG5oJDcxBEbUxw1CDyQtIlqm
n6WqPxGpeyTa8FSW0+H2WBaZE8bqj95uG8EF9Jh4v59WkdwocqUDJfa91U+G9qdBC07gvNTqISmB
SJJFzcsrqwOAlYLeaBxTdDZxAyubKcucTDPOOYm8Sn0dSkFCdWV5kMxScRUg0EQJg9thU2VVQxlE
5rmOXvtucvMfFTCdhXG5PXMr48B9y9iVdTA3Kjo3DkObLCtPJOPcOQdV8jTBKESf50ZBVadE1haf
r+VXA+kXOglqD2sGIGvOAPvgnl7IwFalQyo5CIyzWeXuL4uKwA8rG5il/GSotLNqCr/O1Am6KmsT
80yHt4oE4IhQdo612ZeCWIGCLQytZbAILASE0gmFqnwwzzKg9E7uJeGvzatswTvAhpKhtwx+0PlZ
H9WMKENfWmddObTRTheRMK+sApIgmH3ZYXIEfMEkU+Vei5DLO6doxkFdcR/vtw4A7OJoFsIlAiNY
jfkAzNYpkwGso2ct2NWZVyabH6vZ9xeOYICHKkE+4SwrD83vJBfcT8vDDJ0uoE/YOYaGrcbNf+b0
tdWYSnDuU+KWzvTsDPWz1f2wRGI6y+06N8T+fvUu6ZUddWCED85xuM/vpWEvkshdGwkjlFdBMKst
WV4H1Yq6sEyAOnEyT4m/m/pb2LlKLQsejuWOQi4KNhBigFBjQRPUoGFbifUivEy6lwUPkX7evKHw
fZTcVCjBgMuSm6ikGNSybpvwgswg7Y6xiIhs7ffDq0IWB4kQHGxuw9o9JinXSHiR+sw3muGegsxS
4JcLbPCbNgMvT1hDRO8yooe3lw+OJdq3SwuApiOety0Dpxpu8Xw7OWnsSJmj2OdmB/B1I9qt7Paf
hdvIElx/nm22q92qqSSLkBSxzyPd9+rgaansae1zo1leoCleuD3cgz14I9Bth7+7IPxsQlKUnUoc
0DzbB7NxDoJ7fHn65t/nxmM6U1JnRYDxTJDo2QXtk7z9vZub4N/rMUk1hcKEah6kxi3U0+1zwf5/
fkkYFTYjP9PMxXsaTEMdThaVzuo0QOYAfmd+tMNjHzw7QbjZw0We6MoWlwUZCE2qYYQtu/aRFnYy
EVxgZfsCwqKijo/gEXVHLv4OrM5yCskIzvbXGJIAcrSZj5GpWbNoDVjOFUpROdShsWI1wbm+z3Vn
P2n9/vZyrJyQmQE2wqsTUgFVUVdBHZyVmN6FrXUPnRoj3VXqzlSbY6DZh9v2VnbwzB534E1pSBKT
YkCJIf+KaHskUXock+T3bTNrC6MDdKAwMXBw3nEHpR3KrCIphhUnr2D8MAW529XPQ/sEcQ128oKU
Ok51ArBAEUCt4XuGhv9sc90P6w50EdieIJAKr4rbWD1R6tK0s+BcdUBKHUp1s1cLFXOIe6KQAaqf
ReqL6O3YmrVjnLVq1ylekuxuz//aMiNSYgln8Osv8pxdDuBBWJj6OQmzZ6onj6rW3oWls7Xqz0Ky
KzP8AY+qvG8RHoLbZyf/I4u6Etku4e6q2ee5JKcBYnOwKjr6OQMNZEmoN1mxFxp4qESkhavzBcYA
3FY2KqR8ta8BQ1Wcx7GBpsTpQ6bOU43OoCaO724vy9q+RbEPQTciWcAyuMu9K5rWAr+2eVa6xqvz
Q59Yf7PwDjJcrDLDkFTz+wRcGaQApRM21jRBCKgEf+l+FF0iq8O4MsINQ5fTRO87GAEHtFvbrynZ
WoBj++rKABdVFnFm0zCEgXZM0U4Ru3/hKMwMcN6bXOfo3mDTBPaynfNkOdvjGcZ5Bi5sVp5G1pa7
Z+U8ifUosLSzlk+nnkj7qRBE3itbdmaBW2lV79qAiTadA+l9rPdVcty+lXC5arilQA2oAEfEbaU8
KVS5IeY5DIaTBAGDfChdtTtsPhJQeNDRRQEgIygGuL2k1oTxiAfmuYge9Rfo223/PDKgkJEACxiq
DVzxLTXrYOjUzDz38Vf7RdLe/+LzwBAij8PQw/w7EeVKnvUt9hHSxdoPMn7c/vzKBWgpwHZCJRyh
5QLkGWpOmkyFJJ3NH6bReUpieoUxerkjqqsvu2aBElMVPNeM9h8ALm6ecsVKpslopbNMpr3c77Ps
QS6fyXBHFOpZ2k5GQtzOBc/Hyhb+ZGpHktqBaInFGZ3USpZKOjnnPnwvTWOvF8UxCTcHgkCMwXf7
PyPcUx5qMuTemJHMeMkPyWZsLPiJMXGARDIe+MX+HTVZiiYw/J4tCv29tnqikbyvu/QJJLKCkHll
NyAPDgZ13UTWGBKK8wMZV5JjFFMSnJ1yp7Wu9Hu07ogIhsnOG/fmAmEBwBCAPBaawbnzSPuKTqQN
nPOErnzL+TBNP0hO2tdYEcHuV1afnRlQRikGSoB8PUY2SVPhBUN00I13FYI1pUKzXK3e3T5Dy8cK
tMsmYzcFdSf64ribGGznUaUHY3OJzNr1e0iQb/++rkAWHPga4B/51NggGcaUd2lzybRf6Z1R/LP9
80xUFW8I9MdB5z1f9BZyP8OQ2fXFGb7Ykafk//H73C0fFFOuVTW+H9qe9bZZ09YxoYDD5h2/HwEa
90j1zjRMQ+CEb6N8qoxDvdlPgJgAph45BgZ35efeSQPgpixSXbqjZaZ7pxIxSS03z2cMgFBAV5C6
5fECkjoGyKmn5QU4fifay8HmtOT8+5wD3cihGehGUoIYiD6lLslKgYHlIcPMg7YBOUGk0FW+BmhT
JZzsrCkuuVP8bNrRczrWkaD/uL1Ll1cTXg12C6KQjDoNj52N0D8gZ11SX+r+O9U1bwTSOAAqIS1F
Va3liny+T6YF2jsHODPuEnSqKuqNosFx7u5Kxy1FVI+i73PXBak7iWgNvq+Fu8Fyya/bEyX6PHcg
BsOGCmVfNxcJhWbjB+TJNl9HwMaBkYY95AAv8mA/s6+LMrDl5pKCEb06Kb2oYLIyAlykCO6xo3Ai
+K7dPOt0Mo11conTb80+2yw4CzcHpw31XnRKMD3i+X03mfZopkURX1p7V0NGQvAarJyH2ee5+Seh
BPs5Pr9LjB/lKWu/b17f2fe55zNJay2QenxfBd3Mz8KODre/v/b7DQfejMnUvpDhnk/POCrqNEk0
viTRXh/vlGA/qIIk5zIlBWScgl3EMLwIVrkXoXVSO5zkOAYw7mKT3GuqyGtiEDjbFpBGmduL2ndX
dhTQqQBz45aC1A0ffOtdnlSTHcUXuZfdLDpV3eX2pC0NOKC0QXka8RAqoDw2ta8D9MBKBtpo6Wvg
6s3mSGz+eWb+Koc3Ehojm4TPT/FwMIbRzZUGGjSmYOlFo+BOBk58nSN7kV1KN493UFW6PUls588d
v/kouJMxgagR0RI+n+ija+hfpf3YfgOiePP9hFQtyvgIyODyo+A6nywADEGUQZLhUuWFayXErQRP
0co0sUIiGkWRdlyCmfIE8omtOrQX09Pb10TdHE4waR7UWSHZi7CFD+xradLsLpX7i0Ie89TxojDb
vs4sYgEsRGZKj7xfjJJJNY61M14IuQ/vImdz6pFFLP9+nnMoo3gIo7DD51XzvU0v5v72NlpeUPDD
QOOBThCoBcIjnq9vVYylZJi5fAErv3Sfy0rqIp9mA+rUVEICU36tUSmGmDPCVtPAZbiQS9ITBHdp
qU2XUjl9SZTj7aHwJ+Lz63DvoHyO1CC8m/lQTGXsp7gop4udjvYLGPkLX5GS+s4sZahTJzQovdsG
l8PBUGywubAiPrBB3Ny1tjWhG4T0fvQtt/dhKQi3l+OZf557OyLg8+O4wue1ERpZzTdVR1vzIRJV
mESj4KaNylGlhAbMdLpX2O7kCHaY6Pvs71fXLQKO0KkJvp85qLWPD3UiiCr4LQzPEvhgnD1AndGj
x5d2lQAhfDf0na+UF8XZ2TIO+evmlb42wadbQi2SaIUcqq+oblV6IjbalSlichho6nHYMeSdwNjR
2pJqaee38p2dPTqiuu7a9wGWQGWEoREAHZ0vQStVSt6QqPORRgUfXexunx7AQD47CTWcBoVzQVQQ
Ntka1A981rpI0HGc/nN7/pkbdv3YYYlRO0KwjodfB8qL26MN6WpiAKPhG8VJCtBr6gb2CW8dlS63
Da3MFHoVGdsdvFkmxDSfKaCPE5zooPGJ6QbhThG4HqLPs79fnQVq2ZCLK/D5PnmX+h/6VuqFz3m6
+vnsqFx/fyRd1vf4vix/Vyo/9m/PzsqNBAwFEr9Is7Meac5blkyjtkeatT7oYX6URX2wesmVWusA
cQWB37FyqGemuGcv1VINFYu09Ul5ULpfSbLP21BgQzQcbtvmRpeb5oDhKNEuiHdSsndKVyKCEIb3
zz/X5N9J4+8OyI+QCu34rT9UvUtyyQU3kDsZtReTP0p5aohoWGuHBY4eWyi0Tiz6B0ezgAplWMV+
EVrBD8UeoHQZFVQ/RUkwPgxxOd4nSp+ISB4WgG0MlJFyAPn3vzx33HRKRQyQR2HFflVR/QVy7WaA
1ySzQM/RQ7DGcv70TdQegsQsHwtMfeRmUjPW7mCb/UGqWggEBvGUQaGlTg+VYYWCd+ITG8jdIvBX
ZWTM4RICOM+9105SpkkcpdQvm6K8s9CRCpX3RjHvi6zX9qMKJtjG1kGdWA7tsbTR9JsoSniAgsx3
ADbl310yQWtLKqSnDCG7GycOBRQ0LX/fPmUrW3/2M7nbWkHvUVCi78Wvx+i51bPfEpQ+1M463Taz
chdBPAq3NpiwIPxmc2biuBmcUcUtob5ayn6z0BZ2gwWhGtaIC4SMwzuWE2kMc6jUym8OUnBxCn/7
r0dpFoAlNCcsK8CRqqSlXpeVn3SekeyM3tv+fZRl4VHg0UTcw111ad9ZctnR2tfJQ3xs07+Y/OvP
c9dbENdGrtX4/GhcjPS9FOQEVtaWcbqwugDQEIu+yzElUkMkufYrbWfH+9ASpCkF3+crQWUtZSQK
8P2e7vTA7QX+xMoJuP75FndQs4YUeQ/CGF+v61PSQoTRabxxsjYHDAq8RdlC3ImctPlZZLt6LeOy
GptcNio/M44TMdyp8olReU78cXsvfWZ5uIsHlSBTB6WIiT5FvmiaaYFZhkqT+fg1mmc3tuYpmUk9
J0/UQyQRxytA+rRPcHM9RE5W7cxk6HA3gRn3F6D01dmKhu9aMKZ/ppHELxDR6C95GZE7pQvtlzK2
hkMd40WRwyFV3aHSLNHlvrIiqGawvnoW56JMPXcseinV5dDOEr9r+5MOgfNjmZBpVwXat9tztWYI
jZco/wLFowGMNjekp3lqOaRO/LrIui9j4XQPUB+jr5NSiJoUVp5/rDrAlDpgp0t6B80eEpIWUubT
4djSU1g8duR1LARR3MpRYcgOpMtYxwV0RecDQjYfsp2plfkFeVTsAxW1Dq9N2PX3uZukhB6kaef4
fly+qs5TGT/bVHAcRUPgHnatbAe0wMKErNyNL2a1u73kS38FLSkIG0DYAJfF4DEwTtqqUWNqg090
V9W/o7Ioq/sw+ph+3bazHAZrfZGZRq2msezifCWaiaSWAeIYP4+PZE8rwW2y8nkAt5hoNpCaKOJw
C1GrJbFrvZ78of0THautLQNQvmAuCx5SALGxl7h9NHRGR+XQ6fwaCgjae7YZnPm/BsAWBJwp8jML
f6ADaaFpJL3f179U61ey+UEFzB5ZOASI8JWQ0prPfjVOqMtJI5IlYeDRO7DaCwwsDwIMMJcXqDDk
9DVul/YWDYEvLQffoIYbVr4tn4N0ax8vJkkHeR2gQsCR413lIBAJmrRiqySG30DYE/dfI8iGLu8k
qPqBcgbpMZCloCA0n6WpTSI0/6SmbzzW8le7SPbUyfeG8n77KCzwI2wcCOBwGjBlzMPh7AR60EQl
sfwq8pV/wOMs6YfqTzf+AhfQMcwFnvfK0YA1RjSEiHpZc++zCEnMEdbaCIylfp79xbJgMKhbo5CG
R5ZPQEyhY+fykDV+opjuk1NuZfDFdOH7qHqgigPkCO8NdlAeqaKoaXwAmz11DyUmweZll8PcQ2BF
NGwqW0WbOyCy8/UAy5BF0Jvc+GbUAzr50pCXOn+w36SvBZ32txd/ZTVmtrg9lqVS5LQBbEk5klnE
k8qtQFA2XWCZAPzBYSEhL6GtD5JujvXU+Ib83Nba0aadO1gKaExEukBrY0HyGjw5gEmznkZu3qok
RQhTIbP1szHvQutu+1QhPMLF5aCRCony+edDBKxSGFOWIXBba2/Wm/10gHauvs8tRa5EAHEFcetn
04MUe4klgNOtbSu4t2jbQSSwTCwWhQbxqY52fqz/zsfvdfSrqD4S+Uc6/DEUkeTQgnqRLTvg9Sg3
wyEBFw+7oa/8aaOT+gnsh63vDI6b6Xs5PtavI9gkG/ndTDwnOWXJffFRll4xen2wi9MzenURv6Fl
8/a6LTqR+Z/C7Ys8d5xWlbTWH60CMt/PnfRjJD9i6ZkmTPHBaPwpelHJ5bbZlScIBxhUFYCRwq3k
iUlBya5VKY1wDX2rfwCNAMzAbQNr6wlSQtQ3sGlYwWk+w0Mha5IOsjvfspp9SY6VU526qfJU/Zg6
5JDb32/bWx2QwXDpIH5gPShze7JdkqRWnNoPDOOlkoLdUIxv3Wb6DbZaCC+QjQBtArsF52b6Ic5K
tUD4BSYBqbiTROhe9v/ztyv6OOGZwcNEsoNzDfQJ9ARSGFS+XD3Wkbnrxy+t/WgWL03ZHLbPGEBy
jslqaQxiOB9KVuhBG6oqAvuo1PaTnqtuNPYlhC0tEdUpW2xuVKAlZE3JSLXA4eRMGYGRm2ToW78H
Y9S3jA71Xone86DXdmoZikjBV+aQgcJUFLpQ94fTMB+YCZCElYLGy5dKYCYJWMHvbfUYTaCM2xwx
Ye6wHT47RfAcco50FFuR3k0sYRruk6bxOttwby/Syqthf5abUYZE5MFzOtRKQNJotBo/yAM8TLuo
EnU6sR3Frw3QNtgH2NBLCXInTuIhl7Leb8L0AN4714qHZ7mLj93ovFArfzK1snTlUBZsv7WRAb8H
7NgnYyE/sgR9MGGn2q1PreH4XTK3clTgpCKE+uSoVNEOyhe7lX6o9CkfOp/+kaKDLEKzrtw3iMRB
focYCmh8mbsIVDkcoc0xdf4QaK7VfoPcsReOyvblZyEUMp/AmbOepPlWroYm6LQCqUnyVfmYfm7d
W0AVoxUXrwD63BYQc9a5aRcodfpdRx/g0z0gDyd41ZezNDfBeSVtXttBjfse5JC9N+X2EbrgT9BR
EiAPVHa7zzcxA0gjFYOVRtDMoynbctBHLamJnwR1DvGvoQMjfKB71tQ+W05+0pVvYVnvajXc25UZ
PpYBHX+GJM4+bMgsHBxq9u4A2pG7oNV+gkUGfCB5pu/azA4PTqKLsFbLxxGcolhNhodGhYp3P0I1
6fVxColP4vQu1CvPVu6yaTx19nAy4bQD43h7qVcqHrCIO56xz7E0IreR2q5MHBB2xj5NZMXTFerm
6qO7awpnF8tFv7eSsHdVydF2sW0CZxRq/1SlPsADod2+b0grcA+Wp59R4DHuQB3Z38W9JsVlPBad
HPlZfcq9gp5uj3fl8zb2Neg8gOmEI8cNN9MnoshRUvhl/zNBt+vH7c8vtzUurqvPc84NyO+LqC7w
eUq8IHa82Ox3puiGWT6aKFChBI4mFZO1oHI3DPZNF9h1l59lfZdnxQ4MbzsjPjaq4Iwu52puh3vE
9IEWqdTCjlWd+wJiEL9uT9bK99nZBGAUHM8IT7hxOGaaIG9Gybn5xzQfEGrd/vzKNOHyQjBtA7i7
7NRtY6uXO5TckSuzv5vyeIi/SFF1h1drs4eJTgIkIdD3jx0LCZv5XRyW1B5J2gZ+LX3J2kM4Hcx4
86kARRZSyoA3AUKAJte5CTXXnKFAHHcOh33xkYtgOisrMfs8dxvrmV7mqoPPS+W7/VE0gtzJSiiD
S4Zx31mA2LLDN//5U10CrYBOSj+O38YEpVx5X9KHPLi3+6eo0dxEkfdN9eGYohL80uMDwQDcl092
WHNBmRBNaj+VFqW+AQrqqRjeQa7buFFvVy5ttNdMq3e3N91KAMmS8UjHQ29wJYBU1aJIIcce+5DP
dMf6YSqoFznHLjJ2+vDe2gddeoIm3E5T7xOQzGfKN8cBnbCxQ3GbjJ6afrv9g5ZLy/pcoJSOjA8a
NPm6DU3BRDMFHYWM+aEOj6EobbW88ebf5y6JEhysjkxb6jflK60zt25Llwq5l0Wj4DZQQQ2HgpeC
+iEx9kX5UxGKGwjGoXNh4pCOZmiMNfVH26vy06DeWSK46+ogQAbJglCEIfwhDjXkj9JqpH73K7YP
jiJIxKyO4Orz3CGuEf46CUjEfGSpOmCmwQIpYqha8NiDa5dBMkDPiC0FT4Vbh94wk9CUdOqT8b53
CrcxDmn3iH9b+jFL6Y5mntW+6tO3IRDxW64cZfABsWZp+HHIOLHhX2VmMkMdjMouqK86jwY9kCn1
LARv8gt6fQQRyKop5lWzBAWqa5wpXe1QntRLLFSxC4NdS90gONLALbrNNWgN9/q/hjh3oVWNMtML
GNKVV7t4qk/bz77JPAVGJ468Fr+n+6or1Sb5PPstPfSCDbc6TaaG5UCjG1IS7O9XK1L1DVrCjYr6
kuZBl1161n5CqTETKU+u7Wtko1B2UVB0QYVtbsYkelkkOh6PcdhZzk7tXBBW3J6o1ZH8a2JRRc+V
VO1MM/bDbI/VztVXm3hdsE+EQfXSKcGKX1niHvI4GIM+Mp3YdxS3iQ9JdxghSrtV8ZYd02sr3FVQ
FXVpZ50d+yAx7ns3F5XSV0eBxA1SHIB8Oha3JFS2e0k2I+oHk6chJz64WXoycoEDt7rwAOkh8QvQ
PhqM5gsPbvEciAcDqwKtcTP8ag0nMP7dXvm1Oxl0hYzUH6AqmJrbQLzTaqNRZD4k1RRy6ETI4bWZ
uv4+N4asQovopNSZPzlvBgiACcoIIfo1qCNSxfpMy3GhLrhUkbpGphwknPx0FWkaEMsOcz9Ootq1
ev17EtnQz1E9uUAHR5sfTSD3qBbdZUXjNqXu1lq8r62tDYbYfGhMhao3rhxkefkEL0l0apsxSu1q
sK+sgy3yhVe2BRxhMLAgTY0+W57ohdKhLUsjTX01KZ6LIPiHOs0pHcjm6AfQDaQLkVtjGA7eq1fT
GqjyuIaZ6J+fhghPs7LvZl9nf7+6O8lUVehSrVI/Ur9Qyxe1RIg+z21rbQB4qkIi33emd2dvJm+3
T83aEoAlAG4APErQc3O/voe+Wzg2dewbLVyNi2Rctnbxsk10bYEbwIQ2NrUumQV9n+r7/v32AFaO
5ezz3LGknUZIUwJf6pTHetg33ZNpxLsqN93bdlbyOegLQioTdQ6gsfn8dtVMtkHrOPbN5jEeolMm
FbseQucEqlmpj5b7v7EHORSGQ9HQocw9yXUHPY9BI7FfppELYuN7i76rwxfJ3AfFSe1F2aO1bYaT
DlU0KNig7sFFvvFIU2OYIsBl40PgAvJye/bWthlwEEzBCtCjxQMQKnKXDl2Clz8tdpn9UGevk3q+
bWNtJ+ABY7kv5lzwgNq6LvQqAnWKX1iNV0ClOeguAIl7lEq725aWo2Gcn8AqsL50himdH/lOrxyE
MXjOVFrdqdlbqyoQEflz28hyReZGuA0wmlUD2WZ4MkCFe4l20XNR5lk0DC7gC4b/Ie26diPHte0X
CVAOrwoVbLdVdif3vBAdpilRgUqkJH79XfKce8ZWCRbc52UwgwFqm6RIbu69AtF6e0KEUo6oCaVB
ELm82al37AVZJRhu39duTZHzWd0pa86K3+p7EuebIQASglDDs87rKhMzZqogyYPl8LSDUkY4Qm4k
MN/9+sZyvAiySsQmGjToeyHIyL7m2a+O7NS3tweBd9GyBVFEW82TYrbT6hPmSTOLqKtaCKYAEDHs
5XsbBZxlHP+NsyYA4J0iYMWAtHV4YiK0i7huj9Nw8A+jF/VfYUdt7jEANuA9r0Ou1scxpcqhw8Ae
87oP2ZyB9HOW1Z2GqiowEtw4lBDnLoZ3Hwevo64WzJpGNYwTospFazFu5pNXhvb7IR8o4oHoDAFM
uEleWZfN3eDRgWuYzpGGE7k3sp/vPwZgXRrgcblAqNctXM3uuMhyrcTTLAsNciHZzmG2dc6g84RL
BogVIENXq6PIiAI7a6tHrbkhgRb7tTi+PYTlpHqdzto4I5EkGZAjwum8ijB5s6lg4F4+iiEu7TLy
2V0z3CiWR0H+/sEsbS7UifEUR3Nr9U6uKjBJ3Gakj9TgiZXdesrdGczGdL2KsBpMQNVcDhoi8PvO
Shrv8PZcrS4xdIxA4kSvEdcLiCFXkLsgqHvFOqLSqavyaGycxKuru6BhP0W158myOnKuYi1DfZG5
Bry2LBKg7qI1KvWt/ii76dF9r1PHf8K4GM1SWAch73UYraGdlReuSuG5ZgLWPkTl5Ndh243f3z13
eMmi5wTULuBx6+8MPT1DzWTWUsu8U83Xoru3hu8929sw69LZMiAfFGUoj0EiD4+K1fVvtUPRinHQ
Up2beG1OoQIqLlC3tcNDu+oiJo067rrJucs00p/QlxOJL7W9ivgqI/3nz8CjBt11QMKuZBq1aeZ2
WVVaqoSB5n1CeSJzEmrkIxp6YdPufJkbXwveUMCmL/AOH+odr5excFxNN0yMOi9vmH9jks9iTzhz
J8Taqzloc80BYkVLG/1eK55M99jb76sS/GfS/juKNdS0FJVw7G7U0rI8jGB37dU294awunUgeYE9
22GWZMHh8yzCYChDc898fWvpYQQJkyn0J1BLW20pW+eVVmk+SQfrZ+aXkRFcxuFsaLcBtIV9+k6E
yvOkQckUlSjcQ8iwV6lozTLTooFJ0lF9y1Huars9+79naOSLO+IqxCoXnTXZCJMhBLxVAIaqrC/F
WN+MzMlSrWyqUz8DxVcMvOtCuBJczIAW4STm79bkxFoDRWhiPfIcIl3KF+/ML//zt4GWA/480J3r
MkhnscamhJC0VLfcu1NTBW2zvQfYxsEPLAuYbyjBovvor7dXB+WMftb9dKapOn8it1a3UwYB9hxb
dD3JL2Ksb0eZ8dzuQdVMzck30rmci6iW+hw1Y0DD3jfLsJqan4BWBQfpW+MTd1ue9JPlnVFSbWII
ZnzLcmZGQNFmoFA6Xmz0hg6iD3cjpw1YLCtHQuu4t25MVjWnVjfFmdZSi4D67LJwMD15BBGM48mM
LQ6LK12Evi7c0C5pdnZy8F5bC5XauZJo64EpeBrKpgWgMAfH2sn/8qRrJJOQdQxxJzdGMzIsXWuM
e+Frsb0wNmjUGiEn+uPouqE/Sw6d8CkLGxVElV529wWjWjhTDjhkV2OHSjgBWrnthoVp9GFjWE1Y
iam7G5lR3ZmjN570KdePLHA57H2CKuIi0D6AcPbU1h7Ms7k/VU893Ox0WP6UPC6pMQ9hP3fasVXN
kEiLOclQZM0FzsDWycod72tFM+sYQG8rnkU+3IwdyW9q7pYfDKENN5qP0rte5dAm8PQ+zTLPiAzZ
0GgWDjvmmvcFCijWDRk9eHeZXn1jq56disDpjqLSmyTI2v4eNC0j7q3cPfAKEgdzHpAoJ04ZtW2N
+azcIa413MQE9ZOkc636MDq1fhg8bYqVX6l4muh4x4fMvsktt4moMIrTZJImmQphnlXm6iH8WoNz
VU5mPAd2Fs3NNMVTJ5wwQ8Z318ydwAKJ8Y748N2Y7NE96koXn3xNa0JUFUnaeYwcRhDJ0h46bCFU
H/KwbJo2xEoasa1raLE65N4iQ5n0pOjCDsqukZHp+ue3E4dVgrpscDBZFrvjhbGBBOL11Va6Qdvn
AA2lU+5EGfHjgsxHiJbeSQIFrLIw9q7ujVsCAbHJUQ3BTbquSBrGQAEsG9yU5X5YauqTrekf4GDx
++1xbYYBPgY1d9vF7lxdE3ozM8ABiZuadgtqvGE+CdMajtx0mtMfRAKbBq1QE1YrzuraG/W26Pls
umnPhtAj1iGYvcPY7s3b5iGJ/AO8DVx/VxgwoLRyOcAHLAVJNvKygkajUcWGnL4wYX59e0hbd+wC
/QMGAOCiK23O3HcaZJSUpAEUFEMc2bd2WXzQTDiT1j4/FnMRG+Ueym3zhEaXH1O4CD6sU9imzEUh
y4Gk5l9+E9bJ20Pa+/XVKnVWoLjG8esuLyOTsdgRO23QjZ20EBjBnluwGleYL8Aoy0A5E0mNqryB
UMkR+h5xHTh4tiI51nJ357vbGhGEoEB+gs5wgA7m653reyNTshZYJFX9LWAZ3bH8D4aE2hKkC9Af
vfYQmjXXFNIaSVrD4Gew9TuPA0Br/GqdIcm0YOeS3tiyPiSD0MZCboemyCrVmkhNWMWNIIVUW6yp
4b5w0FtUe9KUe2FW6RZjoyxnqYJUeWluQmdihIDJXgl762N4OZZVSjNU1uiLGUGMKuXjuWpCa7pr
xtjcI65sbdUXgdbEgEYwNUkfgaBTP3oPI390KxryzAJQ6Hfv7GCgduZufaoqd9C6vAdy2pLBZ0tj
x8GdbwnuzLc362YYwF0BW0DjAdIIrz/tnpZIl2BrlM4q4uxSWbGm7TyGto5TmBkuZgIAOF3JqWWj
aGxfmRgJWJAgE4YNv/E5i0zj8e2xLCu9TjzBIPTg+QusM16Pr8dCnFbWjUeDVDPvhvF3jnTOym86
kgQ5ck49KeC/8b9FXIb+orZhkpYJkiFi0LeHBlVtr3mYnL9EMIQjP2UmmjfGtBNz8zN8McrV3nVH
5MzdjJitXUVFDe2y6osL/SHRVIe+bKMRmqZvj3JzARdn7sVmBNDL1TeC7gCI8FlGUiR6yihi6mTh
SL6x/OcfxEGrFloqAC6iI/V6Nmc50KLSgiA1ezeelBO2zV/Q0TqQYQeIsnWeL7cHvkaAPc01xc3Q
ZKFZOqz5mk4PTT/JxZ5M2roA/vyaC3A1AW+Pl9bVt4iue2l1cnLTzrbSurWPle9+ascJy+Q89mxO
gMIpw7rP2rDNs2PArF9vT+bGxgYofFFTc0HJgFDp68nUipE6Rl65qTF7fVhJyqEmwcbYb7U9cuXG
CYxQYAoupqnIa1dfZFH0uuCovaWu9lVNJwq3S164p9z8IUy18y1uDcuC1+GCgUK49XmFDmbfcD9z
00D0aa8D3GNZ1D5IO6PHtyfwH4rU6jzBCgK5hswMNeX1eWIFotBzZwQLzCf8YdY8EZkTMcKcdlHn
3ztSRs30qMkyytouad080VzIW4Ra1/xd6ZJ/zYE9gB/B0BmnOuitECiEjkWdYT+0BR1vke1NB71q
irgsexHRcmxUiKRtiBybOzH+qr/nwhg/EJ6LL2VpNEkxZ/V5bEVzzrPSDfugc4+uTYO7rCWoCjoS
ehhOQLIw1+r2HkKy1sUkmYhqWs2Rm3sF6nbKORJzyFLCYVEyjwNNzCbrkKRxmdBKyYhCLOyx6oh7
hkOOG3a6LeOGZzR0HV5HyhbqA2Xjj7rCX+CD7XEzAhUX9birHtH0IacRQPAbC1W+CE4fKhxpFxyb
Vrc+DLL377wqeFIWGY8Tx2VDHebf+nWXHUGR54sW83RLy2JAVkpH8yujJ2Uf2Bjq3GhvHZRn0Dny
RZ3klibxOPW9m6YwGIAqePIzHe7lkMzQ09mz54cKRuCfDMrN2546eqJpIGUys9DDTEzWuWkoA/aM
YERFZ6mbrG6xDE1f3rQj5sorguBT0Q0o/8yQUyxr0hxgzAu0omyMM/4N5lqFoJFochGXFhpoRW/R
EK85CBX4fRt61HJDNrRzJO3BjEsPibxHlIjwsoFpHWdDbKhW/haTpx1rkruRbuX+TZU1zgfZOvZN
25XjvTsVWURby7tru66MiM20UyFH4wvk/6BUaVoTtOekb3yuy47sHJIb9wxkRGFHsYi3wCBkdZuO
jt/YVe86KQHhrS4/a+JvOTUxKYqwGX80gO7u7LcV9eb5ffwy4OoytTLH1jSIsqayS7vq22T9qMl9
np0cC+g6Hva6iuS8w7vbOk5exlwdXcinqC8gj59W6kRl3Dmh805N3OdhAfnqIM8G0eOK6JkzAbUo
h3jISoZY4oVMmp2TamsQ4F3BgAOotGW1Xh/1BTUtNbmTl0rrl0GsxFNVOLtib302bk0INEBbDd0V
IFTWH8RkClx34AalRe1oByIbfoKUagYxPP5jEsK+DYhlfS1tkBlmNzAjZ9S7uOxYfQARtIGVvdc/
sGrw358oL7oRSy8GgPUrAxJnLMxyIphfxw+5LqMWx/QuCXlzij3wJ1E7RVt7jSkFnrysp2IZe+v9
BluZwq3KZYlV8PwPLjiwnQEsgSjJYir9ejE1UWqMApeT0va3hOP8EAd7YmtbC/kyxCo1aJpysKYA
ISC44ZdhPu3BvpcP7uriRCMW7wkgDLG/Xo9hZESUuVs6qV7yb+4I0CfhwDCSXP/idD2yckbjtw8P
e+u0ghDq4j2PwgBYNa9DUlSTi0wpP6U+a+NsVOMBVLWvuigBZ8y9X/3Mq5iYlZf47Qg9qhZedkMN
bILMTQ7JPpveu8KpQvQ5WKRynh/o3OsfcBm76HqZUyLnIjhUVaGfNZ+BqNl2KNMzl6OGGcClMK+M
M29sFqJc6d5St3ePQQ4y74Rb6UuusiZxNU0cbHrSq8FRIUWZF6xAjv/GWwh10WJ6GNhUnVFNnVCV
nOwEt4p+kLqnYjvzNVwDEpdxP8Fns7P2Dt+d6VvjNdzJtOaSGH7qjU7MRvJ1BJ4BcAoaAjd87GYY
+9T5O0E7/5yMUMpY3N9g9raW9+EWd4FnsBEUrvZzw7+4rfuJssDb2VJb3zso9v+Ns3pXBFRvp1o5
fjrivT4DfGKrPVbLxhMJzr//hlh9fmZQ+nmNKmjaN19M2Jg7OBvsjxnysbe/881z6N84z/TVFw9O
b5hpbXcYCm2/CNdAdvKZy8vbMZ5z6PX2fTGY9dOhtY25RPLppw1E3J0ccuuuBpWqHrom+a8CRlUY
bRuy1j4VVv6BMT10+BADFb2TgWwPFvcC0Apw8Fvn31pfz3gJ9n4qtTLSGiOqWB8DSZzsjHcr8XBA
nl0gicCorFGJzpTVRamNfqoXJCZ1e1NyJ5SGfQIV+Fvn2L8GNp+4Gs+eyndqI1tDRFaA7ADlX1S1
V9/NoNeWbMpyWc9I0yMb3+bj26PbjrAQYSAvsAggvT4YzY6rCsYqfurW9/pYYQ7BlN1RcNraYMg9
QC1HErL4pL2OoZNBl0huvbQjYSYPA92ZpTXp+PmkeBlgtYMdLWg6f5hRRWzvmfat8gU4BCfHu9OL
e58kAjW4MTiNQobC+SCaD1MxhGKPfrpGmF39FavFaitNyyeFYerVvT6xkGV+pNlJwb+7wo/q7G+D
HGX2++3125nbNc+smMzO6HALpF7F07F0v/TlnmnX9sDA/1iwTKBnrB/VwP7a0oQGRcqmIm2hVw7a
VBHZvEmdjjw5efkd7+6PQ0d+MtP/9fb4nj/x9WmztI5ge7HU1te7PPN00jsGR34srFaPBq+Em5si
/dkXtji5bZNHrk/rz2U+k7TP8GgVaqgTVx9QQiS0hnqK9rOHKGQEQIqMc0qykyFNEAnUNMbl7FVJ
E5jf57lz0UgOgkQELguzVte/SNcBoIVp5aGY/SnsGuKgelx5c/z2GJ8JYNdjXHQ34SVuX8mWwBsL
qKXM81KzwEEpfrsQE72To2uePLMxDpxVRSSgDhy1iiN3Hzr/0FQmx2N7DvA9a9WDh5LVscqEfBhb
4qKDqTztm16A3ch6ofXRvOi+oYVAThTpEQ4SV7+ZQBg4Gig3RLBf0iIgGtobvNLtu6CC1DcDce9C
iOBJo7XWXeugk1q6c/sl2LO7eL4w1sMH4RnSuFCIQNtutXHoMDiFKHuUSWsUJNrgRzcbTwoGHtXA
H72hQIOSPOj+kCLdejC0DrA06z4wFA3NUqEOYj1VenGG6IAMW7u9y/zfmcynULP2dsLWZoPUGfxa
4Z8B+uPqIHPdQTDHQTVcmw+6fZn9h7c/hGeiw3omgB5DLwkPJbSTrNVJ2RjNYGaYibpCHSgagRW1
zygSFPZH24rbbzo/NFY45BGw8WqPVr01upfBl///InnAATp3jTUEKeOq/RG0Q3lomf9Ob4V/TkkU
i/HCwAvmSrd+YkOvOiRxaa4AjnRE4lqnt2dx80p7EWE1jnyw69kx8OLTRR5XRR9rVRl69Q5Uemu2
Fs1JfLiQaLqCyjhZpkEWyPRSv2k/mRW/gdHvTojtg/ffGOvHXjMaZlcLx0s5pIVK4aIi7Kq//WaA
QnghU9tgyTRpN7WsE5Xl396exq2c9cUA11Ye9mAHFcNBmU42Dan15LkPHOXJmu7UWPbimK8/O9UC
LWmUGGTrRzILveGet7G5Z/i79eZcQAiof+AdCILp6yhen2ml1tZ+Kr5wBRQROvdtaDl1vGcIsP1d
/BtoGe6LXcQax5VirPxU2ZG1KLknby/L3u+vzqCsc3uZD/j9JzHzBUS0U8fZ+n2w4BbpMdQyrkSt
iK88wy24D7V6IsIqGO4HrfiDzB00hcXMD+ITVwgKw54yixbYoTVMt6tH+jTUO2nt5igM4MkhS4p2
+brEoDUZzVxpeYCCmKHLZRVq0txTtNoMgu7NsyY6pBBXhRLginokTAaCyPqkrOEQuPH7FxuyrYt1
AaDY1zodUBUzK3gPpQ3lB6v/Tqi/s9xb+2LJyRfs0VIeWd29eqvDsZFnQUr1U2D+wFskYcWN3alT
QXeOs61z+UWo59Puxc7IZksr0MNDL5l+MCDH3YtwsD7+wYShBwktq+WmuUpVA537NS+C1NPnCxrK
l3nwdi7pzVWHAAaqmYB3X6Fjgt6dqeFIP810FDe7UO26VexFWJ2IBVNe2VE8OJsKRpfhH2CoIWCC
ziOEtwAlXYM8MyXGoiKohaFYNcm/u/xktse3l2Hzq4K2LWhp0Nq/QuCQxhgNtyII0eosKsoA98ZY
6rFRcT3qOgE1DLPYM7va/L6gSoKOJppxV5ZB0hlobUEwPi1mGUrnlsvbyd95bm0Vwl7mSKtrpLJ9
DiwlEjQns0OhvNAQl0Cd6vLeYG4YZDuf82YGsChUeNideAOtXz8jHlYtOAp4nhOzRb4PxO9yEMWZ
AzmRruiM0C/7/rYOVH80zNY/IxPuPr1/MV/+DasbDaXa3s+l8FNnkABsqQxZdoCr2gzbwnwonXbn
0NtaR6he4dM0UGy5YoFKCP/CUQRFD7vtk5q1YU5I3NF55+Tbnlt0b4G7BLsVVcbXN/UA7xZTEsSZ
aH0PsRYwTjt+OwRWGUoruwjufed8+msgTmT31c6kbu3xRVzl/4Ov9rg+wKaCBzlAhMr/wDp2Dli1
k1htUUTQ2oeAMnCDwESuAZ5Fa2t10Xlu6uiXoOaxIjfj9GCqtODou1aJKcaEmEFkuPQ4GHvCrFt5
HR7sUMdE6QoQ09X0Bv7Qo7CK6IBRHyxV/faC7qAcEldlu1eS3CrRvYy1ms3ChWgQlwHgFNCGQiNa
Pw7U/mTW6tMwsAwKCRwdXXHwJv2oBmRlb2+QrbWEZSDoL89jXecBgL6QwWSam2bTbf/ZGnbuzb2f
Xw1OJ/AWZRl+HhIy4cHBP97+86/3m4m2CISp0XVDp2zdG0GnAhX9acQro/lVD2M0VSdH+/vtGNdj
QAw890Dtw5VwVQLsZgflOQDn0yJkzhnavG///PW39vrnVwVAdzY5LQL8PFzpvtXmcE9bfqcB4te6
zfntUJsjwfMV620+gyRfnxrMUiakZGc3VUBxQRojLH69HeD67sRYYHqC7BhoGTwwXwfQIEvl1LYA
XAaSjRkOW/XXhEe/bG4tf++o3RzMi1ireWu5ypmkgICbNV1A+rGzJ1hyfWG+Hs0qv8z6bpgyF6Nh
/UPmxTXEa3vUrNAXdsXfu7X6rfGgSA8OC0oo4CStzhxVekPmTcxNJTOgvRkc1fjp7dWB6Qrm/3WN
Bsx+KHngevhHLfX1+lANtcDBnunF5XrrwZrLqk+V2Yh4wG3dR5MjnDO1fJVU5th9Gj2ZxQwQ7nPT
g6QnQd28TFrrnPW2rC513WQH6hf2V5az6SOvh/mIE2yEsJvmPCKbKU7SIOWpsVwIjSrwJ1q9h7BE
Di5HSFBLSwrdaJMCjZ+Pfd1jDUkGbdEpI3ft0Moj90p5KmuzjH0X+vlWn/lJ3XvsYMliDJVeZDdF
WcAd2ZtEccM8+a3r3N8eot/2RqlfBrcrDpVZBAlQ5t9Uqw/HrmQS6sBFc6cJWx0gzGXfChDfZUha
idqU5HNaTi5NnaovIgVsZdTCsurgZOzHBEG00OOZEdHGErHdEu0+mOvxrgjyIkEJXwKgU0AmdYQU
pcpHHruQ1v1oMbsM21LnEZ8ECc08y5KAMOswozz6SERWRZksvC9Ec/mBsKE62dLRjhzo1dumZW4E
ZK55bj37qUEzB+gp3w5nrugDassy0igQVUYPDKjfGdWt1uo/6Aj7u7rX0KET6m/okr39DW3tcOg6
LlBuCG7i2H39BXkDNKjs0aAXIh2ovha3IHmC+mN/9uf+WBty5/7YOt8BgMANBcwA6lWrouLg9YYz
Gg69eFl2qLT6QHp6W3p7wNPNMKCfgwMK4OQVE5QOUHDSlUsv9mQIaERld1j8dBTvB8ygOAGhKHBe
MSI0O1/PnoRdneVxEOG4z3/azlCFg0F2UqetcwTiTYgCQzXs9dUKdYNZ6SLotdSc0dq0WNiVOyWQ
6y7qwuTDWaWb4KSjfLg65mXb+oM5ucXFm9uzP9ya9DDSOyALojo/6bw+9N2T030eQVP3PhrBXvyr
ES78bqB00FR04MV+1Vz3x3qSvVldiHcRVh5K9Mje/sr3IqzuFlHgFFIQLb+UVtyp6L3OyYDAvB7B
ao1UwwkKvfh9HQcSHOVDgx/fHsFVVvE6wrqbPvl8ABRGry7UvMkCPHdwG+e6FXNrT8rxau+sIq2+
6X62JGR2sBoZ0LdQKUtsh0elOe4syfaAoPDrmUjFUO95vXUYzAsc6VrVRfSHVj5Q58QIuIvRH0yb
DaUIVK7hi7reoLqohkKjXnlhaESZ/Dv4/Fz/JebHt8Nsfl/P7SJYJ+EqNl8PZvbqcSiqoLyoJ/iE
yL3jbPPnYXAC0JCPYtIzjfVFtcomtO+V12Cu6EdW32MBdxZja82XB66u4yQDwmW1GDpugC4gQ33J
guPoJ3Of6N3OB4w6ASbhVbKCvwsHGPyrQEa7roPWcy/FLIv6gvKfeetrEPdnBbFDN9enA58MhZsf
6FQxjJ/9YLxneQjSYffNzkEiddwzruA7oX93yzbUPfF3M4kRRY4y7N2bosoPB1Wq+8mq/+ohDEjy
B7CzT+PsgVyjF2WkJq2Km76aYqo7JCpzLwtJNdbAMLPvNgNoxFNangAAXKHNpRshJOecqFdlHvlB
Bg3IiMBF+UnNmYprZv6i81xFBAxJkMvTng63OeM/B9Xph2rWylBZHrq1zUdTb/tIoGUdDR1kxgPg
hH0+/7TNyj4FhZfdazCUSnouy689q6sPVm+IE+uGY3FhF1TLTkNA71R1R+0u9lEig6aCLOijVir/
6I0toMedUcZ6MWmJovQJUsTwSG0mHw7PAUf/YryxSpS3zjOKJIF1YBnqNgFYwPZPUdTNoQKONdT7
cUoma64jB9YrhCSUnsda02LNY044As46jW7M4UDqmj8X3W8ZwWcNsC414TICIo+Hbc8BGzdKS6Bl
Yv1utK5LqRJ+TDTLftI67Xtl2SSqvMJO7B5a7BVV7BhY1S/W9yTsKTETaLqhhWArejT1CWrtRHbg
YjdAbyr+U4rJjxXlAVxVWI/OcFvGkwuLhs52xrjxYVar13r+oRr7MRm5XceB0ZnQu+rbTwNwnanw
e++oJnuKC01md7ns/NgYCgjkj33saeUPWepVWLCSHwZJssiUTBygLVw+oWdgJPVgVPe8x2crmvav
UqI+U881i412mO+scfKSivAfi91vJGbvW13SHtPo84UEbibMqqfIG0R2MEvnIxYP92pPAUavnRoY
UN85eYH3MDt9HZVNSZLWRmVSOjP/SAqPHqcC+oqWXhxs9KAhvW4aIRUQ6vfHsb9RY04u+kD8Q5/N
9m1tj/SbNTpeMtRqitsazNqocwKF3obIvwuXesksl49cIFf22hqQQWB6QqvWWSLozG9YX3vnviLg
Q8reXdynrLBvK+DHx9m+AxfPD8nUTWFm6k2YN8iB8UhsQq7B/xknrUxy1tZO2HVAjNPGRdWYMgNi
IEH1fUBbMilGwhOj18fQ9w65cTjIcZShUSgSm+YEcQMsZpLjHRCDF03DIvezqFBAd0HE2zv0Gor1
gGf0Yem5ddSTKjvYXFqnEkVkkBHnIjS6on0qM/gnoS0fREIf+iN4Y92tAUBi4gJLABzpLMy4G2Dm
xTleFZgLfWlnlonMpiFiTonoeSnOGaxiIh1QGkgrEJoMlFvnKejqCOoMRjRbFYlmatlhIQET9aj8
XE9NE+XS+uKVYETUpXWsdJgr+DjMusn9WgymATaB4UW5l//2bNrHgxxFNDoYkSbmtO4aLYIZTp4E
XWXfg+quQhv8gpjSEY8XyFQlsOcEryN3/ePMNT+WHW8/lLy0zl3AZnAjgPbJjQkVNUmMBIRrEWak
XPj0NbaLB/p2R6lK5moED6vFNq6LVqJ3N4M0UeXfR82BrAQsUG4oRgwH924++HpXn0xSynMl1Dck
kHXE7IDGulRZrE1dgUXtaAzFfZ5An9U7SbN00a83s51ravMGATYd6RY8xa78vuq5zFEgmupL3/yy
8Hqv0Gwm6gfFObqrA7t5Jb6ItdzJL+5cb6A4Tb2xvlBxZwo9nM0on9nOgLYuduNFkOWPeBEk02yC
IwdBeuerV37svW/vz0te/v6ShL34fX0wcvgE4PcrkLew/4Pp0/8WYJU4uFnVE3PEiqAG4KkQlYe3
f397FQJ0HFGBAhZllVjDScMkdWbUlzGLcJxqE3DzfxICSoz4nNCju6K1V3bjN14gsdDkXlUPDXCU
5s4Da3OZX4RYPT+ghTGj3YgQWR4XeUjfqVv4/PxY8ltQ5/BOhLnm62WuuMoENmR9adwCdMcmtFEP
NPgehXRzGICR4IkG4vdVBxiyuqLwNFZfcCYnzXS2cAK/vdzPSlFXOeKLEKtEuhcUkmkiry+mVUDO
pHPnM1xb7bAzBwGovMyOSFQ+Iz1h0aCa8UPhLhXiGZe4yaCn4s/MD5WR/eUVMLFUTgOORZ/pUVNS
5IC50URzO+UJONhu4o0iiCafzDH0hCFL5DMaEgO8s7eHtDdpq7WZ7MzOEb2+4KIJxz4V/Q4df3OL
AK0GpqG+GNOvtgjQduVUeH51Yc73Afefy8+6+U572H++sH+DrPvlstVVjxu2uoBUa4SuZkDjBlnt
n0wV7CUWhiY24uowqTuBKgTP6gtBBS/Vh70n5+b1AeDm///+ahsytEZY0+MB0mAP1sfJP5B4FDfG
nxy6L8KsFkQHY5ALimGI6gdhd07w++1puu6lLQ+pfwP4S1X4xaleF3xs516rLgXht3lF4K+hEmWx
x6o1YmcqE4+YNwUBq9FUU5K5QxLYPHn7j9j+6v47l2vOv2eJQZCGoKLSpm7Gwpl8HsFJeTvI5t6B
fi1oMg4QemsFc0I11c1uXV8ckh9sqDFZzp6AyuY4XoRY3ZBQMDFxNHf1RQfZYppESLwbnHE7A9mL
svqyPZbJoZEYSDC2UQdApcyDI50O/9t0rb5vk84OMbMG06VilDvGPXXyZS6uDucXc7X6sAPVDT1x
eX2pYTYTIFm2bwL+qch29s9OmDXBp4baUjN6GEaBxG6CQ6OiLLTNH5O1Iy2y83mthT4dy9fa0cZ4
OotgNfK7Vmk/316SnYVfywDlBHzKvsFYOlCiZYEiVwccKPPfW1ZfToRFERUCAf9H2pf1yI0rzf4i
ASKp9VVSLb23qjfbL0J7bGvfd/36L9jnnuMqlm4R3QMDngEMKItkkkxmZkSAtFpsNcphBhWetngk
5d2CXuSMPpPYvzyU9WX5a4PP5tGpY6Rjx4KlLh4HyuHCd4piAgc+b7TPUm//57I5Gg2f1CNLcWeE
AGtiNMHyPVGVt24BovvyYNaX/u9g+GCPTISo/89KDxPlvIwcBX/oSnN/2QbfDufb5a8NYTsWZIaK
ngEbdW6+hM0jM8fNpH2P0E4fa66dRC4bJbUC/slLJoUdqhRVCsggTjMEize53Xs6MgZqZXm2kr8E
Rti5JQmuLg9z3cU/9JfRqgkprNOpnPulom2IW9UAuoVu42GX/f53FuiphVBdwC5DcHq2+Wb6FTXb
bpJEHmu+DbwsqABtEy25YttBUExhmVKcBCnZBaBFoPG9XWzCTMYbuW4HCoDg2wD7u1jpqOwxtI3C
wkhaoH763O1QSy3BDRdLulDW/BscF/8zJPgeum26Xq8MXAXqbWO2bjHLWmpkFgRXAxE7ErAlLNj6
NQCzmfGFI+1oBGLBI2jUkRYU3+/Mf1T6xuqbZpBs0LXdcmxC8Fwag3QxyU2cM+V2yAcHcI/bFhdn
r3xHkt+t+1+X/Xh1yiDXCegShXabJRw6C8qig9kHOEGHN51zPBY/LhtYC3DxDkAlErK8UNgUwgx7
6JQ4t/PysQBBX6kD4fWOYrTX2z8LYHUu21qdPOAmoL0EHmMiMu2MI7HSRMfLnJo3wDqCYV55D3fs
ndKvuPKRIT6rR0c1FB+qETnP4hHCdgg0JxklzOpADPQc8QY/ciaLTiMdabXSyB8JK72AhcjBohfi
J0oHrjLulej18rytOgE4DkEHB80+AKxOhwPF45SUhY3yGnOq8MXMJE626gNH3xecLM0NFoMzDYF5
7CyKi1hzsrdp/VClm8sDWTv30ZT/v4EIzqb10LWGBGX+WMZcO/WgKgUYxj7LmIDA5tgIX7yjxaex
ZSvgUsgfm7l5GYb2Ppt1lxDZy3PtqkZeAx2KoMgHpEpYlICWaF1hefGYzck2ja7G8pe65NvaLJ0I
FKetXmzmNPjKpXNkVFipyEiahvJ6mGE/RnPuzaFXscLTpcKNqysFQC0o00zQEYnRYcNFVQfu4R25
11vkSndxL9mk/LeKgQe00oAPQAsBMkOCM0xaV3aVStBFRCcnsG+bunPi/MGyni873eruObIj+APg
kAg5yzl/RJr8LZXxGq9/HcxQOu/ZP+twhrx10Fthj6/X5Bbqys+KNUveHKtrAZTJf00Ii87lhUgd
dUikfKPRkw7pHEOyFDILwlKow1zrINpFdiD0c/1x6G8tGd/OugmMAvwqgGuIKPTeTGKtVIb8cbB/
qsnrOOzi7u0rC/3XBF+qo42fjXkZKGTMH0eC8u67VJ5wbcej9RNaFTZg9Ge8akqkZoDqIjifO/XK
aCH3stgoGr7O+p9yfInqe73/yvP52CQ7HRIq+EqXAET3GIf17dClngHw12SR62ZKXi7P3toCcWIW
IKQp0sJi2jwsSTeY5oLgDOXbuX5nYPRSZLn5td0CABvkx4FzwMEpRIAWa2ejLTGFnHJMrYyr0ALF
3+WBrNrgQhkWiB+RABKc2Qj7Ps2COntMHbrsdLb9/OchwQfcpIreEBBFnC5JlwOI1aGI8ajbz3r/
8EmV6Y+HLE9dgSwBgIkzyfMht4ahL7BPWk4kDn26L8zO8feFw0SZqizJQpyGeraFgIQho1oRZ58g
y484FbgA4H9NwNdOpwdRJGkjY+zuAFh0TOtnOUSbywsg3huiBWFPsGQaLVJN3V067tXq3rBfmttU
3102cgZlhhU8thDaYREAXxHVaSfFnm02xt1dPZIHWoXbOQifCSt2Wfqeh09WlDxmXJkAe1FRXnX2
fVj6yOmBdJf8ED5hx9ck/yGceQo/hgvAi8jPLEajxGRa/V1Q236u2u9dAWBjGqMLpk+THQQBryZN
2+dJuDPR+8miNHL0xeglqRzx8Pv4GXipc6l4iMOI0G6rtWtUNvEzSDhsoSC2G1ot8rp5fIESN3De
qaptLB0yawCEyOiPPrJqp3MAyDqXEgeICMoJIhYjZAFwUaxv7hawjOyCoc+vzba4axYLXHZxsFMM
5RUQQ+uumtvrINF/NGz4rYXNLzL1L+CGLBxwtz+pVpw7IElS7wPSNdsG7XGbYB4PWUVAYUfGwo27
Bc3JylUECqNoQoeRuVyD7/ke15lrtoGX9QDLBVOx642O/0/ngMHgBqwGJdoazN8WM271gSReHwMx
ZoXxdqn0XWzmuyFFDa+tw62aoCOH4qpQ+6ecmpGrmNnPkPSpd9ltzrchghFEViB3RCM5eNlOt6Hd
Bwt6uLPmrn3Nw2sWSpJG/Aw9WhAKRm/QPKCigCMWL1MRMlI0bUEb2mZPdvLC2FOUf7OzJyP2ApmU
jzAObggyMWiPgx3VAGjxdBx60urgbOryJ7BEgLwOPVem5DhZs4AXFKIraCmjE084EAcNlFQ9+hOe
HspMAePQJ5MeHyM4/r5wHVX2oEF8IyieUHDRxn0xSp47st8vhLetXo54M+L302mfTlsZXlsIC/jP
x02NEjEDAgssf4Ij1QQIyDovs6fEeq8BF9WTFIpTmvcpdxWtiNLMbTEVTU6q7EmxnfIf4+3ffV1I
2qRaa5W5UWRPaC9Ddeuzejj/+fVcSQa8zJDgFYuQQz1ifYEUeFqAdk28+ZMs1mffF5aYkaBLMz3K
nkxt0wyQ53Ol18zqMh8NQVjmaVHGDodW9kS1rR15sbUjMuo/4d4WRyGWIJMhm4DnwChSyxx+zYnG
Dlo9zy6KHcEGd/Gyv7zqfFaEM4ojz6G+C9PntD+TpivKktnpkw4aUaSEvHDalfrvVk+dgn1rFhks
4nwjgmNLZUDn8WwAsuWnR1VKgzwJWvgwehdjvA60TvJKkxng/370vun7KGO0quFmjW/UV/W4vTxh
su9zHzn6PphhwnKesNWDZb8UV5AVvPz9cx87nSDhpC3DpF56GxMUoq+WeYN9n33yfYGFRjoG8QlK
ZIgVoLh8OoQi0EcG/R/9ABludKaWuSQaW5kiHTxHGAcU3nGqCtvEjMIyD/PQONDmvtobmeQs5z/v
1GXx8/9+XiRMWaqq0YoU0Kmyqe4tTfltm8k1cDhoXE121pB4lxfkfEdydQROAoAIF08OYTQZNNWA
dQnmQ+ZFP4HkGgp3tiU2VmbM4LRXQJshFgGpwemK5DHQ860+qIe0epymDbM/vyIn3xd2Xd3EJs0U
fD9ih6pDD5Dk+3wOhCXBSw/0/mDwQuJf7KPXE2Tm8e4fDkXpMzVsrqa4uW9t/TcA2X/qqbnutS66
liLnz5YGwD2ohAF9DFc7b2KLyKDMS0T7A3jAnFJzdHQqqeZrOPz6pAtwO3jwI7pGB83Z8BrWT4ql
Fv0htmunHby89iqtciSPh7OdDyuAzVITlWY05Ylv5mDqzTpPyv6QFruh8gCkZNVnDy+YsPkiIT2O
I4AId2RESR+RqW4PqWItLmir58ieJb5w5svcBkh48RgB7St6gk59ORksJIBGrTtkwS7v9q+Xl2Ll
6wQ9qkDygxMSEBdhN1qo+SfKnM+H+TobtmG9+VefZ8KPVwakwrMFnx+tW7LrE8nRJfn1oiZgUgTM
aAZ8vlO24UbXPr+8mBwD04KKCx4Dwq/PMnSNo9dsPgy3pNwPMgrGFQc9+bwQIWbUCIbAxOfndGNZ
d1pyFyufdx6UC1Axhl4B4CwiFYahxDMAH7V6iAFfyK9nO5IYWBkDDCBfgd2MjSBmWLtyotU4R+qh
0AMnVJgz5bU7jDKO1pWF5sBxxLo8HXHWN6LbSj9gP6uH3PCqybNM57Kfrg3j+Pvc/lEUMg2qXUH8
TD206kMePxbldoklkaEt5FR4XgdpKoRo2G7I5YpV1TJJrDgK2HIwaBHd6WQBVKAFyjgA0SKyJw2w
3q2106z+G+6W8VdNlwTBxAiBLvS5Q9glVuLC1bSUaJsyNKND3VmpY7dtcpVE6BqtkLG9j9oo/oVX
q40knqaOypaOgFT05mhcg6Nq2IKApNhBaXdy2VxmP6aGZg9xMVaAScyQLDInu3VawBlcM8vKp5TR
trvO9cqzzdrrGBL2rqGOVu6ZAEkBEqvOm2QOFR9vZbbtMxLtdL3MvEodgfpjRZ5uozAOfwIuMfoB
RFyUFpAz3cxCJ1GBEt6gB3/ZjJD+U8mU7RcbTfMOo4ChV+GoOF2zdJXbKJr5llpNseuipNk3aQKg
SJS1foWWmF+hxoabMhpTL82hBGDFBP3XSqtul8FunKwlxluOhlm3ycrWsXIybJMcEIYup+QfdTTN
bV4a2mFiFbprSAjE1TyXYBGwF/JPallTgo7cufZx9qvgDTeaGYzbYWs/j8mUoOoW/uy0wJJRZK06
owVVH9CZ4IYUc8kUib8atLnLoYs38QhcvFPnn+vF/Y8v4qECvRZQcJwBaSO9iDRSLwuEvXeY/iHd
xzJu+5VggqLHG+eCCvw0aqOnWyoEMKJiqb4cdM1wSbNNlXud+gXSV5e37trRcGyH/46jrQtNjXJJ
IVJ8II1n/Fo+yVPCZwo5LfDwAgiOJ9aHKM3R5+MyYXGsNOahBCQt84xPFg7Ovi+EqvVkdTh6WvOQ
5hvUf5wpk0kNiQqt3IQOEUGoK4PhAX8JKzF1EY1SIwkOgC6G720aBH5ume8ZVdhbPkSpm7KSzg7Y
pRpIaCrLVgMC2bETehNAGmWgwHjVyu9GV57oLKuTnvs6Alz8QGD6cbjj4Sys3pJpaDiNtQPTIkiH
bLV4Exj/fNZDTm2Ih/vYQ+kD9AEHEnv2fSSjBjt3QHweMSb4etCRZYigBotVDJRHJjsYoJVs3bKW
Mf+tGoC+JZ4cXHJSvMQVrWyKLsQxFSJItuihTyRxzvlWxQiODAhbaNAmJSSTrh0W/XdmMacBwqBO
C6eTpT1XDXH4B9QekNQXz4RBI22NKpl2SK2ncdqx4GWev1n0k13McHhkX4BWQqsMQgYmJkWMASjw
EbmeQ1m0TtRcJx1zkublsledPZu5ERTkKO/45vWnU8+t0yjtm2ZiB8BLvcXMnXK6r7Ur0r8k6e/L
ptYcAIrlUHqz0TGF19mpqbZUx07tR3Jg9fOkPA6SFInIJfwxXwzfRScBohO8A06/n9EpJiQYyKHP
Jsee/6A3c6c1pRul17b1i7bXSX07qqGrtOamqm6m7gUtNU5tNJulOJDifuzui/oftuzqT7bVCL8M
N8npL1va3oJ+NUYeJ4/1AnVhiAVJnolrk6thDUGwxMFb4umYGVOSJ2NDDyrZq/PN8nh57T7yGSdv
efgJQmNsMLDrIFQWhqCqvUoRvsHnmeqapeWAWcad6mdILEGiyqVz5tXKnWltIxp6w7jNKmtL4t9B
bLth+aMEoLHZK7Knx/mgqQauODB1qFw1V9whprFYRovEg68mjesgupI8C843+un3uf2jW7MiA+DP
Cb4/139GZm402m3mDJQdsoYo2UCEXZjVAdOqEYYYwrCBuinUsS4v4OpQeKAE90AJXly/CJ1lamia
uq9p5WNSz09dVUEvrPvRTDLxjjVTIJqAMehG8uPrdNZ6JBqCGJzl/jhAp6oLd23D5bptQJxpKDm+
+MScuiWQhEe2hLijDFLdBKTT8KPuG8NuHsObSsbEuLY4iPy4zCGIM6DSfDqe1B5HLYB4tV+bg2N3
naNK1mZtELw1EbRiBFpF4uuziJI8W3Df+JE2OSpO+SoYN9g8lz1gdRi6iowcyKkN8wMLeOTMijLN
SwreTt8G6ZPqQJDuK8Pg1wgYgMD1JmZgoQXZBnq3YBg9SBYG1UuT9rlXZM3jooAiTlMKzYq/dgT/
MukAWTgcVH5sgeRgwWGakw2rn/p43wAlM/TurEIULP/GrNdPTyHmDRSjiD8RIokLZZMk0slgqH4N
WmwFgPft5e+vOMLJ94XzJgo7sCxM+L7Su8z2tNSN3y5bWNmbJxYEXzZj0G2B9E31x2ZLrO/x4IT/
JORz+Fu+QB8CVbgtVB37U1igAW8Z1epH1YesQRY9qF+YJbwo4QTYlRw/cLofldCoo54Nqm+z2q2H
TRJYkCzYXJ6oswoYH8ORESGjGIyV0qkBxhAv0JEIfqIN0jWNR1Jvk3jf1pJlWVv4I2vi1mkacyBq
OWFZ4vrBLIx3a6yvrSaSDIpf0sJpeTwokdcdOheqNc4Y1DLcAIMVtweQeFAQy1qlLNW1agrMnxRU
Q2h5EZmAFqqQkHWp6hvpnzl/W2jujRMaF8NDUWWSnNSaUyMMR/ediTK7Jp5sQ6S3LeQvVR/CA16h
vgc8LMGNQ94v+8S6Hc4kD+13ZAMExzNzq6hUo1P9LNwRM4Yq8ibSQFH367KZVWfgQc3/MyO43qzN
tKdgUPWBanVzJW4dqOo5II2TDGfNjqaahoFLBwH5WXmGgognrGPim9Y+pF61OPbz50dybIH/gqMr
Rw8CjSCXR/zOjB272KMNqJolo1i51tBW+ncUfNGObBTgPy7yBTZSzYE8Sy7T9l6dJTztUSD56M0T
Xi3hjIwqeBiJv2jvWnaLKMaWAWNWh8BZuZCawdtbrL/k4VjaQ1QQv8rAXr23kNm7vA4yA4JH0UJN
9bxriT/qb/22k4k8fYCDxHMF7e7/HYAIHtIyo6lpX2Od2+KmRv2465GOAwDvm1kPe8OqXWMpwE3Z
veW96SVK5CEc2qhx5IJBYZNqoJACgYAbJZMXMaRo29jLwDL5hUnAE0lHigZzLNaf53GJG72yiY+u
SrTZod3uX31fPMPDgstZpAbxY7JL4iswUX3h++iRAaEzUu9nNS5UJbJwCCh+v/Fidc8vl7++drZx
QWhEuTxhK74fjcXO5qYIKb9Ur5bJdmdj14/RBmxB3mVLazcrhB8+EIwEAAlhQ1EoJ7CwVXFaz8kV
sCYbUuhgzLLckSi9M0/1OwFJ52Wbq6M7silEJHputfGcwiYKZI5iXy0FJJYhxdv8vmxn9bA4skNP
D6MkMPI5qxfVn4tXRb3X9R8g//mXYxFyjQNpoR0cwAZe5HdgibrrCYpiFWouQSxZKpGp8iOSO14r
frAcHa552pvBPMyqr06xV+gPZXpr1pvYsD1rrjZLWTmoJnhF862cXisVcdHT5flcWzfoDH/A3nhl
V7hxIYK3sKhmmE8dOd0HaNmrljMku8tW1jxSJ3i2UBTx8R/Bila2OqpSGOUY3aXJQwOw9fDcRs/J
VG7UVhLqfWBzxMPy2JpwGCc1C6ZphDVG1Gt9sTfxbENop3YRw2yIWl2BqHFfxpVnNY2rWqCAnjKv
qyEHyojX58v3sAH1Vl1LjsePfXfhd4mH+FyFXcT4WpugmLPt3yy4SkGTVvegLNtHqe2o0BwKRslb
YXWF/869GCdGFo3joMbOpNrsVZH2aoyKV8Xgc0tkEl4yU8Lm7NAQa2QpNk43b4vxsRrBsrdnimR7
rl6GR+tLhf05gpi0ZhaeJ4GS3iVk2gYQb6ry8haqOiD+IuDf05HgmQ96kW07MNW0k3E91+m2TfJt
EqI2mMRuEqUeCzMnSabGBR3c/rLHr72heVs88ONwdx2x5unGHuPKbhObu3x2XZZ701C2RLvqm9u5
gfZ5HkA2HrEnKMwmlEAv214LRo5N85fD0ZlipX1swP1Vv2k3IJ5WNpc/v7qZAZH5yFSia0Y46g3U
axU8B3BkZX9sBOl53jsxZHmn7geb3qNI1huyYg89vriSEINykUJhJtN0AFmwneChGEDvcav+qabd
DM5r8hzKmgz5ySDsUDymoEVqc/EkgwrnVJSloG6JcsycMf9prMVJjMYprPhgBSroVofcQ6vmdoJC
3eUpXbnVYBfDw5t4RS3DqMaoAfOf6g/hzoDuK5gUZOjWFac4MSHsTSSTBr3XMDQFUAJSv6Gz7vNu
d2JB2JaxOjRmmmOdTGN2bDV1ynL4lyaE2zIrlHGkM0wE6VPbXsef7pLlQBI0T8KrsYEgqXC6c2gY
hlmeZHhTJ9QbFlA/lt7nVxqU12gAtSDZcFaj6wY96lObLX5Raz/SMfPQHfi7kHborTmUBZQWnAr/
OUt4gjoMTO2pufiKfW0bu1oBdnqUqZmtHPdgTvtrRFgNpcApjELR4ltm5ShlB5ZaZyK3aSw5cGSD
4f9+dJ5lxVgkNiihfAi+Rq1r57uSSEysJFOQfIbqAATTAacS6xwALWolNPkWPyRX83SNkGt4HfVP
N1NQPD4/Cim8iC2SEkcNkHnmoC7+THZNs0OnSiVrNFyLJ8E2DIAkWKhNA+CU07lKVNbiOppnP6F0
H6ihE6f9A9jWEdOZm6FEvzmhu7zt/0Cp5cZMNBfcqW7HZEu2ctrgZ6B2i7wUkGFiuV61B8XSajb7
0AeApiyEBtzL+2jF904MCL4XEW1Ay7E5+xp6kLNNpf1sM9XJGwmUaG0cBPOJVmSUDc6aU0DmXw2o
Tsz+0rkoTciAUGtRApCUeHNC8gz4VpEaCsW1jhq2MiOUGdzMTPYA7buleZMyZdt0pjOTeyPInEZ/
VM1/Ls/gqqtAsRGLhAXi9elTVymqgrbpkjLfyFrmxhS4XQhfOToEY525SV9U3dqExLjKdERUrfmr
Xab7xR5fUy2SzPLaYoLSHE0LqI/jihdujj6gKfInKvNbY9tZ/5gVhFnyLZNUWFf2OIoaKP+YFEBi
U1TKBmUA2J5Swvwku827xmtmoN6mP0VpuyhqXZ7c1RGZqMIDdm8g4SQ8QWiWUzb3TPOt8WEJoFH9
kBE0qiWyDoY1O2g4RVsGiv4rKYuGalGWTbCTtOC1v25LB5zVwJVIttvaPjiyI/bntjPNzAFYLn+0
7s0Y1Kupf3nCZAaEmxe1ALSvMBhQ0+sxPGQyNIHIMcgf2vAs3Lm8soRWDyEojsdoXOpS1fySZuqu
1fvGqUgfg3vZym9ZiJRVsLT1rjbKd9qOxMErtnJblHrByT7Iet741hLiTJwoIGel4GfSkB0+3Xq5
HrAyUkbdL7vbmu7r4pbIhK3WTeD65zVVcJoIB2TfdSGKwpXuG231nmnhrWWX+8bWN19YN7T1/teM
cIiMoLRbOhVmYq3dEGv0pi+kVjFXfy3wLXB0++ex1cWGUep+ljyD150+XR7AyusCpI9cgg91x/N3
Wkwg7ltURPONztODGy1GvLRN0htLdaXdDqtrcmRL8MG5nXBr4b70i56C0s61KrTcyrJXqzvpyIjg
W33fzEn7YaRzf6ufbxTHNgLZFzirQS50FsMYCWqPQxzhwMFas1K5peZ8dXlFVs+0IxPCAMyRqoVS
x9ipUWndAObbuoYCNHtbKJVTaYWMZXLNnonqg4Fua1zEqnD7oJ2mNXq1gL0OHPRt7jCtd9Oi99rP
wxAwYQTEhryuCqEQ4ZAz5wrI/arSfKXeV8l+f3ne1hYeVxtuAjzDQMYkbMWUGVmekxBHaAbqqlzG
nbDmvMefF/ZhUfbGHPNlGbSNnkL/4dbSJDCNlec34ta/IxD2hxXmwTjkGAHIbNG6XxYoVuwLZWP9
rCDaYEgek7IBCX6m6HkeVg2sscpCMv5+hNiBKZO54R8RT3oTPWMQPACPEBp2Tk8vaMRqXQGNLT9O
nwYldXKglEP9J2WvlfWY4hi47AOrvsyALuSVTTDyCTNYJlZjqxV8GVgVoAFejUHx4hEkY7LqPf/Q
+bj+GhImL4DaYVZTGJoBC7xuk+mhj2zFSaPsNUdixbNqaGlcHtuqf4PfBsqehP8R9mlpt2OVTqnm
T9Mj+LrjXhKzrX8f3CYAwQDDIzZVlOmEGF1fNF+PdlXm2OPm8u9f8zfQQOMEoNzHxf2JOn5tZVVF
fTZu+2KL6kiaSV6Ya8t/bELYo1k0jhnQSNSPBhecuRO9LiE2YX1hITg/K+gVILeAet+pT/dLCJ0Y
SqmfdnUDbQa2uHZXy3q21jwMsgjQ10E1jrcBn1pR44qxqY2pbxG2iRfjys5sj80KnqtgzGRm7V5e
nrXlR+6NC5OBmQeQw1N7I8iZjZKgPqdD8e4NLIOXP7+6NNB4wK5E8zeUFk4/T5vGXmYCTV9zDoNX
M5/YpimbPHb0WVNcWx/1L1wHyDYgkck10M4gXeOilERjLUVZ/das7nXZdlx1Z94jZtgcoqvz+TyK
yxogoYouVyFSTHKvjh6D6DeXaf7CrOHUxCNKRV+gmJdpzJ4qxWhg1irdgQCexwJ1q6UQW5QUZ9aW
B9lXZOvBnASggTCadjDs2Yqx+v1AMjfV0xc60tahBK1PLIXmzOVxrTn3sTlhC3W6biR5z83p3yPr
Jcu3QbYthhdmf7tsaG2V8AwFrRUaRREVCiEHwSMgZbaCmnb/zRx/BMu2iSUMcOtT99cEPXWEmgKK
sgwwYTZXsb2pliutvSLx7vJA1mKD44EIxwEpWivJS8wY+p2XaRveQKBjNHdx4LA/kLD+gjFOA4bM
FRrsxM1aVQrtmILNmtfdfKUaUDlK1NbEAyEnV/pko2xT1xCRQoo1USExNZmSH7A6p+DrQOSA2iy4
X4Q5taw0iKyc+iTs7+om/Tm1AUpFSCA6QyBzxlUfOTLGf8zRTg5rdM5C5AsnX7NpfhXJXqo9w3eP
GC1wHDdufuSjAWo8tZDr2VLa/Gwd9EMc30PR4fJ6rY/g7/eFEYDzPi9zNaE+MmxOS39B3mf+QqsV
wva/NoQDPJ+TpbUH2IBuxORO+vIGz6dOXA5v/24wQmg19GGfEChSoHxt7pAxdjRl8GJF4mGyJRGu
uzqakqnSYAXnO7ScIHIUFDIW91UvBjU0niP466wlPh9mVg2Aq8CxvPBOUd3mbpKRaqwu/ZENYbbM
AAJTiq3zpp0f0bTtyL4f/nxhQUCcAuQL/yMSfGV2EYLiFlNFs+si+F5qsaOOgeSmWx3HkRHhFK06
mhHw0WMc+oPa2E4ybbTYkFw7q4t+ZEQ4RJO+jnOmwwhVHjl5x+ezA1BcBEQGyVwktSDwerrPAfQd
QICnI5ELzvHmfVRlQcf5ABjnZEcal7N7IWt9amBRKToMFORwp5ulMpyik3FarhlAiRlVIHSfgkJF
2BYBmadGSXU8AhJ1Y02pGy2SR+75pkBpGSAtEL2ACoaITEP1NEF2YkIiklVzeBuO5AW4fLSBZeXB
bmRg8vM4AylPVOpt9OThYSO2SoTBmBppn2t+3XlL+r1ZcJBA6eYHWFsu75G1ecNOhg00ciJZJ5zw
bQNGi7jpND+4Q7NFUEgO+PXPoz/UVhGjnxG0Th1tBz3B20xNb4bcidunL/x8XgFEggarL9ZCmmII
dCUGPKid3WzYdVSS3j7f3ZgXVBdR4+EYVpGwMTKzyUrsSPdrEwWxfWygHVNygKxMEVQqgdNCUZmh
zUrwXL0EPrgGMtkn+USeq9gefyhTpO0vT9THs+v0KkfeD8UiXicFkFUXzNgFGj+7bia+MtnoQm0c
sE69T5OJuOS11jXHmvJdE1+308MMwrGl+pX1kg20NlD0aPJ6ERA9Z9oGIJ+pQl1TVH8baOqujKkk
0lzZoGB//9/3xZrcAvHyXqXod57JvA3bdjMVkUMbZRPIaIfXRoJcHQg0uYI4sgunp5leLQ10/nB3
ae28ue/raXN5sVa+TwlmCRzZ4CdEIHv6faIVSRmPqPAp1vfB72W9g6ufx6aHS6POf9YvC5qNnDNi
Mh+KltX4qn0+4kL1+O/3z4pOEBkzjcZi6Br8M5e3aBZ07Emy2GtjwIUCtXNOygu+qdMpavQiBuJo
ZH6KPRn/aDXZC/Z856PUiEo4Gs9xrmD7nxpQuwnCjlUy+Eq2zdETEzuxjIH0fAwwgXw81NR1rnvO
L4Hj+B1ymEOlgTojS16CKHHbThIAne8IGMAMgSQLnSuqeDqavQ7cnKkMPoOcLC4pty69VtlmliQD
J7PD//1oIBVa6Amkf7l4tuo0isdAxBTo+1yKcFtdFOAx0J+AXN8Z8LsjNAffHx2AZykgm6pCj9d0
mBH9c3n/yczwhTsaD0W2ctYTMvhFp21Zk15lVfnTYtn7ZTNr0wb+DxTPgZ+A0pzgYqTA23+p+t5P
Et+E3HwJbYxEn722+XxnOZ6CCI4QzuO4OqMDAfawMzqTdb5u7Ar9cbD3kOBxrPR5DN/n5NvlYa3N
HhpZ8FpE5pyLJpzOXqt3KZKDSufXyz4y/Szds1ZylayaAJKOJxbAeSE2HgCISLO+Tns/SjSnUg+8
SG9Vmy+MwwSvBgizocYgksy1fVyCf1jrfCSWoNesEUe3vM+bgDYOREXgBZz7+3Sq1EgZIL0Kf86q
5w6lskJ90GTFqzUvA+s0jmQoQHFKtlMbSdNDD9s0R5zG6bVZafd2qW+rofEq3bq6PJzzqBURpKnj
D88XnOVK49SskJrJJt9aIMCdX43xBjy/Hhufk0aWzF5zgWNb4pOlsbsRLZ+Tr0Gl3XptIDJax8+X
x7M+ddzJkPg9Z9dqopROQY2pC6cfJN5OyXW1uJYsYS6zwv/96LTRSViQpIMVTZl2IML+QPqY9F5t
JY00a/cNEv/ooeDIhTOmgjHs7ahh7eQj6+8syEtls+RWXl2UIwvCouhTZaeJ3Ux+w/6ZSpBmo2Vf
1lew0nsF9nRERqCK5tvSEOarCLrGyuZi8oPkrVRec3q9pMZGsznGPXHAy+0q9Lqht01fS4a3bpr3
NOAtjohdLDVZIRjaB5OOaHiqvg0mu04K8pRW9cNisQ1bDKi6shvg7lXHQHv7YjTfLzvk/+cHgO8Q
lIFAxIlp4Qrg8mGk8BWrORT0DxkGr4E8jHKl9m8WhNOrfUduNfbpJDtmHPT7/7UqxKPF3M1tbsDq
rFdOjZCo9ub4Z6hLjo+1jXBsRojp6iTr9WQ2Rr+2vhnF96rcVmgq+jT5N2hQjq2Il/tc6pHKrYAG
1YmgwBp9TvyKN06a0AsBPw1YHtBmL4R1Tb6AlHYe4SRNUrnq1Hrhku0U29rEavhdMcO3y07BN9Xp
y47bw8rjBvngGz89PxhOqDkKFjCwgUmO1lckL51+uiIj9SjAKZlMcXXtGAFGDSciJy8FNdepPTtn
CUhbwsmvviXBiyZjc+L30dlwjj4veEEWB9QaSnxehfxVH0HNHtSe1EExCYRxTm4Pnqp8uvzKIVR4
anGGnPP3FmuiGInbsPS18sUeqaMlmzhkbhW/Xl6p85njiRAd+ARQc6DEJ7geOA6LHhxJhV86Bijh
bSktPHet07nDx1EFQxEXMcUZwQi4XYspWebCj7Y22Rh/7BmVsE0mOQbPT3lu5QP0qyLHJUYUgFtG
SzzASgr+WIfVkSOrh69M1LEF8SlfpgOkGbgFYm05maDufnoh8KYDES5YGhF5iwsRtaztK8CjET8e
cpeFkqzR6jLghoX8FBdyE7NGS64vY8RGfN6cnTwmTjp8VxSP2F6J19HloawtBrNQyUWLOhosxATe
NGagmonSAviQJxPviGKDDpzLJs4PGChpoYCCdmoUpM9kH5pBN9NoGKGtE6ce6a/b5ZsO5ADwSpu4
2Cpqub1sb236juyJ+YPE6KdqytrSr+ngkAzk/Xr8pOU2cdQq34dFLgsp1uYQdBxIw/FTAPQWpyda
ZyS2Xmhq4Sdq/EanBAFS4s6ZLRnXmlfz3BfvHQXRjCg7oSVQFO5jE9sfzBlX4GWQrNPqMPCSQPyN
GuiZALsyzLmVj0rhW9RCG4z5mxRgGJ2C8f84+7LlxnVtyS9iBDiTryQ12JYHyXO9IFxVLk4ACIDg
+PU3eaKjry2rrfZ52LEfHAWIGBbWkCvzXMfQiWQi8oiAn9s2YN9fBdLd0YEJKKoGTxxLjLyw1IWY
p4QE4OK2tkFw0fKHubPxI5rEGW+ZWP38hHyc/9jP9MquEzPmD2r5pj17x2kF2RQ3XOeQtfJEfAbo
fmplUVMGzh31eNs+bmVzKlpF7ZSDwZWlItRwsqatOsfSd+p4fJxkuRYf4oC5q7u2HDGJIJmlEnr4
fs1ODI8zYS+qQ7AXyGh/Hr6d3A4laK73flKiRnXODp0cHoM7SzqLfCkkFDHTMxWTBIoxT9r+uTnj
+p4cf+m9QhEB4KL/sO9+WB1tUVCyaoxP5RPfkB8KlcFpQ6UFTKAIxpeDdZy0oNQOobdXyX3cFeuA
6FUd3PbnDNupb8CDACQ7shbwnY7sDBtkq5Amk/sqfzN9mZjxjCNzboLl7x8WifSt38N7knsneFbe
v9i+//4MffXQl3rU/37Ack8+jF+1fQHdnEHuJ06T3t+MNIv9KyJfvp/mxAMAoCDwSWi2Q+b1GD3U
DLxvQJfVQJlKozVNeyoBpfIehcVn2kcvVm7O3I0T9xtPJ1CRBF2EC3P95+9CJ0jDTGQ3e79v0AM5
osij8vDKinV9xkaf2iHUWpGyArE4OqyOLNfUSFWJ0VH7hUz+QQz/xfDgGwFOcWGi/tIbFNOa8SjA
LcmlLSGHzMdD0xU/70lFCfTDLMsx+XAMRDH1YEXGMWuIdVkP3rXsziFDTqwTEPUogsCLBcL7mBjS
C6hd9Llj9uTX2F6O4sepEFQNPgx/tA2zgoEpSgzfBVlxN5PN9wf45K9HDQSkGQsC8rjcHXguEjoK
w+e/vO7Vtc51ip84r3jD4YqhWRAYu2NjWMnIUsXEuj0BLJmgWs+aLDyH3Dr1EQuh+QJBW9qqj+hI
wpJYvRp4B/FOmdYrWp7jbTlhTVC5RRYfmYUlK320CU1T8qLzqdlPwdUoL8vxagI+/ZwK1Km1AuIG
eVzbhnk/1pqKDRTSKgtrNYH0OBfvrfPuAND98w3/MEl0ZNl7QFmaoMdatf6LSjtx5vE78Q3oPEDI
DeDucq+Xrfpw4UZ0HemO2O3eopvKSfV8JmA5N/7y9w/j25JEvPExvjSXFtjP3XSWZ0zsCZuOoB46
VsDGgej4eBucAv77GNVm32KHtT1lnvPSisMoDnn3/OPNWAQ1IuBOHf8EI2ur7W4UUu9f7HjPpjNr
9fVaAGYAxVmgZIAI+JKC69rYN05JvD3AzO2WmjOu5onh4Z7hCUJroLsgTY62YnZ8WYjRhQXPEw3O
iWD109VBJnvhgoMwF6Ks49pJR6xwRJUJ0JL8/bIv/v589KUdB+AV1JdRXv7881mvjG1Xvb+frll7
Q+UZB+TE6iwIJXSc4r1GDHV0UD2XhYMCuHgfM2ftivkJPEpnaktfrRJkoxHtQjMF3/GliFEJvy09
YQMvCJl3P9VxRvXW7854al9v3NI6jJovkIkAmBy3NU5lYQjvBnsfmXzFglUVkrUIfk7sglnwgC7U
VTBPx4h/5akxopZyAF8Zkia8sKaVnPbEO5PxPLVkoF6AEYfEDDzbI+vX5EE4xfns7BtbbImPSHDO
2Q1yrOjsjn7eoo7MKoRyAIKHQUcb2ecTFkV5wSzaWvswEfq5oE/fH+ATG4NWjxjShEvVHB/zeXj0
m0bKVjLal7157GqKSVzwmVqP309z4iB/msY5mob53sRDFe250yT2nPTjmT05MUGA+ghygChVfG2L
gJYotANtXERP/3EenPrM719W+XOmcWGrBwRmyaIhllmW8cOLQd3KCUTj+HvO/uRmLV9IsxudNZnX
5fjvx0uF/V74MNC5Do7Wo6nQR9iWtQIJsFqR/LIatj8fHvQRsLlojkTG/sjNmX23mHtiBXvhJBXq
J+eypac24uP4RwcqKkk1EbsM9/a9pnUCWfczvseJ2we3BskroMeAh3GP1gcsO7EIm9zeC9BTDaDz
qIsqUZKn1jk60ROfAtgWfFowhyNPfkyEVdUWbyepyB6M8f0dnc6Umc4Nf7RSvaOq0qpB71knIQWh
f/rjjf7064+unHRLTfiI4Us/q4q0/DkfJrqE4MuiRW+B3fiLB/ThSqiq8+cqr+Y97w5dcOfVv8bq
58YJT/fSQ4dLB3t7tNWTJaHU0WiAjasoadFKFU6X3nhmG5ZBjq42vEz4H3jAAYA69tQKj9RzwCpw
Vjp5Uo/7sXWTsH/4fjNOTgKiE7x/gIl8USSXbtRZlaZkL/ktVCkoVAKhe/7fzBEDawgw2wLW+7wh
XdUiRegDEBg4l3kNhoz5dnDOydOcuH1LngIuFUohuBhHWwI5LFrRGtRGRPxrnB0tLqgFrNXj959y
4mp8mmX5FR/OFplC6DWoAtR4/ntD7mq6/n78E+YcOho2NGSgX7Uk+T+PX7AKsHAGomC/OnjVk9Ve
xPzCnebE+CoR5zqPTn0NOImRAFngjV/K6ENex2Hdga6J9v4qHOLnqTt3iE9UytFIu3QBgUpp4Y49
ckRpj/Ku4prsHTL91oOz6rhfAPUgtwxF7MJX22j0VkETrBz0pWm8ZmfM8okTjvYFIPsAGIc/eYwV
UBAoIdZCTaStR3+6dosL1l98v2un1hHVBKT70SK27N3nXTMllRaYSWfQXoU7tzc3NO7PxFKnjjfg
z0s+CZ7kF4C1Te0g12yZQv12OAj4Y5EM4Jz8L2BKAT4ExUQkR+B5H1sdg13wpRpg/EkzJ1KEXkKm
MQtKt0ylHJ++X7lTm4PS/BKmIC8ATpDPKxeVAlGGCvCSNWXq90iglPe0LLLvZ1nW/8iSAl77v7Mc
vThRU1q+hiDAnlv+NW+6xIgOs71ZpdkE5IyJ+PpJ/3G9gfeEhhDStMth+WAijNa5Lsdi3ledRKXc
Tm2Prxzr5ftPOjkL5JAAWIUm4Be0Oi0CFLEY+JtsauWgWJnv5kGAObbJz7xCJ1g38T3/O9OXGjAp
J4k+PcxkOwnn9zR8jvk/v3xoQfVAOnTyFf8faYqv5x0NHi7gzzDpC8HT8v0fVrGrLeIxcNWB/hFk
OStwfIJadT5Xfz61ikvXwmJqEWMcB/nUCUZ0vY24VSVE7KYJgf5dXP35fqu+Wgd8yodJjqyD36lW
aj6Bfq0jl7Medr7bnjngJ79jeVyR0FkEDY6MLBgKujlo/Wkfxhs+31rTbXdOvOjEV6AWQNB3s1CX
fFFVnGv0V7VV2xxuI+0lCETOmOlT4yOwQFYKSG8Y0qNVAkUlkMZx0Rx8KpLIrpOfdyahqAwhKSQ6
kX+EsO/nE+Vov+KIggXEl7JJrIvHH+/yx+GPs7Q1VbCmIYYvnMd8XgfFw38xPtqagfhZXoFjkHI5
6tKuIpsfZjMkDmq6zRnw+KkNADT5P51bSKeFx+uTc6annPNDnbT0pWl+HAcD4AHyvhi5RyTsjiG2
MxEyjEaiDiC9SNEZDlni7PsV+uo7YQaIsEZIGSHWPn6FhTfaxm5sdfC7tCBJE19VdkL4TlQAwJ5x
ab8uFuYC7m8p7djhl3fL7ctBNsRoIJ53crpSs/7xdUC/AGjOUQuDGhH+f3RaC0D9itlXh2KqMw41
xOIcdvvro7jMALwVGDvAynp8oDpjiZnwWR2yNr6J46zr0iCxx//mO3CjF+0rpA6OCVU4Ccs2H2J5
AHVqRuc4xaPx/baf2gqkaf/vDMux+PBSjBFDlWfEDKwT6VCSbDgHN/36FmGl0NqyEMTBh3SWX/Bh
hpiHft2AFuag6kveAJK2bbtLc47e5MR3oKyAFCHyzUipkeVXfJgln4BlnXHND62RaxvyZf654OLU
DOgHgo0FNAUbf2Riw6IqxjiP1MEtH0Vz1/7YCwapCdQNQf4CZ/iLBbdoM9usLPlhoncQdBU/N1AY
HzVIcE2hSxKTfF4giT6gMGaUHUyhMuq7ibG23x+lExsN8U7kVdAHsuzE0aWzfdCkTCZgh85bS+s6
0JdgrGTniFJOzLJgV3zcuwUnFh99Bw1sxqKhFwfQ/ej39zr+c854nJwBxDJIT4AsANbw80oFnYQU
tRyxE+6ljN6K8gHd/Wg2PLNcJwzukv9YEIL/oZ08uhc1stCjb/DkWX69qwY/swYvUyZejwTt14lq
X77fnhPn99N8RwvHCkV7UI+LQ19Mq8AzK3KuBWAZ4XOgAAQfLjoya8hCot/088L1pJrHegzFgap1
RIvEixLlbX7+FS66zBBbwQkBUOfzHK7qmBehUH9wfg1D+vMEBcrRwOaENqCCi2n/PHre2IUQ1G4O
3fTLcd6h8/z9rz+1QsD9xDCG4C5GRufz+DYLw45FjjiE965JYn1Vsv1/MQMMLfKocJjAYPR5BlYN
89h6Co4Ueoqiskxjv0nm6lyl+NQdWez5/5nGPVooVaNLS/uYpuErT9xZ1T0ai+z0+285dWKBDMBG
AyWAtPbRJGBKlxE3tTio+J3fd+c6vE4Oj+IbIkBYFLyBn5dKsz4EgoLguMbwdwa2YhU7s98nwj8c
KPTx42IsSYHjvBpxlBW1lS0OEbESu9v6Ec1y+V5V1YpbU1KgtjRIksizIo2nTtrSewsLc4p/KWKF
0O3s84Oc39340VZPzvTv++054QLhNYGrCFACMJT+kb33irLL+QCfOuBxajfurzCvN7Mv/kbKSeL8
5zwxC5coCJLIIvADN/7zdnkG4VPbUn7o0SXrgpLPUpAFjM+cuVPrtrSZ/UdFD+K/RymVpip6SKlj
FtXvonDTj5lzru/61N0BzT8ayIEBxLk4mmLMmVWFCi9Yx6+AG1mViiftcNMO56AvJzYIWShkAKD+
BZfCO1qxwfEEsJRTcTB8fOmFncENTAiEDQPTr8YhfP7xeUCSErBSODDICRwL/8TKuFNbC3aI+Z7g
vFWP0nGTCf8R+vD9VCeuLhDOEAmHbQBp/jEKtB453O/eh6sRPgdJ7/z8qUQjCrjF0CsEH+P4ENBp
ptpgWw7soezSLj9jFU6cMXQWIhIF2ySqIMcXR3iFRYlqmoNxMkYzP8ymc4zyJwiHkerE+QXwcHks
j929vJmx+Rp+fRX8zsOUj9UmMjyt+7UhGzZtg/Apbn834oY654KWE+f709TL3z+44joI2zl0qTyM
1nBtgiELR3fXcHoBfpkzt/X/8ZkhGPOQo4Z3fmSDSFMwBQlheXBBkpZXN5Fz7fXXlXzlXbwKorcg
fnAhtUMDk3bn7vEJBw7ZZIIDiMeDwAR+/k60o+a2DiJ5kN5fo69id4dOklU4baja5sN87lNPnHk4
JcheAxiPWtNxalmreJT5OCBSm+9QR0llBDHZSaZ5zVPmvwf51lOrFq0aDrjJpLqL3VUTv35/7/7T
9XXk4iEVjFdlqQe4X1NlUoW15wz60M/WrU1xNVBky2hRrp3cfXC5s+5a9wXVPTTP8oS7ZNVb7TpH
TMMnw5E5FpldgnZQu83b9z/ti7FDlL+0ay+7gZbqY12YnEd9MeNaQbH9Fly7yWSvtV55xYbkP062
YQI8fPHCMbQAwZad+nDA3VEO0FTv5L3LebqR+Tm681OfgjBtqcQhNf2F8CCYrMkpIoPx7aRxpmwU
Omv/tOqtaH5/v2hfztSyVAQhJ+ShgYUNj14IVlfGHYWn74N0Hle8WP94eG8haUFuNYTTfuz9jKWr
mNRFe1/6kBoZVWrrc6QNXy4hgloIxWLn8fAsFdLPe+ELZ7JnHfT3vvuvFvfluCF6M1gH6oOfyTvz
wp1YLhBo4nvg0KHoewx3cjpr0G7Q6HsBsXNyad/9eLkAOnM9UMyGALsc19paXtPeY4W+1+6/fOWK
fz8fHgU2IM9QzYuR7f68VEuFI6oDR9+jmf2POec4nVqbj6Mvh/rDpZAdD7qwdPW94m9p4J7Jf355
MpF1+Tj6ka/uVSbvvQi//Vc1HaxfQ/f087VBDgw2zQMjzpf6t9UOrEfIqe6ZeDWiTTvbO3MXvh7U
pc0brz7Sz0ilH5vvBnQ7ll1ic4v4ehzh/ge7wfvrhlfTvLXaH8dn8Pbw8gM1h1gcyaSja2F5eHuj
ptL3Q4G0JDfQ+lr74SM913P6ddcxDwCGgItAQOqL0g8QQXHT552+t8tVU67OqcedG375+4dDNRLC
WsEwfNfuSvnIfkxQtixTAC4B0IpACeU46S29uCpyivGJibKxyW+V4qlt85REIq3d6OH7U/b1FAPa
BCcFSXxMitzS589hcWvCfB6He6A/E3t4z0PI4Z3hQz2xZAtpKEKYGIESkMqf5xjmvIZ7XI33Qzhk
fqMz58dGEIV0BBVYMoz/pcskpy0rgrIbcJCTtrgurJ+Pj+I5yDqBD1rocI8+AEunpgiCLPdm3cYS
qMIfI80cNEYBd4TbDj3sL305M6/Z5ISFfx/Xv/zqvoTWC1mf6/w4sdW4e7joyC2gj+zYOURDwAQX
qvTu2wOIpCF5y1fFj/kU8SEf5zjKj/QmNDhtmKMsHfCsP0G950ykcsJoLY0rqKEsNb8voarXdB0a
fzGDLDLu3uBhWTPxTqYLaGHV5BwQ5MSaIWpEXxnSeguP3/L3D7eddH0D8I7r3Ecz2dYkA4ObZfLN
93cQ5ZnlBH1yYgFZBgBwaToBod8XRk2lu5kONHDvyz58copOXKPRWWzH0qtyYPacA9owm1taQarO
oaG70c4EztgBLW8JsyzUSWwajHZaxYHajD5nO2XMbyeu8yQCj20yelauV6bwqz+zXZSPBaMWTzzq
eiIRlROViTe4fwIP7UDAXbkXqhaLfHY8VlmlLbkaOmFtYh2Mh2LsxoM1xcGbh1AYujcstNbGlja6
ZfJ/UhXrLqxA6VUC+qGUBaUr19Zpn4dI+cWjfVHS6ndl1cVamkAnsVeztWsX6r0e7W43gjTxSkQG
SVrtlL8KgeaMpJgmByfVwCKy3FvPGk3gqSr8X5obH2W0sHzRygR1Ap6BewiuPLGhbbI5nOtnHodN
1pV2v/ZZ7K4lF2Pa23TeltA1TKLOrleSWnjsTP0IepV8104WWbmd9XuGOrBOejM7RRLmEf9nTWOR
dFD6WHm1DG7kZD/SgdSPGtTIW1tqaJf4XcjSnM2BnRVofnJXXVItuoK1iV8GVPzaVQQxwI0tu7da
9c92LMbEbibnKoqx6ImISZ5qI8fXSjahTsLGn9GsyvnjJBsEVo4V04vJdduUO5V3F5aD1ySRFpxl
QrjR3uucARWUgqd5bvo5mSAKehW6zfSnJP07dB3atZLtLzEjs5cUrpXbiUcKVF1YHz0Nkj2NbfTs
zPNUJGhvIxBQr3G4qoX825ryjMwikgnvc7AcBvHY6LSzLPE3iIBZYjnN076l4lAiy7T1Yv0AHP4v
3x4hXFEVTja046psybuxB53QJhhv43YeTNZGnd9ct1bTbQYt/rHBC+kajQ6gP2h7/yEoe9WlVKJL
PrONC4rZvI/aKI3GqbwHluRFBEbgRbGCEUmd4VDr8petwv1UGdkmViVeBlv+GQtlJaouvFTUYCUZ
/HxIqVeGSSmLaN3KQF/EVheAU7+UYsVkVfCMoA/vykAJRyXSVeDiyF2ZkJL2qyCoyk1TzXnS+0Zm
Nhql/0GFQV7UNX9k05gnpKm9lWjy56613KdAOM3FNLV/VWDaPglkLi4lm6y0M/6vLnfnMLNCt422
vJztv7EMLFArTk71TEwNXjkF8io+dAOII+sG/kwJnfIc8S2qWk9AJRGzscBS0l1ORd15t5QAZzG3
ek6Ub5pspG6djn0cZCEr/wWVElnYVp1ZNZHPEt90DVtHYz/jAPlO4gxkV00uEYk3eUpdtBOHvn3n
22lQDSoVuQKDGmtAnm+DeoygjSZFKsxkZKr3TgGKFOONv0GnqzbQXcnTgXp+WjSuP6zbVvte2k7R
X3e2Wr4ban1dg+v/ehEydHAg9KPD+W6qrD0LG2lt5l4KDrEpAnF6Wj7Qkb3aUQVzoxwy+hmPu6a9
1FFZ7fxeo1OvE3VvJ5YNnm5eVQVN6jBX19IlaLiq43p4FASS9xfGt/Lt4Mv8fgKBhIVuqU7Cx/JF
Ulu5u4lmml8ow0W5qqywoxsczttak42hZZl0Tv0SErT84/3TWTAEQ9qGskndQudQeqxpdQPVXO9W
j7TOhr7v1Wryh6spV2PSl2TrAixULrQ4rA/sfivGMfrj4LVcjwUlf6hed2zdA8i+InTA8UfD+u1Y
eQ4FhCnIQexLohtdOrzM6sbXz5F2pwfUTX+DGptccdPfCYZdEYJPL8pvCpiWsi1SIDXtdjUPbEwZ
wFG73I/YmvlkfOuMphu3j/gjscbHWVSv6C6SF5Gj/J3DAncXKZwOXGEr7f2eJoCsmaSySJkhwUvR
6S6m9QwU2c6qqSWu3KDvx4Tx+TeolCprY0N6h97HhoOnYzBTolifT2+e8ZysHsYh62DrE1Z4QYaa
qpd1gVJAaxl/JikLmjgZBi9O3Ij96ZU7pMzqYVoFmmEutF9L8x6bmcYJgKc+5MDbCkrkFodWtVHD
UK9HMdPEOBCoLZ1gwIM9gjEP0qiUttiF6bWZWJQFHH3i0pn5VT7rXTsUJjE9A17RZr/jCPmqQha3
JpydrO21u/J9qBKQAeg4f+i9pPWk9Ypn49/klSVJTdN0WeRAzj6Ze3h6ieiIlBs3p6W9CfH61dkM
Vbp6M02C48wWeZPUdlzZKbxmH+c3JO4ujJCrcw0dM6BqtlVopTNDF7AtBBgy8cuIy3Gw2OBuGst1
VmXhRGnZRdW1O9Y8YR3bSJ8m1MbGmB6/B+9zdw+oNrlzdC5StC/jjtI5msUKFKtsLSfirPyypjit
tL0PxhHUj1SqPQWwIEWCcUpAU98nLpjRd0CR5hs2zkUSmeHfhBVM8czKNEIh7y4ABcJmSUziZrrD
yvUGCMSVDh1eFQO9G1S87wDjoSthVeYVxm94ZfU0ZbDLzWUTFe0hglg1bEMISXIaDvWNw6b5pSxY
415bnT38AmGzk8xaQ5VR2E1aGJu+as3/2G3gr4PSB6S1Lp2U6GFKh7kil0GL5YjD7q/nmgMZ7CdH
egq4GCu6j2TlrqOuCHRajsACuCitIC8T0K3t6jajsmhS0G2WqQdNn91UBKA+C0R7ASu8OEtRs6pL
HT7gAVM3g1t3l34N1pHawfXonCasUo5oazPUXreBjONwFccUXlgxRg78UzNDPVmoa3Rhe69uXz0b
JyqeBlM1iT9G6orlDmSVqwo9ay28JRkqXJiR1OFdNKtYrqx+dJO8csXf1pAQ6uUNXvG2ZRzelVry
rJOfBk7RjGDGUXphCu3a1Ar62tyCH6n402jqJng3nnXs7I3Hyx2IMmOUZFU81xsbshU6nRu9I2V4
qIOhxkG2WRL4+jWPzJ2sVLO1Yl6mTl1s4KtF/gi20HENk7vRbddf1IHlZbY1QiRzEiYFUFslmvRO
vy4bMLlpe16wW3iu3Ym3qSPQS9/5/Caf3XxFvUKvRsvu8S/aLM7fdBvytI+ZvaIRSLpNP2Rl4Gal
lNBviqMZRYPxnzvZvwc5rEEzIYCtR12hjjdeFWWK+n9zV5BkrilaFNDgmIS6RAdMxZGZK4skrgZ8
SCBNiuhuvpZ9eQ/Z6Xe0hrL1KGsoxDrts1urMmVO8DpPfnlZG/92cB1wZ0XyH29EdFPlpPuL3h2y
KyPaPcwRpbB9AoQH1lA9itw0K07JtM1lMMSryWOkuoacgUosHudXBMsO1li0aUfh0MSZozvfJFCR
g+tV1X64Gki8IhHeNl90DXw3C6ovLR7NFznh4UuIcot7D5S6U2qVCrTTORWvYdm8gZv2bcgDmvK5
aOG1VRBVGR7o1IwHpQ2cvgKGZkda08uM1QEjaVUN0H2P8CL9HaM52oCeu3+D76Az5G38hHslqjKV
0WpV5JZa+ZRNq7h2qiv0++tbhw/krjVBuVaB9LEHQV2nVd7yOJHlRB9rI4FwpE7Lwp3pwsZJcq+f
5ywPLWdtOeQfLUx/yxzxqIOAr2B3ES+QUm1tAblXQI+An+otnr+VrTBwUHWgoxX6s4pNA8OUDoAx
/PIs3VwhZgCn2WwV47ATHlfOg8Wl12wLGXliHcCxBZ05rdY1U3VWl8UDSoR/mxouXuNXqet3E2xg
h2Ainv/FcW9gw31YnRC/vsbur3gd1c8AqEW7WTrVaqyAC59wr+9NMMN9b5T5VTq+ebA861bpHqiv
OIRSbj51qWgV91YN46DfE4X9gCp7ZDb2VJUVhbRbn1tXzsRFAaGAHvJ+8ExRmjCdUvAXZ7HOB4J2
oc4KXnts0CtlsZ9fQ5s2SEIA8rakHBvvQvb2DWqvPXgae7dJudeRLat8t1sVkUaGJ59QjQGg3btR
QRmhW4v9cSofviyoCG/suBzA9TkUl30OwFGSj7x79GjdXiDrMqDs7Ds4tyIAzXmk8+HS80rAUSSr
i+cxyKPEChnWAUAlUIvJBl0Zttus0A71FvhzTYDPh//rjdGdNK1MWl0owEbnMq3z6oHYU5lWWtxz
Yh4blAguvVjOmZ/PJpliCB7SgvPbhnCRjqiEPotA3M2ygFdGujCFWiGuc9EUFzZejk1py2gDigsH
d9mNMoC1xSXoHYk+oNfHSSKPKnGdD4XiN+DwOJiA/IKSUtvtaG68aE8JAfnSTDqWUMX+cL97IC57
dGBPcV69/rkgvnyMWGtD5NuZ5mfpdeMNzO0u4nmQAU9X49TH0a++nJ+96LcoBF5DaZFtHvjWr0pU
JGFwWKtE5xESCkXrizCjoMl5DnL8fK9pwt/93EVJ57l78Ff7q2mST03VlamocDF41L63fZTjmjXP
3jAi+p8RCxajapJQWT40W5lIWxc9QN0Ykwd4wY9F5JXPIHEP30BqVlzOvq3wlrYhS9hIm5u40gF6
ZX3DLxk6U1YMkINdBzIqsrbnnB6aSMQig06DkNvZ6w6tCOphV9YLTScLENQVMXrauoG+2/30Xpvu
qleQim8D/jaF871dgAV21YTuTNbw1n67VHgJV8CXIrWAxFei5g5PYBABFRSFAsR3EaiwqlVjGuw4
COidi9g0IbqJPHXhN+Q3ooDfXtxVaSMmnvic/IZ0MyixYIuSucRioJbFUVceC6yZouZpBqomnSKb
4gqx/p/yZithfpinkw5nhnxDke+M6LtL6Vqdm9SD3NE5hw5ZD8b4q3ys/UOdB8+jRFuBXU53IwvC
DJE9Ir2hrGBY4gdN6LMlSysJfeZt5pLJdJpdtp2HqFg3Fe3wy0q1DwbRI4SXS/MFrfQvNOWbrJzh
bCM8pelo5njHyzxPyYBexHpm/YM1zOythrzYC3ohRb9FMkjfVkBfJw5enj4dQu9+BpPWowJzwzYc
dFmlTkHqHajW/EdZ5yVueKANEHyQbkrgObqvEk3OF7MzDl1GGytUa9HwYNN3au1LQZ4RDw8ZB2rr
pgd76KrlTYtOBNd+Y43ppm2fo4EbgRQQj/liKUgXJ7EhKm2jeN7IMXrBylOoZDPEbBFc1mkmDw3z
hm1dIvgP+21h2+u4NPEl0eEACQhadjfG1NrbxU03rzq/dC7LFoqzqFvrzBvME/Kj7jawnNe4QEg1
NvFj0ePD3NpPgsLf0YrcD9TAA6/zP2ErX+Gchau5cOOLQXu3MkbZfwzr4V7mhTErrQlLNRk0Sy1C
RKZcWmY6QmhjJvo7BKVX6lsMHIYe23LmbB0VbBtr4jqF26yghjyvVDtu44BtXf0SuVsTtIk9+e/O
mOt1q6R95RYFUJrIu777SHy8FaFBIC5I3mUBA6nuxMQt4s4np83rVd33HL5nW62HOGyTumvZzhuQ
R50UeZ2sUl5xHoY8G6h8s6152MCulltdzMEN9bxhX1MZZ1Xn+RkJqwdu5j9V3vibuowEmr4ch+2Y
MiztCwlRyhg84g99PD5JZQhIxTQ03RQr+6zGtUhrY8cXilk8q8Da1CQUD8ufchD+Kx7kodnOVfUH
2fjwigHmc13mgcrGYewTAhtzNUfSuTU295Cr4f/D2XntRo5sWfSLCNCbV5Jp5VJKlcq8EGXpPRk0
Xz+LdQczJSqhhG430CiguxnJYNhz9l5Hkl2hBzB7bemLow4nfZ6VXVPow6ZMuvh2UMEKB9jS3Lgv
/tiR9LsxSspL28nZSoGdVRyafWzeP4KgALcaoHwK5tg6hAYVNY8jMLMXfSbepTgqBUujAUO+CBvb
9oxQ6R70JpnBJRgV5wBHioib5pbbK6Laa21SfYqLcKlkbX0Wjip8kdnK0zBo1e+4r6mnErBwsh7O
85eK7WDXadxutyN3wMfGVLk4mmZV/Wy1FHxqWz81SqcCJQZg7HVJNHRcnornIjXHI7ssqbvJycZb
kcXWdhTVjwlVbe7pfTIRY2uCz1B0ZpiPTb4JG8m5j4pa9tMQU0uC0dJymyAfCRE634gAJF7Y5e3n
GS3aAz+pmrgKmQDupZkLF5cFe2OqdSxTSyWwtkMwDZ7cJ5D2Vftlapv4t0PI8wRj6nPPVrQXCFe9
wB4U4TWjpG3mwPysELPLWIw9E7A9nMEo/dk3ascrJG3mVrpIYn+opOkp1dr0t7UoGeJgYBV0Qu1b
x73zRprt+lfQL59d1k/8+NYfm2DilE2EzFedXmxQM9XPgcOdVhHOkyqiwBN6abmqVjIbi3xwMz3W
vZFVZ5s05Uhcs1L5Y2Vov209tz4jvEt6d1Dj5WIhpTrDSBtH1lcuwlo1JPu4lZCwIWFGr1ARkzrO
mjnudDmfTngH7Tt9oH7YlBvFblklnrpmcGY/kQubUvGSILAwI4UMNRjJCuoS06sVLb2Sfb2UWgC3
oixJDOwta21aVelKEA6TdrbE59naCG1fDh/PW4FyQYEA1AOtg77KxqSWzakiTzUSb76S7AlTvZ+4
uJDYwzUPIwFJF3+tFV0G0SotagvtnEub1vCU8IrA6MLzl0wxchDMDRTVXGmT81QOnLR17HNn/GD9
ZAC+//svfIJ/n7/Wb5qtNRBi4/lZJYgO7fXiEBJre7+RKy+hrTRZShNOdlTQiBLfsodIV5JHlx6P
cAKSPupA3HDLv/8nQ6US4KGiimmhdj7+Dq8VHnj7dNh/iM/Rs1CkFVDW66fbk6NJWtxrZ9Rk0sHO
9+/3zaLveJ32ev34Vd9wd9PVNuLxcnXrWAcxH4ZpZ6XXpAfX3mI1D4hKkt+QOu1czD/n8Tn+8f5b
XHv8KoeuVm0VkhPWzlW3J6atXfnCFzuJLCRuUDKeprH6BtDPCjNm6TsX8tZO3aly9d/lNRDrpXdA
z77Am7kfvgEaBZUSpRUhh3M+si1OpUtFz4/30t+qObBAkWavUa9x0hZ5DA/4rBOGjPVNXn7Uwodz
798GlhzrPzPBTMo5qYCInXtNuIPtB/I1vfelTkL4TwUODQMzbb1uQaqFRoRJ1c8vxMxcM7jmxbj0
fCAnS6WtRZq/lmEPjp3GWtWb54F9kOO6NUhXPsLSB6sJt8gw+PmoNt/Wce1TnXyp3llnMdzPoQ+L
Ytg1T07x8RnxqpmVNkrKkzR0bJqpSBf4YXZlX7gwI8iXywaOHqTKb6q71CWxjigqLU7Hxl06+ka+
00kNN0Rg3h+zbzcIAGIIHpFzY2HGN/H6g3emoom8crhY6HN8OxnFmWyE8VD1Qr/S0oVXwgqH92pB
NABlWrUURiSn1dSWz4rye1RTbxi5CpJtJoD78ZaQlSGHRsxioMhaTZMhBs/B4JvO3aRyF6iHRtyg
KVC/pUNMBDKygw9rCKEKQ9FAIsywg87/uhPJqk2I3Dr9HLWbVmy6a5Dxv86e1aBGkqoiocVIvehn
XjfQaBZXlJJjiOIQoQslI/PyOLMRHzft3ZzP4QjmoKIoN2mdENGnMhy4WlluNyv1zazY6YFsY/yk
ICNwQy7POyJM1j1H1ulWyydZ2k2m2T8oJGTvtfEbhdcgmJn7VDG6bSaHw6ZoMDXFcmUVbmAk7YM8
W+FmNGTpR5ulylOScPR8f1xeGC24b/EJUTgd6fWaTe9Ql0I250Y726ylTvY8qWg85h0xvPfbeStm
X2y+NEV2jzMA4+Z1144p1rE+1rWzMGJXG049bApCWlNLcIpUdzje9v1OzQ/cAQkyX1ms3lqVkKYx
SE02JvwiLO6vW9eWoFNhy8FZeWgtA1RxSAf/rPRPTlx6UuUpXHqcK3iMt2swQxURDn4bGlbXfrig
N0vbGqvgHIXhLpCk7eP7XXrh+XjM8UEslclg7a161JrkITODKn6uy+G+UPKjplwhIF5rYRk8/+yD
Zd45LazL+LknodptJPOjXAE6ZfEzL1IyOJ326qukBtWhei2Nn5OEU4J31ZF48fcDvzcZccji1h47
p696OQMQeFZUVDD5Dtrvf/EJ/mlgtSC1wahXU00DFdHIZ1m9ssC+/f1cWFBiI6vFj/8G2iiLLtBK
QmNnjIhpBWX5w+ccns8XgB+8XB3XtoJUCaWuHALpnFs3hbIb7CvT7u2mh+7077RbwLhAfF6PH1Xq
KIihGOmzPR8K5zkxt8V0/OgXeN3E6nxQjLUho39Jnw3Jx4yVX2PcXPgEfx2zuPI4076ZZCEU59Qo
KMOny4f8WIYfngGOYqIIRc6K5+vNhiOGKBvyWUqei58ROmbx8QGE5x59IwsEa5+16p20ztW8npz0
WYuIcbjl5493/r+PX92qVdGYnSV4fF7c2P1dY135+cv4eL0dL8iA//v563rOOinEVOg8X+m9ykKZ
oLqE5kmae7F9DZx4YawSOUHmjXRyYYKtpvKYmGaUOXnxbJmfyl64I4Xertmc3m62C3L3/9tYBts/
62mdt0BmOJ49S5tqiF2xUZaw5ebDH+VVI6ttwTYLQAgBjZQaJeSSm7n48L7GW8DkwlqM/Y6j5uot
aiMY26QonmUr3VIi/hhk/e6/eId/mlh9jKENzCIIsuL5pZ3uxuTD2xpVuMAhQfsx2HzWy1KaiWYM
ye6e8/RHh+xKvXLWubBm4GVDhe3QUTjuV585K1H/jGVgnkfZjw9IYz7cOa8ev/rAqYT3FmG/eRbx
uAWKVqbTlXl38QVAx4Jl4dzC+f71F87U2JzFPNBBDdpGi+I+w5UWlt+4mtmIhtjXECsTTlzfT5Og
VbCz2dZ5aLbI28x0G4jt+910YbJR5IQ7NmG/v7P69UuUaHnUkuTmGcivpyf3pXRThY2XfbieA3hM
IpbUM4Viudg0X7dTcUGIQWXa5zCpboJjfvWUdGEVfNXAahGP1ChqJjL15/QPqqLI2RqxZ2UYT69M
uvUhGWcFjEw4XsSHlsvP2tEmFD1oK4oRP3cW5zEVgYF6lPoXC5NC3x9mZ/IRe5GRiPbvf6m/foF/
RsNiGeEOyeUANhi31nX0t+hiTQmDUXueRnQlaI9S3Q0RP3xy5knbxZTaJndRvsSdMfwOcrX/PZSm
c1NUQ/And8z8WATyC6qMcpuraPkkbVbJ5ArkaJrE1aKrW3gdUxbZT1FXU9OtV6MHiMUDxe4pPeDl
R6F5+EmGOsyBFXyS7AJtQtVunLhxdiggqp3Sa0jrkBweWoQqlDpJR6TpuZNmt4hMo6fBMZ7xiMr+
+x2zGsL/6ReNgCmGSQzVa2h3qDoijyyhPcfGzZddWdymX95vYDXR/9OADniV6h0Xjh9Z23aOLPfa
syxCH2F9I9Qrr3CthdVm0VJ2WtUjXoEiG9Iu+C9eQIXnS7iO8+vCnH89+aKCMFrZKjxel3ZxEu2v
nM+0C58Adx4WTB1LpPzGRKoNMXE0u9aeqWkGCDVI0/vQUqpPSleGJ9kA+yQZM2V8yiBBeIHaEVGp
cUc2mnSWGKx2a2m9cazU1HwymsLe9xQ9+WkOw10wZfleVgeb4IyU+HUiVQdnbpVdYkjSfu7yDIm6
HG1mu622okNRJbAZIKyLRm+KMcB5ZPpbt0p7+VcNldntA/wT8zRqN8iSrrFaL3xGlgc6QSGcyFBZ
7zkJjtHIHPVnTf3jfA+1l/fH4Wo7WMYhH1BWdLxRIP3X20HVBbaT24H2TEzR1dEcjOMRLfj7jfzF
zq+WmcV7g5EHVheZstVL5LPVjakT6s/WZPlltgvaL85OEL3RvyHEQ/ytlX76e9G4m34+/TKVR9P6
JgiUS+LKEUpZAklvfgo4KdAVFifC9c1LddoApmSpP6t9edfU2WbQo5NC6WIRUqwpmu+1AJkTfAat
VDZqWV6ZlRdG9UKn+7/mV7MSWVHfJzHNixYRZeri1pGqm1Cfr1wA37wnoefFOKlSg25hJ63pk3Pb
O0bA7L0nVvggwTYxKxbzoUq3WlYnmyFJH2o7/jJKG6VNT7IeX3lRdUlp/NvRsGr/gwchZEikcr1A
pIPGHZ3Y2oPaz91d2TsIpSUZuWBZPee1nN1RBKo8REmqL+E89cDY6VBp4sRJiWgb8r63s9ALhfNn
7hKg5HlYoRYc4S80Ytgjb7929vq7qK9/sU6ydfk6FzjPciPSEaRu9NB2krGJR6V+iptx8gVVm7eC
+OH9VCkFFegLy00ik+yENmwrBK9yJX7FRZ9e6cL1WHEosgDYk77jaqS8wYBriZw1WZ7Fj0OoFodq
SLs7S4kNL+tRI8+xeS1/dLE9iorRIkHYN+RpR277vAnL5DGKfMxgjfmoIVbXDu8vBusF7e9b/dPK
agYkajXNZU8rClaZGVzVNf/ieklbN7C6wjQiG9sipoEmwONgfVLEUyM277/E2+nFt+GCsRA6WDRJ
9rze/tj5ogbzV/gYD9NNGpf3uqTtLAk9b9X3D6OmbhUj8IM4OFkKVoPC/vT+D7j0kiQT4QlxemMl
W71k19kxIiM5fMyi3g9jbddaD9V05ZByaUD828jyKf+5NVuY/DQlV8JHdSpws1AReiLtJz1KHwTe
8wL0JuoA8OoGM29tzu2NwUEe60SP6Ft/RHH5yzQxPTniyj60nNdfTfClGUrLoSqirAwK1NfvoxTj
UMaFFj0mEBHdPhIwIxHQxcq5ygaSUNqfWrm2Dl5qU6eWEEckuGlE4l+3yecpKeaXRI+O+cMx9kn8
nMdHvXHc2mndwbpWfe7SuMC+S+UAyr+wBazGZVtiQwuHOnocENI2z0nzwrHk/aF3aQIDRSB1SgEV
3Oara1eqDDXBPzt8xO9kK+ci+ViuaRkMFhdgussBvsP97nWPFUo0Tw6C1VONb1ZZNuqPRQn+NkBk
dylSjygFzcXrBrKi6CW11Z1TPmzkrXVtbbjQP/CqSDbC4+MWbywj4p9Zo9iVNSmh4ZwycX8rjP/i
xwMlQdBBFSz1DYN7lLVCkUvLOVE3rzQ+D/mVOXJhzttQh0BjswFwtF+N18SUEm2KhvCxNdwg+amZ
nuogcv5Y8Hj5BK9aWa0soTPGxRAKlq+s2OGV+G416cdiTf/bBKwKwq+k4uXVPiPkgCsc0shHc5p2
aEJvGryP78+Ey331/02s+ioPocLOI02E6lGTfBuvZLHrrmWzLkzpBXBL1RTQYfCBlhPtP+PJ0URV
C+gxp6wx3EkDg3moz++/yIUhS7aD1ZfLADPCXE05xQ66uYFQc+o6T2/2CA/ff/6FjqIgHOIjwmfE
w9cSpFyO7XTqZGZc+VuWBpTdx0qo3vBBVCjfnFEFElGBdENH2aupN2a2EWKUc07zzy59yF568eHZ
RwMGVRHYevkm63JCWC+Lxght+1SEt/GhNj88ZpcQEFUKKPi4MGJXA0qRWnJ+mWqfuFBOd0Zy5ej1
ZiSBbSGd9TfnTE5rfSQfDckOsrhWT315o/9WhxvF3rz/od8MJFqA3gFkCD7TQkJ4PVYbaQwaaWr1
E3wmX2/RX88fy5xpjCM+MZwNheG0EE9ft4APzo6aRNFPXNNFfsjtK0P17S2AL8w001C1kd/lWPK6
AUOEoi2Caj5FWe/jROaov+P26krxscCel9r38XQe5K+hsWmCfVBfGQJvT5ZL+2BDiZFzUIFJ+7p9
ATGgwdQ3nxTjSW9UPwoMKFo3M4YKYmIPTeNzIwqvjIwL341AFK5WyqWgp13figdFIsoKs+9kYiyV
btLuygJzYeTxVOQ+DOoLKtY+SyQ976vpJIN16+/09ihFHz02MHXYFLnTU6CCe/3quwXF4GiBLo+n
TP2laDEOxt/vj+21kGIZerRgEJ1fZj6Z29dfRg1Rg4f1MDK4GzfuBhQqHheYoXuQ5hPoja9GYm6M
MXenNty/3/bF/ltohBSfMlGLrEY9KfZSLuNqPGm98yKm4ks6mWetuRb2vDQMVA5d0Pq5vbMVvH7D
fEJBCFp/OvWqKjZDGZX7LM2uqaaXp7w6htOPDG2UAQwFhM2rfoydXGpFIk0nW8Pk07EWyb+pA+cZ
co6N8+n9nrv4Sv80ttrazBDHSlGFTOcW10DuI0i+tmK8iXQs70Mmf9l6yNus3wf6HPNZMhjcztnO
MCuZ2a6vv1bK4DZq5OVT6ObtVr5WUu1iN3L4ACjNoHwTuhM4ZlNCe9Mp6lsqoQrzeUSOkpqlFxj9
rs3kKyvTxZ4kOkLlswVttZa3pXJtDFXvTCcLt1oa5bez1v43TfytG4AwhTjh6mNVs66EZqVNp6Gt
/shNcLRye/f+eFge8Wbw/dPEaohz+kjCrFGnU9p9VwrFzYuHscioeXVlVFzsrX/aWR1F5Di17TKg
nQKOhlPhjNSvhPgutbAg/ZcF26bm6+pNIhbDBIcWLXSaN4Z67o5Wf41av4TxV91FlmKRSbCugnRc
LTzyVIMRydXh1LSYszl+EjGtR4y7ReK0rVtEUY05tcxunKTXTlmUDle+F2nhN4uftVwXuAoiZeEI
uRYfikqdNAz680mau3jbBukEsiG3QnweSoPPKm1wwDCzQQHcz2lR+1KSZX5pOJ2XYqqAJdoLb6za
0e3MYN5UAiqCHeJSmgtwANiJ8sjNqrbeC8RkbqYV/TnsNTw0fdbs41y1N+HQ6vf6NCiP2thrfgdu
564cbbHPlPBFq9rhc65r46/UyJ29EcbSSzrpvyQL+DdKjeTJjNJ804617lucLTzFGFgR7OJH1Sv4
ZDR5rnK/L/sipqJgHuxnp8q3ErbzQx2P5j7UG+F2vTn7nTnkN048TZtaNspPVgtdRq8TfdNHjfRA
PlT2NRVcyiAmnChRVd31c+nsZoLE2zbrrWMgsLtBWKnAKEBzgVMng/GTh82c1HbkkmyL0ZFKihel
pv1kN9TsHuQmfnCox+rqevintGV8c0aTPWRUGfDgWpteIEuxG6YlaUu8uXe5BjqH4lSOP8KN8Wtc
cZu+6b4nGuZs3cgVHHqT4rOTl24Z5cGtFZryfa4W8lOb67chAccK7+BUjPiHg3wTO6npgh0PD2bY
TRj10jvi3so2NC2CbYn9yzDy2Y+TJnahjQE5Mh0qsktOvemHRNo4fZt+KfDk+mGfZt5oFDLxMlLH
rm6OlnLbxfHTAp4GWTIGj0ni/NDKdNgHmS5l9zLGqtyV9D4CaxJ9daaGzR1Y7hdlju0BZIge9l7T
zF+nJjFar1Ds/EGypcEH3q7+oIZVq/sDc/dbbIfyV7Xr2g2sTynxpMmyPqmTWvwIrFx5xh1d3lLy
uHBr1fndyEX3edbgdNA1ZwbGtAny7ncujdJ5LjmkjTO4p1JosXroQEYtFuvG9HUjtl3GolruiX7+
EUVifsonuiUC0eXn9hSCljGFJ3Bt7ZMuoyaqnNiV62BIfXGktv0RV7HwZCki2teow/egBblNKk3y
AyJKoZdYESCZMbPutHo4W9IY3TSxmIuHSu/DHe5ogFVjC50pdCiobIazz6+djnHV6RulY4OPlpEy
GQC9xmE6YekX+ymNf6balHwrQrt/iLS5cgt65FNCVsM8BDjttzj6zPMU8AFcsBjhowX4415SivA5
q6tvqlXln9tK/ZoGJtfjAXSx0GcTxy6EYCzAX2ZpNLZ8qfGBDnY+a1OnesjKFB+LcecjDi63qLVs
v0zlr1jGDAMuU4tiK+4rj+sY/2jIV4dZ57zouOuZJHnhy6HWbqxRbr+FTM/Kc6w8vNPrrudF7czt
bHyq0w8r+SE4AAB0cIX2O8yMGb9tmvrKkPd86Yr/0MChbrZWslPypPXswRH+bAalb3ROsu1gTXgF
3kaPG7Sy1URTH7TS0bEWRtanVgeSImKwXVk4haAJNN2bGHjuMAfY/MJR9qqAireYe9Nj0w8SDl0T
czY2eZwJMVx4PdXqz63QpR84BYU76xgDc6sSnhpn0o0ZxcNuzuzcy/F7Qt8SshdTr8tT2x7NaB3r
7dnKYJmpQWzvKFRVek1vjX8E59Kbhvvzj76MswOoDQNfcQnHTk1Bhk6YqfasPrJH+dHBz2ShvABD
aUtvKrv2Fg5X+sOQOPa4MTd5T0uaecHWiaOW1MauGiRrkxRW+1PqJiyOo10pviSAPITTYO8rI6La
SZkA7gWrA3+jSZ/VvIt3TUyWUZgiuhHILx7HoK9YyyXMv5jjvETp5fs+TYwtJL72CWvq9Jhkbe/3
nU0HFrPp93ZanoTUmUdJsZ1910vzBiBI+gVwQ75PpknB6wiFqstk4KtxWR7VJO0ZN3Ii3Eixs5su
13WwTFNDjjX8DpWp8JLAeQwlJfCxgP1COgbtaChaV8+yz6QXcrcMJXTvYMZ9AbxjS3V6lg6nmO/T
ocMxakOOSeua3QEGw11bw1jgSi5cNRuRDnXw8Ro9KDYAv6hrAKIgOTpAedxUx/cvkq7fxl3a380q
tnC5tJuNhtRvU2fd5OmTVPqRMen7MJSVbVCEzmYk4+/VodJ/YwvONlOUxJt55BpuSRVGz1hKNlXK
mBalbh4aCM7eaOqIO6QshWugOHdmraTQ1Nto0zr6n8wx53Njh81TlVT5rtVolvOLQY0X8GVOmI4v
RZdZfj0A3LEhVt7DF4En1SfyIXWCbldJbbWJrH48Ol08bLJcmNsGWzB0Atk4NKk8elKTmgcdyci5
p568J7UKpA05rH2r6juvTS11Y0XC9OecBL80oQXxMMYm7Fxt6IcdmDy4M/ptNtnSHmeHtDcCCwRB
BC3AKSmalQ8sGpOUNkdwesoGOFv61CZOuNMwjz81ZVYd8mbuP9XNqPnKZOuPDcSJDbtZBsFcdN/T
fkH12VPtOgra+8ToBohDTv+nL6KfTaUWpwSHr6s6YbExgNa6KTVGD5kaaD5YwPqmWjgL2uRgI2cw
M7Xj7qyPevwzMfvEFw0mfTVmNQ5UWJHJ3P8qDa11URklrqow3Ma0VG6YuoFHzFrdLpS+nYUj3Z06
e94jZwBfE9ihn/w9Y+b17Gpzph+6QhL33CNN/UgachrcKIHHorXmOU3C6jiCIID7IDN2zTmiGEFZ
bhCEm8cq1MS2zg3LtYWa32HoDT2zrcDnlUaOrIijVmSRf9dGoGxBWHxNC3l2A33WoYIsWEF8advB
1ntIlZntToXZAqnvKwx1hrOpRrAmRW3+tGfxs7FG66sQ1AYIjJilr1flXSNKgB0m0roproJ911T6
TTJFIfTCKN7BgSpf0lkKPNXou12aFZqXt8Bz6jBOfBk90NaQy2ZXICC5FZwi6XhRumMPYKMphbNB
W/DYh5FjuIqlQhwCNrKLgxI1VGlCrpqWTSfpROMnC4iSmJL+VMUG63UMwwAHPL59XcSwGtvWAofT
Me+o7r4vcFeeZugK+7Lt2/t8RiwhNZ15XwtOBmMShg9lm8r3TVFGPqIpaZso0rArB1LXE+oWy81Z
hHwiatU2Sbug8/ve6s+TGv7OjNLLNOOhXhhHSh8Nn007FpNXzlLzTbOm9qTUffpLr7r0izOb4cZI
8FgPcvQzVVJYQNLArw1mDT6Ho3mt4FyrUgNlXxrC2QKnkzeoBCGDiNbyjdkeN10fj16Qg9AXlR5u
E8ns3Lke9L2jgDTMJIVBR9QAT3n5dSodhYXDyR9sfU58rYgQiekznm6zst2REN4m1EtpM0LRTDwO
57Jx1ItpFttmoHxCIcbA1aPwczjrkRt2XQNNooqMjU6S+xTpibg1kO9kx8RJqopDLTomUuy9n+iN
djQap713QuvX0KSDW5WMdx2s2BZ0KofTIbT3gTOw8+TshHFGoeQpEd0B/U6P8U+JtlZYFl81FVQS
ibTu2eqk7Ni25XwypTA23bSd2/KmCWdDJjkc1F7StjPHbqQZD+3ImhCp8+j1BOXYVZBrZFMK8TEz
0lOLoI/6gwVspaDKthHh/NtiFPYnIF9B5SVc0Y/sL2nidoE8gCRVgvh3Jor+pEtWfs7g2N3kQBx8
vQT94HaRWXk1h7wdR4WlNvfEomDEuOVnsDuzqgz7jNra+9IZWl9PrW+EbrpjauokUYcgfxlrM7kV
EYiJNF8ClZOIP0VJP23xM8NtnW3N1epafrbVKj6poQQqyIgjbkR1v8vFJG1gAtXPIqsJ/8xwYpyK
Q3rhAAQKyXkcow7SXRlWn6W2ablzmvltXJvFua+Cz4okKY94ausHI2vGs2XW4UFuEsYHUIdDbSR/
+J8SPxq0Hk0lE9KIJrFz8CMduHDVp7qqnb3UKDayGH0INlEailM2lZIrDVay0dQuA5nFJSOPwuGT
FkApNhtDfnCYzc+dbJabKApyv0iGyI/lXLjlWIsb6sMX28kU01Os592TnkIH0ohruMXQt9smDTw7
sQ+Q4V7SQJf8PkEXE6oDpK28EPfqyG2pZQ30ZL1otzA/9O3iiPO0Vh52kSEUHzzK7yBtQL6Yoj6W
VCC9L1WoEhnAtdGUQUPNg0DBZHe3UHm771mB5x7qh3YHkwk2gkXFnnSoqW9TjukxgnQKkCKq/HSW
d5EiubZTwESa1fk4kGjedEFSH0FZhVvNCBo3nMPuiZSU6mFsA2vXNfmNZgfOFuZqCElwsG8VPMh+
lTjOVpgxe3pTts+6UvxK4s5+kDUIcNzQOLMMIF1jScsOUxjb39VGyRFSBL2vdk33YOaFfqMUTne0
evm3aZWsyn2jHJNRG90Wx79LIDjbzgbq5YgMn+cUne4aTUkRuh7IUhDZ5kYaR2UHBxB0U2Ynf3S1
J+ekhVC9zDQ5xmWfb1OQXB55aM4kAwgP1m0wCA27QWy0gCVkChpoDmpc3JENAEQD0DBYYRejte0T
44G04kTZAWedcTMuxMlgqCLXiMPqa1cn00YeggBCj8i9Wc7mo6NO6XdEZubWbpTxdm7AMCZp9knX
JPrSSF8GSu5uyz742VPI+dxoSXXqsgBh7qiqp1K1hMtZNNwIKrLvOIUDGFIU1SdCMsABKzVX4fsc
+hhin2rW0rEPY+jSxE7ke0o3BF7fAezNlOI+UgblEADL3oTOJD3oHWEJM9HLGzIf5Z3Qk+Exj2GK
Ar05o4hElVzJuXMOHB1miSx9kpwYKEealbFbJ050Iu4D0ica70rNKQl1BX+cIu1vLMMYj6qoi4PO
PuXFEN3cSErn3pPVuXgpVACCJZ0j0XwvWwcTmoafJknu1kVSeUUs2+7QNqEXxEZ1o9WKvBOFbHt1
ZYttHgWpV2vGC0Eyew+rqfiTCkjG8wRASGhRtkmNUHAPa+oHOCiwbVVnNtyyUuYnE23cweyVxOO4
K++g8vxpstTZCxWk3BiaHMriVrup1dna5pJyG1VD7tlhJZ9qTSxdaE2HzpEcP9bS73mexruMmxeg
k6wnogCxFwTpwnQGi4cEqTGOaGnGT+VojttglrlOjkn+JZWk5nMwxuYRHjGUukRu3MnEayZxiHKB
eoa+XdcEuESuABYJ5nshWaMblUb5VMfo5ri2BjfEGdVNXo3SHk84qKYBGoPLSh1t5bABNJZlHeSy
3NkUBN3dsK9/2/BxQI7PKhzIClAfxBrXGhtpM1dV9chpeXYllHBuLTOiQsegtHEzKnd2P2a3Ud7E
L+9HZN/EMZfwHuZiUthLSbF1XLkZB9hyoCBPvXIw1du5/GgkludTG2OpkKBwKNCWEOc/+fOiDVsT
qdZ86vr7MTlE6pXc1qXf/8/z39RDQ/1rKzHPdx4yDN8fNGyQ0+Zv8p3Um8Kw8cYzM1o2e9wYzCeA
AsQKj1QVmJLqo7HkVSOraHVr5MZgChpJI2Jn7jUX8KUu+vcdVp/AQazYjh2Ptwg6lo91+PXjQ8hZ
EovYWqmBsRZJT1Y9wfAmC5e3306t9v3DT6ckE8Fviucs2Ivl7f4ZQEEzdFIjTPkkNeo3ldgQMbCP
ZrUt56+SkOQeg5VWXjeBW2ZIq7YyToGcP5B6JJ8zaX/ef40LYXTaQAtDXo8LyFoRTObK0VCpGifF
eVDaU1MQpnh+vwlznS1YXkNbaicZiyxxzQfp9VJHr14ap549slWts5EJovTZN6tQr4F/liH5KjOx
tIUIigYhntDc6y6bCDXWc1UYbJDjPs3FcQ76R8goz7DYfspTT0Dyo1p8JiJNmjqYggUeYq6alCsJ
oqpeG6cS92B2jMJf73ffm2QLz0eWwRxHnoZMZjUKMjXlPAP266QWv+Zul8eTS/QWTB4HOIUQUHRl
1r/xHS0vhJACpRfNYtVeNWhUjpMVYAhOhfgf0s60t20k2Nq/iAD35SslWbIdW1ISZ/tCZLJw33f+
+vdh5t47VosQ4bwDTIBBMCx1d3V1d9WpcyxlV6qeQYmkejA8c0/xF5JkaNLG7OOgSbs+g9jw9nAX
ogIQNp7sTCq4IxEsQkq3kdDPMU9Ag3i/PUTmGxv25th5YUGoNHec6UEfqebJBy2X4pLWXzj83ETM
8WLOEltCYMu5LCMb3OAR9KhQZel1ajhQG/ut9NbJmrE7GtMF5BiFYmveeq+C0Khw7+8tamx15myC
0ZVI4t5ejiXky6wiRW/pzJTiiO4XTWolN2WlniaKZj7vs+yUVb1rFQ9TAaUkpHVSk36RPX1fO9k+
aJONPvy6/RvmmuXFpgb6hDqqgfAaiD1L7AVOJbQmIPcE58A71DIj10YQQ4UbTlPqTRevdUksmsOK
gpzpTGwi+EdUk1WaWTJPCL7ttPzL0NZuQha1bj/r+Qrk8Wpzz0MDOWbTDA70SpxdC4k3S4EH7zQM
8ifV8O8qE/UUg1IBsX6M4KTPoMZOfiiTvbKwi5YdAr42XyGuMMG9rhWVpyj9qaXhpG8tZEjQg8ju
Pe2d0p2hot54sEHfXsir6MxoERGY0USI4Vz1EgQdIkmdYvcnWkHRphjTZzMtkJIot7ndmO6IR+1S
VV0jxlkyC9MZ7a3UxGc3utwlel23klM5w8lgI8KFGsBoG0kqjwtly3/mxcqiXoUwhjmjcgjaoA6v
DrwEERXSiRr+SgdjSlJmDVA3e6C4IYD4zwx6YBspbF4OSEtQtkDAiCI/LxvbCRCRIGXXvDkUz+Og
0jE3mqk63EGXZtgCVL3VejhNurUdJuOoxNX9bY9YnCroZ2bEOPc0EZ8VjBLZ5aobTnGRt+fRJofH
pdD/cNvKkgNAbEF1SQV1D1TqciCp41WGIeXDCZekCHUwoOQsk4eiRXDXOAzd19vmri48zNtrc/PP
eRWVm3bsxtArh5MSUEkfftnqR3SV7qbox2078/yLbmChI4GxGfMoXnZauXAC38iGE/mF94ZXPNKv
i8aQ/smqFVed9dg76zkFUL0SOq5vCPMAdRr2AYCgTyluqBwSadp3o/EU5uADPInnOMTxBixQ/c/S
ecm5IPjaP/pak9CS29MGwHlHL8A1CFKSHKOpQwU84vQCHziJnd+F9PP2nC6dd3/61BVglri8CIc1
5ZAKEsL2J18+GkRgtQ43UnJsPROyeIiAp7OZHTT5KVB/S/392xuhCMVEZf5E+JYxzhvmle/ofV4l
WiirpzJDYIXMmx+u9ndfu82FCeF8s5tyTh5O6slOa3dI95J6vj2HCwfohQHhVlLpWtIaAWNQIpL2
2l3Q3vdoCkXR11b957aphfgx431NTs+5Y1oRQpQ80UsdUZM5WeYP0/u+Bkpc+fyfdsZXq0F76mSP
WcLnoVqO3Ali29u/f8GlLZk7hj7HP+5ywl077HSqCKFCmqACN1yOrfJSAtZ4iHvFePupBJkAz2GA
vDz5/mzqV2Op4nQq27wHQqz8bhDByNaYF5T5xwrx6MKCMJgxr7NJyeWJhgEHlaKvuvZuksK7IP+k
Bz+ROaEmUh5sAEz6ykN5Ib5fGFYvN01kxJo/GO10qiL/A6DlXaB99vpTo9bo+h3aZAWQuBT/sEdz
BJ4H3lzs8yukTAPyVk+nQvX/MWP5n0ItdpQrSDAHvhtG2R6ZlR+TV77TOiANt11G8EmOYnoZ6DOg
LQPS96uoT03Vr0dj9PHJgGIWrUwrPikcX/8asA3eLTNT13XfXZd7clDV/ilCXoXlBEHlbwroCGJj
f3soosf8a4p2K6DZNiBm0f1p0x/okG/8kxopByca9khmPRZ2sYU/DJk3eVunPcTc+ve4SZ+8RF7x
G2H3XZkX/Kb1KQoM6HGhc2R/nQz1kxE0+75TVyZU9Jc/dvASskXsPhgFZqzwq60HOEivRqOVjp1Z
mK5fOJSF0hjaZgfxifbMZXHb1uO9idCjLxkrnXlLyzkTNJI/oH/rCqwZR5NthFbhHQdKI1HynbIt
lcPv0bQSXxbtsCVgK6Yr++qVFjaD1srp5B3nkyuuXxw5Qf7qvZ59ue00S/6PDZow6NmkkCEsWjGC
yjTr2Dt6yU6Ln+Ji++bvAzfVoV/T6fm+ehixI4jKiuMd2/Q9Ki/p+9ufX/J5vg/FHr1VnPJiO08o
kdbOvFA6Iqqj4hGwnWSS5j9MVeY/Qb/XbeWarEQQNPVhIEezzfrBPtCXstaEujCRpL45OMnNQST+
hwbmlVf200SxSI3xynprPRnDSpxShag8ez3sDurMJUN64oouD9xnrw1Iyh1HKom7mcQIcJdDFTKD
WTCiFvJl7BHCUbPS3qPQW2wq9Hv2RSiD2Mu94GcjoyY6xH6xsah2bwoF5S+tmL4iUWNvY8XT7ow4
5pKUSz7iju3v0DEew8741cat/jTVakuPfphuLAMoyu01XIgbM2+FQY6ACaQn4nI/66WShZFse0eE
cVwvBHKQWGc5yw+3zSwuEGGYVBjtd2RiL83MuXM4MvAUaqlunlCWWjEg0jH8zxL9nwWRgbr3aXFO
pEA6el6/zeLSHXiZb3LNOqWTsbGb7BGpS2CfGYVgZa9b7akz7Mexd1C8ye5hEN1IQbW3h/5Jsetd
nIYH8EMrfrQ42aQ9aSsGHsafl7OgzHgMX7Fx0+IJeoVc8d1yXCEAEW6s/84DnfEOmoR0hYptofRQ
AhGVFek4tu89+QXFxa0KpnlyjLt0rfdkaVvA+Q0TxtxxDp3k5XjMWO+NLEz8E2gjNy9/SDaasvG+
DfcjOQmzuX+7E9GdAZf/zChLf/alOWRlytowHOk4jM9RdCh/3v78ogtROMA9aX/kaBMufVDoUadQ
e+nYD4byKHmmvAmAk22iIsoAl01kQBpHPaM9F73zLHSx9Am2LL/xvlAx8LdTq3m7VNOSD8iBeT/A
ESubIgWuCMK4udPKznrUq3ItIbDkU/QzARqin+Q6I1T2ran2CEIcG/sFYQA459Dm8qTd7blZOBGV
V1Ys4dg3wACiS2tIR1nBsTbRt7Z/jNYa4xeNzHQuBrxnhElhfRvbKM2BmvJRqw1nK430PDRhD8tE
lSo7u6zWKDKXtsrMDUTOYS4biafGlPg9JHK5dJRIxBbA0XvndxI/N0AOW3nlrFy2RX6SLmeN+4uw
VTQtSJ06Z2yz+HHQ0vifttt8MjkLEGPq1hqFl3YmzVr/Z27++1cHYqLnamEkDG2KUB9V9s4IU7vz
qVHPYaW6VbYS2BbNKSzcLO4wFxEvzWk9OqF1UUtHNduXARHURV5sr4Nol9cIhhYmksOYXJHMs0G5
StgYbRdUpcLdDDTfAazZt87T9r0U7qo63CNCtxJOFw6u1+ZEx6/6MM0De+DkR6ineW7TL7c31tr3
hZlLrDq1wER4RzTTAmo4a6/yP2mDVy/Z+TzgH/jnZ2ZN6N7m+PHKE6xG1molaxlArf9ULeiJ3Glv
dFxOdoTpAL6TnqOvN3cz/gUGum8z0mtm4+PW92no+3dlURw8OVzpZl3wGH4WWUzirGrJ1jwvr36W
OQ5oQ+XcqCbvDtS5mwDCQh8oDoLD4ANFqcyVi86i37wyKMwDEoZdTGO6d7Sl7smInQdYMsCac7NC
5XWiYHB7XcXk27/zTmcZmRAYwaivXw5QlTMvi6eeee+M0bWy9kkDOEdDhZl8yF0kXcd+r3ndgZ7A
fayy7oDtV4L24hzDtAlPCmU1gs7lTxilBrUraX7GIHOmS8/tsO+KO7M5Os7nJPtwe8DzeK78DAZ2
mRcwDQJ/5uPVggI11lEp4m3WIlSmJ8bOVt75w8+cOoVHHEjtjWeuPNP+cKtf2SRyz23DSCyIKXel
s6mDIxd7DMz3gP3cAln7sNFo9FBcqzlbwxd73EugY/l/dx3yb3SnuQUqjjUCvRKiV3Hq06PFG296
ii0ZPVc6WqEUi2xKKcOhqSq0ScH9Ijw+eAepV0F+PVrlYwgKsadWITVHGnhc2dvbxnM0kuHsn8Pw
u+EdjBioz3fJ+Twa91N5Dy5se3u6Rcq5P/41Ny7C0gB51lWzdh30PDbojjn6wzcUC9LxmMkIxwJt
V6YfJh1OrXJQze4kGc9ZH7k58vR1OoLhHtyin3WvANBa9uH2r1KXdtn8k2D0gufzivfb05PRhFHJ
OZr+06A226H97HDjj5VqU5babkTRcFTuiukxL74BQHWRhXf18iu8aRvDmHZ69I9flxs9LKAEOHeN
vdUzc1OPd2Pz24tQ3dO3XrmW09CWYjCctEBTuPfxOhG2auOVVhtFhnOM+TXg8nYBLlP6v7N+2qrK
g9R/ynR6AY3PTfGUp9Yu1nZdk0ImugerlOrRXSXLND2irOA9KlKyT6rnyfpYdPtOP9b5uXY+AQCf
hm9dk9yb2c+0HMjl0csTrNyPxQb+2Sd46M8yBBQmZzKmyw1vI5vdBLWnH4E1uh1NZPVDGj+O1dnA
36PiU1P+0sP7zKchbFgJrwtzSJafyzOldTgWxAdeXY191fm2fjS9U1s8FefbjjVHZ2Gnk/7mXm7a
M8JNpCbQ67gL2qI0jpGpPzlDsDdM0luQE9w2szgKWLohZyKPd1WNtGoYlQraGo62Gm0RH26UNyoM
/VkiXgP/Z2H+Ba/C5OC3U0cR1zjK+tk3ajfSPr99CLCTUHDBCrwAwjlX62Y2DI1hHAHluq61qke2
NEWQ+fJ6pdRvXuXGEKumDYSk7pGKC1JSP/7i17/6ujA9VVU7Wtvw9aL8mKnPdr1W8Fs4E6kCk20j
mTMvhjA9TjtqnU8PzbHo9Cd9aI/RYL9EQ/ExUr3taPmHwajTlbvAkvPONPzwG9H3d5U9snoV+UKa
+45dVHMi1lb1Ie8Gf5d1urbiwFem2PgICsy5Ko59WOAu3Qt2qwCR7TY5y9pDlX0yu7upXSkZrJlQ
L02oJr0iXVEm5yAbu/tW1eJd1QbJEZD+mmrO1WnCaGYenJl6wrQo0F6amugxifwAU3Lvz31yezmK
LAgVKdU2kfaz9bP9bfe7eoHOBqkoQd1hLIgFKn1paB4tGuc4/ByYD0rwvWIDIfF928zSuGi5dlA9
hIwS3cDLcfmpr6Zt68RQd8G82QTpXWHXj3bR/+DNdjAa6/dte0tLpqmgRqCMgqBejJ60uvS+55jx
uR7pR5KD+GPtozarrhWvFu3ASj/D7UANiCw7iZry1J6m+Jw4sVvV3DZ/lM3n22O52sAs0cx8/782
BPeLKCLrkSfHZ56HP2nZp5HcfIihUkS69ofq58+wxhoru2rZJvBBi/QTSG7RDyl6wB6ux5yjoVsH
H8y+2DbaN6ogevcIi/KKueVp/D9zjpBskZIRCVxDi8893NkpD0O5Kzf+3zjFDApgSXh+XeFVOin2
4xYC1jOwzE02WGdjdM5Tv5bzXNpSpg6FC2eCCe2qMHe9PXoKbR7g7msreK/TEfY5KoN9134MPULu
bedYNGbRlonyHRA7EU2E+JmfkBvIzyM0Uig3Hvw8vHdobx+lbGWRlkyBW6cagATAtexaohdoTqZ1
cW5pR2j6TyMtYvX0g3fC7SEt+Z4NKIaNS2S/ShylRt7GmiYBKk985U6KZX8jTTQRR8pPU40+cGV9
Jzd6szKRV6c8uwzqHc5JNDtn2qzLCBVIUY1GM1Yb9Z0ivXNWXv9rn58n99UtqIgRUw5LvzjTzhFt
rbVfv7SBXv96Ib6islhLas6vt7/lJY+2btiYK/XWtRHMy/ZqBBEUIS0NecV5CncQMWj/nxMk7ppI
r9IKRuhzKx+kZ0Xd33aq+X+/uE6zvAhogoYFGATYW5gguVeCzjL14txI0z5PHwZ4ntMvUf4+Gw6G
ui/HNYMLu4UDb4axg1ieUXiX09XSH561UZVByVHWj1njS+8Ay42uk6vS1h+jNXGARXswaEAAjrWr
qDNUU+6V7YA9mpY+UPv8la0hF/+A/YVJ5BzibjIL21KNECbRGJXQlLogO6dmGiWuPUTSpmdPbRx6
IK3iVAXSLsrpyk+clwb14coIj0k8GsFmrGlQPKkGJcMiVCKXMN1+zCdY8FqbLk1X7fziA0uo0Kdu
J9o9dgb4zR2k5LpUfldoRrgtSlPeFVlYISwf+/ceiuXgDdvw0adXfTNUPa20JULBKv3+2aaQKqlw
YQaIQMtUAaudb0xf3yYkTc1p2mWkT+hkSIaEN7jvHAJZnt7xoJPuh0LztixTdPSTNIOkgwZDgHJQ
14JORV1ULdNvPfoBR7lUvsEI9bUIIUi8i9KmefbDWN5BaAFI1bLrrnJTS89cLbJ/K1rnfdIkWXUd
utGUHa/+j2ZRx++TQo/OshI4SIubIbmjKajuobm1d7pUyTtTkb3vTgx7m9v6kbOR4lDdQIBmPKQJ
QhtmrVSuUkjpczqM2raH6ea5QpSe6emr7e09tBABADpRd5nzmIipiRHAoktG433Fudm++5XWykrm
ecGFAd4jpTsLneFjwlUe4HSWxoaenmkCd8PpmxI/hf1DxwTeHsdCsCRLSQygcs5FQHwRRf3UVl4T
ZudkHFwnfldUNhCOFeTGwmRxB+BFwlHJo0tTL/d/oGheLxdVek6De++D9UatNn7+jKIEfkbpjqep
WDnKRwN9i1JKzpb/0seeqxXa7vYsLQ1gZmtW6bBbyG84RQGaMsiyc1hujPaTuVZKXfm+WL6G22pM
vY7v687O2ZF//P/6+YbgTL4Te4Y88nnrUePdHm1vf34OdUIopHdvZjifwVZXobAeE7+iZTg5Q0W2
qYv2XtOOXNGJePeytIbGWJqq18aEjWf3iQH7Vp6cR+URQR1NXclkL228f6nayQJxsxO+r8fpYNIK
m5wbf5eDLmzRlYDVa61tc2HfQWoo00jGi9O+eqp3QaNR+knZEogca0p21Cvj4A3qt9tLs2wGgA6c
njYwD+GU4p5YSjQLpOdAa88UGty+V6ERGu9um1m4UZBVmR/qOAHtrtrlBvcRmEk1GnLPI/THELzs
zD7a6cpTMB3NqHG9Do6WNfDigiOw6UmpzDlbyGSFS1KkZ/icklfn4ARPxa6CheX2oJYMkGMHa8Yi
0VYoeAJt4ZVt5Xl51grydS7Syre/v7BtDDh4wTLQlkQAFnZlmDtaHDdqcTbUbfr+/fCpGrbRSvJp
wZuRKaVaiuww0csRxlDq8GbArVKcoUb60BW7MYyOfSvZ7rRGzb84WxR/bbyaP0U0GLwLcPUNjGag
E6bl3/Pt2Vr6PiK7tBbBUAt2TZitsWaJYHTDxYJkM9L3vjZViwbop4MVnosx+bpLH4a8TQqMIajO
FIPKbcK/bx8A5znvRcIX57owgETJHatPKyYICpm2Ce405f62haXFfm1BOGYbq4Ss1e94lfiIPFmQ
Kyv+Tur+ydf0V5emypmbU3nUk+wRt3sQTmM1Dnp59r9DnuIUK9Fk8fNc36nHAMvgWnK5EpbU+TKC
1uW5zj+N5Ua14pVLz5oBYakjupHbQMOAnu4hXfDeRqM+30eouZIuguSV3nwxD6G3ZarDT1Gc67D6
rdVc7tVsrfh5feTyAKBbd66GED8EZ7KTYgKq1BdnbVYwBe22MkMLrnTxfcGVakVugybh+31Q38dS
/0IO5870wgNZvrev9oUp4ezQhpocUYCpsXLl3lVebm+KhRPw4vOzL7x6quftpOaVxKawqgNxz6M6
1b/9oCBxrEMxzkEO6YcwAimskGLwnfysmzmldmA9kgNR4+1xLK4InEVwSYDUhAngchyp1Uo51Ims
iF7uprr+Vuv6XdukO69IV3L8C9uD/A8AbzyLaqKYoFYGJNlC1S7OUfxuOrTxytNmcUVefV7YfaZc
Bmprmny+juGU2tXKDhqqlVi4NgZhuhQz7QZy4cU5S+/s5K4/3F6Nlc+LCsK8BvoyiayCHqoN0sHS
GnhjabVJmWjafMWZQWqXq616TREHOS5VZl34PNTqLyn0wlMT+/K9rvXTyuE6T7lwg+f+Qd8Rfgz0
TvTgvEYHVOOlee6TTHmaGivYqDEUcOkIVZXCYbX14tD+RkMXjC+3Z3LBGzTyQpRCoFTiliUsVJ3G
WZQOZXYe9ZTWz0OVHHxAcm83QkB26GIHBAVG7XI6k9RJqjbMs3Nc/UqLb17/7BWfb5tYmEIAD/+Z
EMYB+13CX2KiCL+bWnifOHuIozYouqWqf9dCMPsX9mYlG4D3CGWJSN8gnexMlXi4dxJEqxPMIzVc
vmm3rbpjEfyQ1tQ1Fjwed+RI5uCfIbjC+EY4MzUIRgnThkvjwtYa/+K+TXHfJCFJvY8GauFMkzy7
N7WgzM+Gd+dLv3rr7WfmxfeFM41+0rjJhpwwHWtQTv2Kp+3tJVmaIvql4XTgbkSXzOzqr46atonU
vJWl6GxpG8RsIAa9/f2lrTInNGkZIW3L7eLy+6TTFGBLU3SOnY3X3UvSrtRW4tqaCWENKsh8ZQf6
pnPflzu77c9KWx7D0tq/fSRchY05YUMZVDxhwsIMZYvSxvzIdojOsIHoK/tjaSSvTQhbPmgddXCC
nmpkNxV7O69rgHaRt4vrVTndNVPC1ii9JDKGEl1R1u1k9cGzOdxP3fvbU7ZwIgCtAtH/p+RE0/Ll
4ped7UxVR1qlznaRdphMV4YY/p/bRpY8+LUR4dgpBp7DvqPG59F0fk5SPbqeskZ5v2SD+zFKEnMm
kEv+5UCgDVcyQ4mSs0rLv79JuxXfEr7PhRgu/z8QYfrxAJMIq9E6hWGnLcIRfN8r3Pjrm6ZI/LxY
nu2yOBwDlc9DOUPXw66xf/+FAfIOc3mGDn+xb9uvwzqy+3Y8pb70qR1kmEJ8e62mPU/CqwP/31H8
Z0QTQknTyZHs9CXqGoB76Y2k9hMbL1C+/RwCuPJk+avk0NyU2Wti4MJe+dewSZqWCyB4MTFXW1Uw
z1E/oHm3/mJSs4AYzt7enkBhp1yZmB3kVRjWa9McujqdTqG11b9Xyi6tDrXxtjvy/xjBgYnzwALE
dEStpKpWTxjRpq0xUkFf8eLlQfz3feGw8kZJLgy/gBcNlWZnT/G3bw7qGuXT8mr8Z0XYi3Vjj23W
YUUrd7Lmhl+0tXEsWvhDvIHQBpLcwm7MzbGJm+CPIIncbRM7+Jao9bNSGbvbi75iR8yg20FQ61M5
jidjkD+BPX32IUF1jaBeKc0u2yHJaSLcDc2NECG9rIYZvkVDyMifMnQ36hOUxreHshjAOBb/14Rw
cjl+Zfllggkfbuya14UR/Y1zQXdh0xwKIkhE6kjw5eZ1ZKISA5Yq68E3t+bWKx56tfqLsZB2nHmq
DN6SqnBqxQi5jqOkw7wH9xak7SufX1qN158XViOBbMdJEURAJMjaqr+6c9frfxFNKPERrMif0pc0
/4RX0WSsJS0co1w+BeUWYLJ/D3OxucYntLTkM68cLFgkvAAKXhqxOmkCtQDJoj3Bai03hRvZxstt
t1qKKIhq0u3JK4i7lzBXduJ5oa/48sm2+p0TVYfIo7Lo0FsV3d22tDQaEOCwj1DCdADuXo6G6zXE
SdI4nazK7vYKKaOtjyDSShphyYouc4UkV4sri88F2ZIMUwplImR9B032tLs9iKXpmuHU3CEBm8FK
djkIM4VZ15uM6QRk1FX9cpNY1q7ND2az8iyZPyQexSD5TZSBaZ24ao5V68zQg94bTvDBul38PePJ
naVvu9f/Oa5eGRHDY9VatQarNEZyKBDKzx1VZXuNZmlxJH/QVyAjmDHBw+AYyQCBGwMrQuuE9Btb
btl8uL0ui8vOBW+GJ0H1KOaeeZtaEfKCw8lGXuKhngp17/nt79tG5l96tSavjAgeTEuA11YmBD0p
FcCk/Jr5hVtoX1kZJ/8bU2ALwXeRzr0iTun1LnUmC8GYaBhzV5WrRwfi7y6fngoUbirUM24PbXH+
6LCEb4tuPfBdl35dJJVexaWOnJtRuLYCoY22EpQXd85/FsRnagx7WY2C8HhyrH0kbafkaeaTX7uA
/QGhXa3RzENBEOCuLRZqKZcXRaMzcVkw1twsnnpzBMNSf/arpHn02lLbTNDFw3iX2l+k1hyRmVE1
Nx0Ge98CpsmDbhtZabu/Pb/z6Sz+LAPGR8hsAR5dtSl3eaLEUotuWZFW/6RK+GRQa9hItL9vGrgU
XSeVu32ZpW97uf3Z4K/NCh47+kUPiDAYT3SAb6C0361KDSpLnkNzDwAIqNSg4RDeDJYTtk6ATBMj
83qY2grouunSveOybT7Ko1I/Sl3oPKOZMos+QK48ZFK6i9IYRV+nLPa+mpcbqdWjr7dnfCnsgFEk
FMxsmFd4agPEZ5DpzHjUPwZf2nIrB7u/sDBnRgHxy/RbaZd7JgxQRAtDXE1BuyC2K6QhXvJ6jQp5
ad/wLqZtQ6XohUDrpZXSRnukc4jRyQBXxoQOQXVfNyj1WO7t4awZEnzFt7Os6SIMeSOsv/ToQqx9
HNIhc1Gu+Xzb1tJ2MKHeoVWX1IUjPjT70J+I12geZpL0pPbjLnekvR6S2Fbgu0z66LMshyugh6Xx
zesEABBNmyu6P7/sAs+uUNRLvGOun+1EBme6kdYysGLD1Z8998qOeKjKDshF6qBcbodsmyNhVUNn
7gySK8efrORRyyFuYsNHD10i3xfNGspxaWpfmxdydelYeh4M7NMJyYN63FTT57x+UIxtqrqytXJ/
WNr7nIdMpk4N6qrEFcZDGZqtykOxQjC90BuXl+MaWHxxQDCIgqmmknZV4rKj0Modn3Xj7dXtNUma
3mml7208rYGVKk6QxtL7+EOdBmtS54uWAb9x1YNhyBYv+VqCPptuMJVVfajUZlPBdzipH0NFv3PM
k2KtXF0Xrhfc9C14Wecudp4Vlzu9ssPeaT0Iww3pzOM+He+K6pF5Nd9YXJk9lIsxN7EZgU86TAjZ
egPfPiLP8gmdnM1U/UQ4pwk+3d7hC64B7ge3QP8Y6ISYmKxlZYxHZCxO+fTRm+6M/v4vvg9L2HzV
5yUptq8UuZ8q3VAqp5pqyuiWbwQz/DtHr74/R5NXDzy5mvys1RLlpDrRJlYGt1zr6FicIZNqKmUu
U+OEEiyQ/0iTUZNP9N646nZy/JWAvmQAlCigG5Uz8Crg0T7Upyk9OSf7aYw0VwIvfHsN5kuhcKnB
VedPc/bT5T0fwa/mqJG7hMbSTj3pSQzFl5Pee5GB2GP7qA3GoTKaeFP1zoSKXvzltuWFWA4AC0ry
mRmUpLFwXW2zWM6kmVufRpi+35ifJGfXZe//xgik5NRaQVuLSR0t9pTIGgL5lEwgmzvoAVpP9jaB
M72YWrpyQVwckUrikG4Ofd6bl3Op944qydCSn9rafN+20YdZg47KXXQc7TVc6UJcow37P1vz379a
N6lGE1EdYt783bck+aZUZzPcquELMtsQkqw4ycI9jAIHCWtnJoijjHdpTLMy26osZAq6Ek1gVXUb
nQdtEKw8L5acnWZjMH90/gObE2KairCQ5U1wFmZas3EcdEnfntolqQAzG1izOZ4Jzl75OiqqhUn+
GKEZ4zEa2pWJWh7BfwaEiKOZE/3HjTad9PLO7B+aX7e9eWkdeNgRaZgiKsPCOgD+txogNdMp+jrK
D7Z28uq/WQKD0wsfhjpXTH6DYwumyIGm0k5/FplrJGsB7fqApE1Pw49MEJJEaGEJFJWSWlBF1tEI
0ZnxH3znS4gIqBYM2yFayeherwa2DIro0OWQsRL3Y56hrqeEo3nMlYfwMfTe7E2Xnxe2YNgj0jxl
fD57Z+cbZ+3O9OdVcBma4XYn6s8s/XB4ij/fKUYzUbrGOKINFVTID0/H1vfdtrxXjPtClbdm81OZ
VTelRwUpQmX4+FZvu7QvjM8ZxxzVtd44Ss5LiSpmFT60qbKyY65dGiOU1ue6HngHMenTOdBdTDGD
VML3ZYugX+rG1vn2QP5Q1IszCYnRfL5RfbuisM8ngDgRV+AjufnyrupSs0d4XDM+BG0YfWaWEUzM
0/eZ0WkvuZMoxzotQmhAEsXbTEmBhGvj1I+DalXPqDJQfZy8KPzcSq29b+g1f9TDwD81WZvec8qk
e8Ov4n2hQc0vjwBrkBhVmwNXkXrcGtk4PAzcHQ8+iQa3hsf5foQ/4ntXhv6ZytMAB7GtfI6nQfrs
j4Z8Z41BceqCpH9qqwkqPzNB6cafYggtUCW10tHa9nGrZHsOng5ttKl4jtCRRQdD116GyPnQ5M3v
sJdUVwpkCPqSKWymO/JgwX01jv7XfLSnx2q023vbLEM42rvS/D3InfIrUUdpe3slllZ7Pol5cdPJ
eXXmWxlSXXIKiYFSHhPEBpH/7Ha3TSxt+lcmxKebVntVRpetcXTu2hitrbvbn1+KX+QjbNDdtHlf
XSjynJkcWt88ynJ/F0qHqfxVpI2rew8gW1f2xvJQ/rMlbMChbHT6L7A1dvbel3/B0vzmcA+EnLZr
oiTHLj35lwe7kvuZVnLyH5XurtgZ/uH2ZF1fiLgVE+VnEwtIJssvSBdCjHhUhg8tT6ASYgyUMvW1
LM7CRJlzkxOttNCIsDqXw6ij0C8lpbOPofyte8zsL28fBuNAtHIR00J6XyoC3zGPilbb58GeEH42
SunjlGj9s9HJyUpT1R9+2Mt4NTdVketmq8CsKQIdvLb1uympMtjdy/LcF+O9YiOsuavCeNroPA0h
Acq+2nIR7/oprp+tJgvdKMsC12sqGX0/0gW1XTsfckKUTddRUt6NFR1maHRYG61Q4+8GFF7nWSx3
Qz9t+/H2hF1v8zmiG7DTzyRZV8Q79Go3nZRO6RGZWdnoXEoUbvXm4gowE4L6jMyFHlG82QfctXXU
AKOjJZebCYL/2hzQId7eHsm1Z81WyMVwH1q4rtBSSYdka0VHqXtUnGDTT28PiVjgxkjhDv2aKzmo
wPfB28tZfNRS2TUspGLl1u2H328fB4hTHkIKD23ek5c7ZKCTjuJdnhwhyaKLfo2n9/oVCWzt1efn
aXz1GomUpg96g897xte5cbp5h/zyuWz2UbN/K9UO+0KHNIQbHVGLxJW48lRTrFEe8C41S54slEHz
/m0w//laOvOX84qDfJMKpBAW6YezIrvJa6g0trW0z9dYc+d4dLm/+T5PkJlc2bzmnQh1OQgdLaqP
ilpHT51sBx9lOo4fYsOs3un0VN3TQgv2P+jXxMeu/Xm2PJfraR2CTEh4ogZ6odZJU9bH5meXuNHL
W73s8utCHJbHGD3nqKqPZRRuoInt/iIfQimEhnOuDxBS8uelozlxAtUuIe84IHY7wrK0dh9dmiBC
FqtCtpCZEjaK5is6/U4s/Vg9S947WVtdgfkVKyw+VLRg8QwQ+LixMASlVenrtn312GBr52e9sfEq
pZU3cpJasBZPbfiRdx593E6m0+DNK2PjNB30aI03hiqxwZC+555TbRrZqzbs7Bc8RnGTzoduNAvM
9k6ijnqOO9XeBpBc3pVOIqEkPNJ6nVjRZqCz0u8b49n2DOkQBRmCAEOfTy+DY46mq+Sqf6jRsyq2
bW/Vd3IeTY+9WvYvacMZ3pthD7SklixpU1fyuM2qwlp5WV3fG8D3IcNLupY+m6uqTBaNpd81aLYa
WjfCyFJqzyploD0bJXsXDBQA33zTwiD1Rp7WZDlIPly61eRAeV6Saz2qyZYGIASj14h2F/wKZCd4
Ml4fQGNFx4258vv+hKxEEWhnZWzeT9IaWatI2z6HLSIWSXaFnC0c0erlKLrJhPKuMbQj918qMLI+
/MjTzNj3EZSY80vy0Yj78BAEpfo11iEONDxYeKnrlyvXyuvzn9g589LPEhAAX4TUnlePtVZ59Arr
xt1UPIzT3Riu3MOX5hPlR5iPyH9zbgqBbAphy0pqUzvy1EE+nurd7VC2UAKiJAgCRYVWySADK4yh
TPqxKhSrOwaeh/615pUvWtIECdQWRfxeiwP141SYP8bRy++6FL3moOiaZ4S+U8nNHUDcK79nPnOE
sDHnY0gDUA/Fj4SwITeW1Nel1B8jPW63RSv/P9KubEdSXNt+ERLz8Aox5gRZWVmVVS8oa2gwYGaM
4evvcurccyIcKFBkq1WtlqrFDtvb23tcq9iWLkPFsq24i1AON1HrURnPtJJGmOYF41HfASM4hnO4
sjeXMRBmVzRYYLR3i7Bd2po0N52iTiwgRlcwQqnfAm21SradtzHV7fVlLxwzRMHUg/pTEHNKq+5a
E72YaD8MDftY2M/aGky+DLcpPgkiIBdZIsGSgrM+vzOAs6jSumy1sFVzeqeCJXMHKGL2HNs9oEXt
wpj8oaNA47B4pR5Ad2rfZZOLgmCV6Mi8TNYDOID7XZtpBurjU7utrDT5mtgO2dVND3Dh6/shfs41
LRCW88TRsvKE6o2a83Buj4q3S4wHYw3/ZGHLcbAYjxew4/CvpNPNpi4F5iNETOWTYDPEmOn1NSxY
91MBcukqR45Eg8PLQ+vFi5FKPjhz4N04xiXO9UyI5MLpoDIZeQ4h4IjOWj+7cWLj4vv6+UHYE26X
npc8dNWflER2ui+rL9f3SWy0fNbiHARaARRTdkXSuJ89bVT7sC2m0QQ9J6Wjj/738k9je8lvuyOJ
39beHHCn0mcfD+SaM3SpbZjVEUVTYG5hbFqeDDLmMU2BuzuEfATjoZckodY6TzHaMm5W6zNBcgPK
NM+zlcf6ECraRqs3U7Hj9sqbdGm08HCDk0gE8aIPQ3owALjCzdHN+xBuIwMwGg3Qf92bz2jcuX5s
C8/wuSTJCwYzW1/NBgEcs/5Nm7dWet/xV73cWenezbtNY+9Jf1dQuiL38t6ei5XurTLZgC2zIDYz
rPlIU9u6m4BGeLy+ugUpKNYhjkRtG3gAcgkFCD7EZBoytTH6DOfsO0021wVcWgdg/ZwIkCwcTVo+
t0U3hFOuNAHIsVlAWElfFZqPuzw22O66vMtbJpLPGNrHRcPoglzxcF1FywHWgAW9xq8aEMqnfR6Y
ZWCU+3Zc8WsXNk9HC7BAtQDuBBJ750aD8BZ+ppPrYdU/ZM0+9W7fOyQrAFsHHxDei+zG1mNOK8es
9XDsHrJs52HCs9tNv65v2OIiQKCEbUNlAnir54vQEajaJU31MNU3cMSHNc9r7fv6+fdJW49dZ4v4
aHqh5nfTer/++xcMATbpf79f8vV7pmUlNRUtHAuiRmPbd48a2pkBrK0yA7h1qU6eSk1tVnIKC7YU
KQtd9A+CRuyiEVwBKcxcwrMLJ/XQZPdU3zhr9a4VEfLD2iVq1Vl2rIU5eLeTALGitoYesCZCOvyp
o33pUYgw+H3+k2XHNl/R4QUJ6KYAOiwqtRr8b+l43KJUKqMp5zBXO3NTFvmx1NvCt6329boeLAoC
Th5qbKgJX0wq5nqheFk+zaHb1sdZ1+9ZQpFFnezb3WW0yaGyhNw0Ej64NecKPVgIpuO2w4oI37rz
a4cGBJ2Uj2Za+xgivr6qy9QSHGVM9yPdjtToReiVxmk3VoZXRXYG6gHjHyt+5v2bPRxJFQfOaovN
5SaeiZOrLWwgc0UbiBtmECAcq4qBTXblYVuTIencPJW8sHSlQqPhY1EezPElNb5f37VLm3O+DMnm
cG4hC5LGFVD1j0A29Tt+s9E8FyDpQGZrTa9rqORNLNt3/S5Wy5WH+fLdhOEX6BEmbMzl4O2sMzsz
aUUih4+qDzTCQ5IYI9gnnB3Q+293Ns6lST6O2cccuH8NiYg9bh03e0qt1VzfgiqDAAEpGZFDEMm4
83vDBkZIQpw0mijItyPWPVsZCLH9pnuektfrCrCgYyjmIXMCKDtgJchoWkPZdUOTOiQC9w74Ku/a
GtCGa6ZtQcswlYWcLxwc5DDl5kATUPed2TKAPRjHF5BJfGIJJ1+XdFjVurzLNHwd9ZJnNBw9aZXy
hGanNaT7pWPBbBnoAfGWoTlb6tIpydSBDV4joI7e8+w+KY5Zmfm5giLypl3rp1wTJt39tGHGAPR+
BFjmD3QiqOCZ0AuCArgamNbfuFtrQVrUg5PFSZtYV95YKTYWlzPMzcUgYXdoQJKVLtFlRUAwgv43
tNnI2kY7J0tQdiJRYbf5a5017Z2jgFf3ukIsSRHAzBjYAafSRaKZ1Mg0mxawRSxUX3ngOW//7vuS
pz4bcU9LQrKI6uqzTn/0hf7tuoSl0zhdgRSzqZXB0fuIFST0qGaHWt2TasUlv/QGgY8p6LTgdMDW
yO6Gw0jDKcOBt/1XcAnGee5TU/dtUvtmt9ZHt3wi/xMm/v4ke+NaChIfBNqs2uNmqtxg+n19w5au
y+lqxIaeCEBjlzMmRCdRrLxwa5NkQP70Sp/W2QaBm0+UlUr10oIEySTIrdFBirj6XJ4eT1qJsD2N
4rvpR7Fmada+LimYrvYVyQuWRoZi+k91s+bMLp396a+X1Kuf6TRqHn49GeArDVu9+pmr7ywJb08W
oZxxsk3i2E6OZTZL6gLlN43CUfnt7pRiJaRZ2yjppcyU0iGZie+Xht+wYA2yaOkaIumMoht69y8d
WKcqrclwizSaO2djoEW/7Bx/NtZml5eOA7E/0jNAXYYrIynTOCUoi6GrNMrcvefdaeoXAxAVim4E
PPtz8z1BrteFj4wbj8YvacOqjI9pbICguqwtP41H8BDpdyrvXrW6PKAx9Ujzdo2xbWEXTSCiqJhd
wfTsRQJfA/5K03heEinJRvnldmgTO1xf1YIaCNBJ1MuADAknQ3osc+r2CkHyJNKs5JUaRw1jDzdL
EMNYeLhQFEcJU7qRwKsHI59ZJVFM7pI7j68Y48stgl+EYQB0DAmIeke6kDonrmKbyhDVGri1E94E
rsu+glRjxWyJn3meWYUcNKBiQgPQWBecZiZFAyCa+VhU5a4BSOmSbVB5afyYV86+1dm4Iu8jf3kp
EPUkzAEDK0Fm47VmlaktTxiAKwBUZ4ASEMPZ/W/iPPR12CYcHRNz0Gu7W08LAaAKVUOFA1Waj7bI
E7NTDHhATWtkUenMh7YqwzSl2+siFpKdQgYQvhB5oDFcxjRx9ckhE+EsKkrmJ4pPuirQ6kMF1oSi
7IOhxCR64vqcOL5JlWBF+qXJwPAIpkSB1v4xKi5pPDpF+sZEijoCXMAjJ+kmB8i1Zpc7wrI7Ox0q
32tBymeAoaxUuZ+0yPbagGw3c2Cv1PXfmpj439VN07AVC7OkymhstdDZg/LSRaMFAHZoNVtNHyWq
oQTUyqz7NHXR8Rm33souLGkzymPoJMH01GXLQuYaRYcW4i7KjE2FOZRh3hXahk03u3vYa0dMf4v6
Mqrl549Y6g4FUTK9iyhAkDAL+wWUaCt+8dKmoRkKPKPIYcA4S6FF6rBWtVPaIwzfak4GWr8c3T0r
KntpJVGZPhEircNNnRY5rKKPvOKB6Y/DymmIp0O+6mhbgDuJBO9l07mi9hoKivoQxZaL5OhfXqT+
TN4r09k36rNWRABy9a9fg8UVnYiU3AuKoQNBDT1ERq1h6FL7So3hE6bkdFXSg9nnNK5IgVWp86Nm
3ZW3o4mIdoH/7potnXwdD2ZsZ/h+Uv6lxu9a/8zvR9YVtxFtoui3O1degInonanmLGLuGGRFvilv
7zvGCk4kSIcAgBzgMLQZi/LiMH/R3M0nzhjqhOwx3G3gR54voChUkChjGC8CTjIw4qoV2hPx62St
BZa4GCmCCwGwxvPPa13rmGljDEgbkgPFdE/fDgjw2QMt4tfUyN5zzVhZ0eKjCE8IzVBiuu2i9Z8k
pp121IPMfO/xtyIFH4rt54mJGfNkS/ofedMezHZ/+0ZiPgu+LFI5+EfayNF2Ug0QWUNkFWH6zqfn
f/d5cVdP3tx0AgDa4M24/ui26t/RnHv9+0smEq4XSBMRcgEcXbJevYcJfmPGXdfbbyDb8QcLvJ9r
tAuLR3MqRUqDAAR80CYNmxS7U/FeKKZ5pHFifW2aVnmqAPMWAIkrBntF+oN4XRrqxkRX+nuXjBom
E1H3RlyOtibJ4oAftJ570A5EuQkCk50F+PnP7OR/BXiSyXGZUzlJYQ5RZW/AU6O7+0/p2skaZKoP
xUmIyjluldmTrd4pm/rv9TWsbJInnRNyiSQF5McQ9c4v61dsfObzwE0XcHsY0rWF53GizG1GwCNk
cVjlg6bDsXDX0shLrotwjgTkJfr9PmhnTwQ4Vk40ICrjMqY/kinZUjff2/rRaFdwAxb3CRMCaOYV
bUuyl2qPQANqBlhPNX4id2r9CesJWsb//7w8uGjo83+sp+rSu2Es9p0Optwc8z/19JRYKJUOa07f
8orQsWRhDgWpWEl7vaJE01IJ4+kdCOBhh3nNqVhwrdGdioEHwC2gufui3wxES21he3UEAuVgZM9Z
exya5qgOsT+Xt7c1Icf/UYlDOIblSM9zV8+jwuKuicAEvB1rtlcBiFfWawmfhU1D3I3OYbiXKDDK
fd0f8NRTPzWoVh2d7Kvb3G6zzr4vXcfGbYe4HvB9RkNQrfsZP1y/70uGGeGcjWgOyYvLkfkuTfjI
Wd1EWvalAHwVutI2XH1SiyQolMcmLTZj82Mq6ea6XF28ipJ/gOqIwGABKI+I9c4tQZy7k1F4LTDx
GNob9dK3gSnSxNk25d/b+H5O9lr8xuyfcZ2h9HwY3SzQsheXvc7oD9SQQy86JxjNf3jBj3Rs/bp5
NFl0/UcuPI2nv1E26J1bsd4e+i6qu22tbCrn0K9RYayJkF7ftDBoLSAoo6H4jlKb0WR+p77+u2VI
SuRgUCdtDSzDKp+RkaRG77NyxR1ecPewVYJdHWy5gt7l/DiVacrYAM6wSKXp+DRRVQmzgRh+ZWEY
n6HotuFMeZ1o0X5GgU8lS4qk1x7A3XrSRQ7NgsY8mPWTV/bbtND9DBC7/S6vozl9u76lS/dedH2h
ixdh5UWaOi2attQsCAWzjN9iWvbP9e8vPGPaB1AVQGkFOrSQf/KMjQxOnz7odZQVXUCan51h+1zZ
MfIv5Qj1PJGDgQF3TDSjjkAQoNo+tR+It9fISrZqScmRpwRgCqYc4Z9LSg4Wupg2zQiiuyHo62Mx
b+M1VMQl/RMkfiD5EQB/cqe6glHgtgMhLwpgk29pX9wqzNmGt9/S6kjWlH3p9E+FSR5/nKmFOrsQ
Zk5+rQX52hDl0kt5+n3p9M2J5AkAtOpIAxkP/TE1h6T70+kpKpQr+ZElPUNXF6B6kOkRgdr5+Xst
ertiT+0iI313CPARUBDHyJvR/r6uz0s7Bq8bk3ViWOFCn/UaSGoj77oo7hXfH/I1fKWF76PyCQUD
bBSq+x94ZCd6nFPVnCsvmyL2pmv3pDre/PORZsdzJYJ9ENdLFjSH4o2lXU1R8ZDaPx3z+yc+/1Hz
Qu87xpEkZ4X0iCzrzONRQr43JPOn+TMC4KhiDgmNUEi4nx8zx/PrarPOI2YWAbDgebfmCGnCzErv
uaGiLoy6JyJhRP7nIlytsDntbGTAB0/bEbN9aeLuOzD6nzhzAocwvxvaB2AV++gouFdL98+EzLUL
NhoMCh0ywNTrhX1HaPunNu0I8+a3h9Gnv8+U3NsUwCnoMzRYZCJZrta1v9YquaSCaCsRri1sHJLy
5xtg9o7NeT2xyFGcD+C3Pl85RaEG8hajRiICTLR7XuRLs6ai4wB+mgg8nFowWc2LO9BD0/S+A3qz
zdTxzXW9XLAO6JfBJLcGcA20gUp71umYh/QYGaO4BehvN8y/RrdxAgIGFt6N/1wXtrR/H8UTBwTQ
6JuRFCjR6zQfbJRqHL+dHrxqxdItvEFYBz6M7gUkNOQX1YitOjM7d4jmeltmu1HZmGspzaXt0nXV
RvUALe64aOcaYBh171KtYNE0aaGT0uchAyrEXHzh1VqVZFGUDYRBwLYInhLpQmed4nb2TFmUmdlb
M5NNnxVfXe4e+mGN5mHxXPBuo8kUTO3w1s9XlaDuAOy/mUVdXfjbGv+6fu5LEQjYQjAZhUqj4B6U
1uKZMADxMI5AmDY1Xx3GR642j5qRHED+Mx8RkOyYlj9ZmbGfCvoJswAkAczqWWgJw9txvrq8Kka0
cww8MvVn2/qyRhS3pHUo9KFUjxgUAKqSZcdwpNrScRqjTmmBIvqummGcrdQ4lw4ILjcGvmHFF+gh
266ckEVjUdLbm18K6lXXD2hJ106/Lz1+9YzssYdpYiQIs+Pc06js8/cxZ189NINcF7W4FEwJIQ7F
mBwmK85Po6qHAph+2Qiwu3eWH/R0f/37i8eBSpMoCWOWUH6kSKxxFSgGuKHDg97eGyQcuk8olChm
/UeE/M4oadt6Uw4RpQe65pT6bnB9DUvHgW58wNuJuRPolLRHk6IpvAcgO6hvXPo06U/jcFBXoqql
jQJ3osAwFR7VxaXP7YHzHsQSg/6sNyCn27dr3YVLZy0IcDBzKW7/h1k4cdm0dmoqYnVTpJBXJRj4
y/VtWqojY+IM9lgU/4BJIpZ48n1udCogLxo1mp2Gvo3oMd8UppPsE9IYvtrP5RaFremun3N7MwIg
eEPLtnluuaet3J+FhZrgM0eoiBlw9GhKNqCsjQnIVcDD1CZkub3ep+32+loXfK8zCZIR40M3ujaH
hKbdAU47UV5i7SGHizP4NH8Y1ZUFLYw4opX+ZEWSCqZAEnUA6gf0tqQL+um7So2dg+lv8Clb6S4G
jFs1fUn6aTeUSdAYW5J2QWLHQO7YJ4zvyyKq1LWWooVrgSgG/rMgjsYUr7TLjltWJlFrvIh69UCd
6tDbb00MmFpefLu+20vnCS9dMEir6IKwJUnQK9WiZowUecsCi25Nsgb6tnD7sBTwl6L2AgwM+XVP
PQPTsA58lURxg0Z/LJQnta1WTnFhGUBCFjcDEY13Qfc7Gh2cpQ4FTJ69F37F3m7epbPPSzqZ8dLJ
nIIwNA4mQbevABR1uwA4W8A8EC73RXNXyxm3wIvbR8CzzXba9C8/L/TtxHw42WSQpsbnk3Ty1ZBZ
a7Q6S/t/+vslNSrAa+XURdxHZHb96cecrVXAF7RIkDKiLVxwLWtyT7BqIkU1AvEDo6QBd4Hmc9/z
lfT0oggNQ5C2mH9C5Hq+SRM3qnHKEfS1NdmXsKvzuK0+UTNCOw78Q0FKgMEaKQqZCHGIRRIeNVYA
nIg1kIOlczj9vOS1J4DEmmZPGSMt2VRl8JlrhuYQAFaJLq0L5KKCOYM66jkczL7GPH29WfE3lo4A
pS7gKwIdCV2z0hE4aTWjExRECmCY6RO/o8F8O5aFiDgRbQAdVGRwJBEs5XHujDPSE5bmb1ELud3r
sxE4g6hZmCI00p1rEXMTc2B2zyOdB4PiZ+mKlgpTI8XNGAZGxRf8pADKcIQGnFxlhIR2xguccJw8
zkh+10YbGOTRre4zDJvmfKWgvvASnYmTtgv54pl3cTziYge/1PeO+bX9mR0DRDoeYdS4LkZMC9Yy
FVj2Y9QXu5nu09frpnXBn8DkL24bhlg9xEXS+96zEoAAZcMjq5mLvTcTZZ+nbvdXn2twR2quAiTD
iSb3yVzZ2zlv0psjGqTZEM9AumAQkGP13FOMmItczUj+Au+WW7f3gZ8LkI6IDn1vAQ8dyaDnSb9P
+fH6/l2aFHzeRakT2Xs8TnKVvtQ0eJ85whhnRG3T/K5bKxotft+5Rp8LkOKkgVFrjIEMHpktKBW2
bRZyff+ZNdjw0EUD8EVOciRp4/bg5Iny5ilRwjUYtKUVIE2POAmwcGiclYy6Ylr9SFnFImqSB86A
tgJ3nSBvdjttGXIKQpXBBA8qQbmFuW3RgW613RBRtdo6lOxV/OHTWkJm4ciBP2nhxIHJg65cyV3w
po6UQI/roz60MYKpq2vJpTUBkrsAvlC1NAsDAkbgc7qxnxorSvUR1ElaBT8BCW4LA3/oYZZEsKRP
28GDiKxKt5P1XFtfi+4fa3yj00E1Bz/pGx8UbUHdFf4wtZspbrfF7X118FjQL6YhWyv6kaTHAAmo
Upnc2g2VZvRdtwlsa6W3YkH1ENECYd3+sG+y06I7Q8eHoXdCvTZ8dNhty0r/YhXl5uYLhLQWhhvg
t2DwWF6IOg6eWReNEwKdNNAoSKF4f/MzgNgcqXZU1tAZjJzp+cNmxm6Xxl7mhtSu/YoaQaGuVO4W
tA6uNbJKEIPhX0uSYBBvVBWNeALjQsx9sdst/dn3JUPmKFVseSzzQnMK+mLTfb/9DE5/vqRMRHXY
OPX4/FgHnJYBcdf6TBY3CKCRGGBAYzas/fkRNEk/1gUAe8KW0oBSNOiuDXuvSZDeqradqrHRISEt
n+dvCLOvb9Glc4Q3FgCn6JZB+QxhgrQAve5KN07x+TZ7nEwl9xviMd9W7N/EHQ6tpxwBYPcJxT0V
Ku0ahggALNDmXsgb4AcralCujf4sXfJTCdKu9bneTp4FCXOxS7KAdEdyu9uKGoyYI9YRlCDFK90N
nmZ514FrKgRdg2+pmAy4OdGAc4ExBuqpBoI8V35TjAre0RA7IVia+Nc+ebl+8pd+6vnnJXNfW+Ns
6QyfL4HJhMai1NrVzTF3bz9rjPYCCkWgDnnwK88VjCSGUYwmjUO1AkjBk1W+X1/Gwv04+76kwNVc
olEd2b1wNgKv2Rm3x4eIaNDdj1QPEjsX/bFmOeMlmts4dPiXzKfZ8/Wfv6CoZ5+XtidLkMUoGT4P
5Kph8N15Y9zujZ5JkDaoYFZhzgMkYPhp2Ba3zwRhf+A2INcAZcVA6Pn5MmTKstLpY7xzqn808zVe
mgU1RTkVXqKYqQV6nnTNXKKocclbBfavbP0yAWlRVUZdb/ioDq0UCRdloYdAvKaoRcpNaZpNCsDD
jXB3vV/d8MMyXpj+Q1lrh1nSWDza/y9FTmjoINgZOwops0s3NvNQjv7EkeM9wqWDbUckItlXjsEo
YgxjHG5sOgRuv8aluryC/31fsq5TnVpq6rIYyFCpn9wb8yceCBPTdIih0MYP9ZIiUDRbKjnDGFRY
Ku9u+k42t1+6k8+7UvRhdmYXjzlMt8bvC+tXYv3SlRVvemmLUNVAXhITCWiJkLYImLh1Z7A6Bip9
tdNm9TGptK/XVyEMtOSvCxBp5HzwdKNbWPyEk7yGXjiNXqaeFzY5xv5mBwTptra1Km/v6MkOvZU0
uC5w6XrgGUJOEc1C+COdCrcGK2Ea1qQpZtCNue8aOWCtoiZdcTsXV/Y/QXJtaKa8GBiHIIV80cfn
tOo2Rl8DoNcLlXjNwC+vyrM+IHswIiqtSreVajI1KLPRb+0tOxTz/eT8ub5zi9qAXsH/yJAVDg2Y
iZU44sLEP+Jhm8y3I/uLrgbkTFA9hd2S4+kGvKYASYWXOBcZUkJ+jQba60tYOBNAc8DfEXnYy4Gn
ITYyVSkqOzTc16w5NEAlTdO3TCG+Va2IWtgtiAInjYBhFUwl54pdDbmbtCWzw+HR1V+s4cf1lSwc
OMqz2Cr0vdlAIZSvZuMqSfbBGGNoG0J/07K6c8fIY2tkXh96Kt1QYHKL11dDaywkni9EB3NP4daj
HXJWTX45Z/d5Wt4Ntr1Jc/6Lj6N6xL6+6ta4Ge1ye/syMRaOJKEr6Pjk3vSkLCad9KkTMl7epeYh
ffKqXUK92w0dqP6Q3xb+3WUCGmMQZjtUEDNo+2Q7rHGkLu7h6fclZbBGjhRODH6fVi+3Od9b3XEE
Pdp0VzW1n9DaZ8MhXsM+EiogH9ypUHEZTkzr3NlVFrdYlBLa3jf0qY3frh/Owm062zXJa0LCjSvM
gAA+TIGaoy8W2a+0Jj76J/HfX69LW7hQwIVHX54J441RfsmHyuw2TjUbF0ohoa38bMhaQnVpOUCf
EXQ4wLK/YMAuS+5WmMhWgFBp+3X8aiWjb1l8pxXlLs+b3fXlLJ3OqTRJJfIsdntErUqY6BpIexMA
VCT5PUCDV7ZtSQ5cTsGjAKt3kTukZRqrBSDNw7qdj0PdPRBAVeTFWvl+afOApoMBXzziGMOTvJHG
M8Y5abEcnYCOB5PnIfIsIyhgenJ7LIZ2cuTQ4JEg4JftkWKPedGZCgCwzAbpvCD3Vkzrwo4BihKg
V4B0QDO2Kf7+5N4MXuGQyqRemBQbywPn71ab9tcPf0GXz0RIh++UjW6RukTK6Dm1gUS+olsLnwfk
lcDwQCHqEklJnRvFHCrXDQG5emyrektpupKAFA6FZFxQD0QlDb4buuHlU5jh23KWImLyTCXwzNfa
fq7sneFhwvNn3D11q5NXS2s6FSj+/uRUSDVz0HtDYP/WJUWAN2BFrxaO3cM0n5iAAlLcRR04QSah
VvsSQCsAOVIOXu4rxsvNx47WfqAeon7nopFO8tLYmI3laBgACrmbHTSWHK5/fuEOAkMTjjQ8DuBb
yC0XCCvpnPRaEvG2NIKhd/0m5Yea/VEMsNYN1vz1urylIxFlAjE/COgTuSzRaLzj6ElKo9G9B0OX
fvzE5wGnIob5YCkdyeCj6ky4ObRp5Dh/eZ/53srPXzpwfPe/35eyFh2ZaneK6zQCOv0U2FO9ITHb
Thpbow9cEyR5UFUJBJqGYiGoPPZFQIugYytRzQIwPyYEkcYD6yrm7S/Knfpsu8TpABNU8WTXOfUD
aMgPAzc21NUfitIpfNTbNpg2bHzwSEap5iHVOwEG5PqZfaRaZbtw8jvkqCdLksGYWZxEpqN0YWfk
VrWtDf3Z82Lg8xdWvkVVo743OZxwt7feisTu72fAhvt1O+l/1GYNuH3JUJ3+IEmLGsEK51TYGDxe
O8w6+n3xFXwBSRLpAi4PswTjvBL5LcwRiHFN1OQ1EOuhK0lc1BNbVcGbLB0bF8PDyQM/5yf6l3xH
a1444EJ8s2bd3hmrOtDcJgEfm1f7ekVAWDwMzG9ayjdqVzcbkgxkg4jZ3GQZKe5RuWp3nnnzFBjm
HVCoBggTqjxAr5ZsUjKahM4YoIribHotqPkCNoWV5+hC/89FyHFdhljcGmzYJSt98Mpvih0U5Pd1
vbswfZII6ZRJ3LTZWKkJkCwAVdf9GdJh4wB+h7wR01nR8cXluKgkYRIYPY/y0+dgnDJW+y6JKg3z
nOWdPv3Tx/98Yj0nMqTXrkbXn2VUQxL1XNnQCfix46+qrf2O3XNjrYtLeBsXdxYZGNE67l5W+fos
A1IKQO2jyh2frWL8AjbEMLHyjefVK8nJi71zxc34nyhpXRpL7FzpszRqHAMO73uKpss4XzGGS++S
qAOh7QMdV+hLPb9+zjSrydjNcdiVemAVh6pc8xXWJIgdPbngSsytGGwycciGiE3bzP12/fjXvi8Z
kL7Ns7Sw8X31L802FltxFNY+LwVuk2oDsLrF58sYJZnArFfC6SWFOj0AyabYXaaq1NXicLTvu2IC
HWgc5NlzYa5BI11ce6gTcFKQsEdfMupYYqEn51DGWU11N45DK35UvOOoZRt30EDLDSD+NQijRVnQ
KMwuIZWP5uFzWcTgKmocpoJFpY9eilmw+rnuJzDfaFv9dq4nMcaOkploBQargLSDdVOoHl5LJQQo
37bO6LY24+9ppfwZk2Z/XdcWDwsBNVD+PYBZyElewpqhBPcaah8dCYzkQe+mrZ48FBh8/neCpEsz
WgAuNmYI0os7gmH5oj9WVg+ejpXnd8nGeOhqxnwEmmovEgW12Y+mx1A4mJX0WNPsEYyxh25KVsr+
C8356G0+kSMpxDggSo29QRTVvK9pTt5HAuKhQfe2Bp0fFaIHFYjCqs7Y9aq67w36dn0/lxQS5+aA
uRCnd4HbkFhKUaKahRAsZ35Zj75S5/6ovBZI/5Yv12V9JHflN+JUmLTYyuZ9pU92HCYlqNQK00zg
zTl/6swd7oyYkX1T93ZgNEQNFEPDaGIJAL+D1wrzBY3yddaD0B5tVFtn0qs/JHW+Kxq9d2MbTtnc
PcS2Tn1vKvQHS0MTBXiysl1fKJbPVOAkVBgiCxS4ir41996GwoUE80uZfLHzPD7WXevd06m0A48C
bw+ejheUeRcfWjUe4Pea8VNaZsCHmjTv3kvoe53z9n5GA90GYDrZfuSmG+Q8H49NaVZPk826bVz2
euBSO35s8+IfPpDdQIaB+tZI20DNbPak9F0dtPnk+MA1if2p7PqjPqAQhvEBc+I+Le6z2WNB6k1G
UMWoTCd2lmwrM6GHnJG3SenTDTg28YPt+Re85danZFLCGFi4u3k2PZ91Y7o3Z4rxbIOP/1jEHTfX
j/VChYTbhCkiG9UQhKQfQxIn9tNgpV62XQG3yWt+A/mg3zbD9Owo2uPctAEph5Xn/+LhkeRJZs1W
eTxrOUkih6Rb000DMn7GERTD4PBk0bsvk33odabYdaog5Wl/nzw16Om9habouf4CMK3rm7dkOD34
GMBNQ5LlAj2tAedQlikunADmm/PzLmD6z+sSLiyZ2C6k05CUAEDPRV+LEUOnhx464SrRyH4CmpEO
Kxd78UROREgvqOKiyaTTZiUsiqCa/Tq/1dWQliD5YuaE4i2x8H1AL99X0fX9WfzxKA+I0UsRCEnq
1GegGjO8WAlVkg7+XDiPituubJB2ccySzoo7dHJH5rjTUQfNENFyME2BIbzcoeoX37mDiSpVMqKy
64KRFAXqOqhoNu1KVW/3YPzMAkuryW+17rWNQai3teY8n3yl8daGmRb1RIydIvDHRsiJGB0zKq4D
9PQIzGubRP85Un3XqPHK+70kBSQ6wKYQAI4XcK1gPXOBRAUHyNWUfcKPFlCpDGfFG1kTYki7nZDU
FOeKXrQkAMjqr47wd5Wnx+uasyZGVnvC5lptRFbcfZ3yqJqf6Fr/wrIID5QGguTiAk2ZIdQBZATK
CaxmWTApw0HjLPNBwr5yLku3AOScKrLiYrZEduBMA+03jonmEnvPrW+ltmKElvRfs5FawoyjBqRI
Sf/rUQEyzQCLyibvyfC0Q0KMOzKlG3U0g0+cCpo0YfTAWn6R2odNB4xQbOM+az/s9E/sHNKbwZRx
m4E2rILsGUmyi4mxFHXyPtVb3OZ8H5ONqW+TevuJVSAXrWEsDaN1MohC02gmB1aREnZ1lh4nUHft
bcbjfdk1a5GuCNTOvDL4n4DvhL3BI4EkknRbChcUdH2FSX1tmF5yj1r+UCVvc0lekHL5286IUrir
reHTLUpF4hc9zqJxVw5OSsyrgpiu18J6SLeJus9K7lvNtyzeNvP9DKzd6/u54KSAmspFMQOgCtAO
SQEtN04UVnlqGFf/JCWQFUjsjxgLNZz7BnCL14WJJ+NiR4FMITqexZWSnpRYncAYl5VgiyrH+N4x
EBNNhBW7VgOqlalkgEx2rK1JbeKbmbNG87ZgM1CBFtEl9vWyqg9U3HbMk0wLmdYHqv7Wtl/iVFlZ
4mU1GlqDmAFuHxI+l1BGSVanHuk0LXT153TW/WG80yvVT9guczZJvIUT4OW/ru/rh9ZLG4teKIww
idKHjbHsc8Pex4hQiqKxQrPKmy3IGYFlbijpljS9eqBqZ2wGqr3mM22Z77Rzt2d9Xwbz3Hd/3dbl
G5tU2pNXp63v1c7g56rd7/U2bX8wo+tfyradfaOZ8sexwQQZXin9i97M5U5L4Bmo/0falTXHbTPb
X4Qq7iBfSc6ikWRRshxbeWHFGwlu4E6Qv/4epurGMxjWoKSvkvjFKfYAaACN7tPnzCUctRHsuZ2d
NzE35VFQYQSaNox7vC3KgIL0pAh5wfjOabV0T5Zc7LoG/ZM+2EOSQOAoeYoX4nweWohFN3qtAkJt
LD0wDhaSsKCpQK1WKqCmvahdhi61p56Wj4Nu7vW8+OQs6f72Omyc5hfLsP79WTST9KaWdlZvP0Ga
Nez0fQpFbXCO4cV0287WcHDG4h9Qiax8PZd2isHyuGh198l2j1y/5wiaPjAUwDX/mFiPqbOh1HgA
lAWHCaL7Jsrn4pTOd+Tn7XFszBcwYsj6gCFxLQhLJ2y21DnUoUf3yc0/W/oxawKewwNV8n4bx86F
GSke6Zt0GbQCZgq7DPHC1c1f6RSK5qmuZ79s3kAFdntc1wUj6CafD0zaj4VBCO947z7FhRcsvRvQ
DLi7mO16j/txeW/MexN5BUP/Lsrd4Lw//kLnOf5x8e4E1EJyD9HQpDZI4T41zL4XjXMfs+51clUY
ya2jDlsKNHRrkfK6uyRtZyunBJ04ecMDT4CzrfNJiuuKcN9J/zHyU2XZvlKuc8v7z80al65ZQs23
zafWfaL8dWwPWRp4qv5ClQnJMRkaGtmwNOibSfgPc86/j4LtRKkqdmz5//lIJMeEeCqneoIJNMVX
XhybNcGhHSZzd9sdt0aDHgEUoIAlAAGCdO1ShhaOejboE8gw/Np4Gdlr4ar4vbbGYqI6rqEVGALp
8l7WcFvQVACvZI3mrpq9wFyMoC7/6ZhiNNamJRCPgNMRMSt4py7X3+bmUGVagq4HSEPuRebSoF6W
8YtZeuhKc1j7jVqM7GNdm/1esGmv5VV6anO7uYOYZJr4GABIKAgxTxOrmrsqqetgMGm2q+00P2Vt
UZ0chmLmRCwjWEA0/WY7XAROU2s+8HJTOIjO2WeNa0MvQJuqBCSWWfvSj4vzKyt4cy/swt2jlJTv
u9pCPoaCMa8bYvchT50xmD1QKGacik/6krG72ctwBXYD+9TPQOWiWYH7deeQx6wdVEw9W55AsV0x
afCFK0r3TMs6G7QtSOmj44n8Ggd0VioytyoTkk+npBtpqa1QEu/R1F+K/oW7igrI+gkp2kETOMh5
UFVFEVh+NFkZA/6jYfETE83fGYHqpEuZIrWylZmwQEsPsi4Um9HWLhU9wWjQLZXjIQHlLjqERKCf
cgwg0ZaCJyE7kpafusK+4yw7xDo6HmfvziH9bqDx16KwDrc38OaAkXf7NzlwrR00VaY2mrxA+jLV
QXCQFV+7TgVy3lq3lZMMyiooq+uGdKqSvm0SqzKAqLZXJqq62TeDJfyF6IrgZeOB8y9v0P9vXymy
sJaWLITgoGimL6A/t7qH1oGmb3eql+ep3N+euc2zAnSGOPhAn4iE/eVZwXMxOQhhnacxgypMeSz5
P9hk/qS/3LaztUKIxtYWFOyqqyQRIDZtlnWW87TYPEj1v733a20jpFhB9Sv+CI3EcoWstIcsm4fE
fUqDFgLInvIluOUAFlSWIBMNNUK0Kl9OVRkPqCTyFFEDUBR5mOVHzf3AapybWFfrLKg0PWhrW6uJ
Tn/OoXapBXH2kHx7/1JAGA4+DHKn64yNXWSztWQa4MD2C4mjbPf+z6OXc62L4t+r2HsyGK7ZsYP7
gibSydH6rkLqr/eXfLwhqwXQyEqZcpX6HtueZqjHxk9QogrqcfyJEO+Od65vpngxtXWvWBWVPWlD
9mOpQSQUJT1SDJ/M1jpUyXBMDJRuYu/E+15RQbxGMcGTz8cnhSNt7CUmaef4Ke7rFmQkuv4cp/SX
xUl16ObW27O2aP1YT3io0fb3SKo38LQnx4XO9hM3U/Hl9ooaxtYpcf48lM96S9OTfzEN3miy+6bO
nL3hsuJQTPFXpBmXvYYqUUZa81GYpNkvsxnf9cNY75bYdvZV2rU71266cNHHxh/qHE8my/5hohB2
KOYmOVULHcI+RhGOGHG5Q++BtUtZqaNB3huRVmoJbNWO92ZPnELWyivDtOOooiHgOhRUY7t6Hlq/
7Ys2bAyw8BaNDonFApW5yhvH+4IJduf1nuB+6wK4S2MITACp0QYjm+19VfPq1Cemt7fYMu9FIwq0
tduVTwSa/Tq0wR9yDjdOsm46amlGfRRmli/uTBHZjFN+gIi8fcx0PQ4cDSW5qeu1F4si8bogIw+K
KJ/W2vxJixPoKNjLlxL/16du9KrdQpfl0JXWG3WK711u4StN1R2TInuwtPKA44YeBrFop25p6tM0
iSIwm6nyRW1CD2ZJxgc2ZwQ0IsUcFGCB8d0hmV8gapf6dZG0QVtncejQBX+B7OoOgspDCAlS/sWu
0jYcdK6Fg8OLA/oPrAAi3yIAPr3/hN435wDRN2c3uKCOB4GkCFkLOLIz1q9e7k66v+CK3OGRXRrB
1A9OABAUqqJdjURzwpJHmtcsbJhYfAHMu1+Yy69mpguOZl3bTdxogHNve7/KEV8CXzF8Giuu7Swx
F+FspsXOKK3xvpuYjo6sYcSPjP8eWsf4EmejfvJaOnlgA9CXvxoAavNdRUygpSGL4/V55euIwPcQ
sfldjqPwwZhZ/k4G8o8xtdXjUiC+7b2KvQwzAVP8ME0BIBw04FavBUDO5t9cb5/qpyn+LCrXiwho
BA+VoYOGpFg4cHC9GSZJAwwwFGX6kA+L/ZBXrHwsU20JxqH2/Lmr+9CoyvpLatAmWtwCzghXqu5A
I8x8bRIa3rgMUawOtC8lrYEi7Ej1vcY0oCTb/M0q+t+0bctP7jCYAXLjxm+rSdy9VSbJAc3O00OJ
DryQmEa+Fxavw6KvZh/kfN1T0QCsSoyk3ldNN54Y1NqhtrZ01c7pBhJSnJf3nT05J9RtMFBRsrDQ
il9TGw+HcUrZM8kYC6C9nHzpas3ofHMmADIlyajdUZ7Ph7JuG99M9PSkZ8Q7GlpvB3RJU6jR6O6B
d7oIuT6Nu6ZuLeBuujhYqim9Y2ZXH8bl9zgYQQq/7VDpCU3wO/i3D6utwxoFD3vVntOu2aK0aaST
w3n8xB2+qqwOjd9V6R7/828e9w9Oq1KV2zobV/TPSrWDrIL82hLJYLYJmNOfGuEdzQZYVy66I29j
nAqGCuG6FUbhuFlBQNiwVzTUfDZdjhbx+ClNQtSXaxVCbvP7yHLbNphDwJwnXT1DmxlVxoCdKi1o
r7b6cwfhCsUKbcRRK9kDXlfIzF1rINMqd1uvY85TXhw0kJ5lOzK9P8FzYUKKowAqyok9w8TA925l
+AZUEKt349iQmKN4AOG6RF8irsfLYK3AJaKbKbSWPdBTndpMEQZsLAUWeAVgrQ0OcOXLz48Gnkxz
bkPK2Q2c0Hk3iBC/HhVMAL3QngPwtvyc0fSlLt0li1jZ+RNFYnt+vb0TtwaAXDJAkCjgYQzS/JQ6
SZ10hoxzlwRtis75/f/2fSkeF3rdd9TB9+nXzNoLovChjYME3UQ2+kxA6w/knZTiqpMWGXMGRZHa
9k7M+wvthtkigp6iQtD/+MBQzmxJU4XLzq68pWOR2M/WZ01TPL42h4LME6R18Xq5qtEKl7iuM/Ms
Ggv6DMwT/rQY3yNAD6tasSoqW5Lbssp06gnxS2Si7ScQSfZtGTWgonunCIy8sn2QiH+9PXsbBwpF
yIwM6/osvyrcEm1OzH7OsiitQE4VP8yMn1j8dtvIljevTw7whePYglNcbseYmrM2Ci+LLO+TXfqF
Cje4zov0qAHJJOCkuLqAupHTKYbHzAyRfgameOoLBFi99kOPp13svb+ifmFI2vjuyFy3qLHxTf2n
636roOMdt6+2ii1+ww8uzEjbB1TAesUqDefL8jcHaq3uqF+CpMxOnjvjn9trs+EAF7ak7UNcEN/n
upFFQx2Z8WGsIzYdPmACcPt/4bcruvNy+a007S2jxvLn7Ftv7bJ552gKN970AFTS0eWsgY9ebjG1
59KpUqhYRGNezODmKLP0FTKP6UvTMcjhmrWmyERuuPSqj4mr+F81XLkzgi40bo2ly6LW2i3+ZO0+
MGVnn5cejdoAtQgtbrNoMmK0jmSfMle7M0xNkezcnrY/o5D8OU7Hrp+SPou6xXfjv2u2T+t9HCuS
JiorkjuzGYGtFzdZtJCTXd8R65V3cIHgf5syyZF1C+vfe1gRBiLougFC0XrovP1tI1vFN6w7gmQ0
bOHQlHXqeAc4rWbhqJlrvcBjAUoiBkMxCixc8+PAUc003TAH/0VplUE2lFpo4eALyyTnivFue+Cf
XyK5CISgScJT/BIah+a8I5piqKrvS77RpykgkhSHkIH9GoJw7/ZMbp5xIFzFzYpy5hVJzDTlxMgm
LJfonsv80Rhe4jwy2R1EoT4yUWeWpFgHFEo6MgAjbh/yC/04y7spoMCAt+ry/P9IVvc/Szy2JXHQ
QI1N5LWgCIotKw9ySxUarI+HqytuBZisMvLIokqrPY8EDBsjVrss8NIXQUq+L0O8W3smumT0h/Jn
9+5e5HVcuFTBRYQeTtysl+OqjdROkGrOo2L0Tfu5st6PAV0hBvYKLQEFuMyECD3xtFpyL4+sQzM8
LbmCWm7r1AFMBt3UkI+5hpjWXdp4IjEgUG3/Y/Fg2nvG3olfb3vxdSsBJgmYGLz6XBQNryqTRT7F
RjPDytrT3n4WWehk90WCPsCQAN0w9Ys/k6A3VWqvW7sTgQ56a9GWfF0TAF2ybufTArtA4L9OrSKA
3/o8+EpBv7o2p16RLsdFBUHEdioiQFNFtmfs++152/j+CmXC1l8PMOh9XvrWnNj94pqMRfHwYr01
jQIjofq8tFsA1q2mzMPn0xoyfCxMxRDeHsBG2HQ+ADnk5GXV61MBLgMntk5dq30WE0qFdqs65Tft
mC6Cc2DL0L0kHS4GuPi7yipZpHVt2Lm/emQtP4B3Bdj1j431qD47wMpspNVS4LXWi9a3RohhshrV
yPe/yVFLADwPTN4Q3ZRVzOrWYRNidBY1DQIm8qrx4+0l2djweJevAaC9GpKp2hKaWkkRm+AJtReA
4X7nfbO3yH2LZo/3G8LOA+UcIJw4YqT5yuy+4QP0F6MyeUrN32T43QsaWLOqVrM1oHM7UtxstBRg
hAUDMvXvVXHi7Ec7hrRXNblvbZYVNImHGR6AV491bWiT0lqQC5iMOYy9FFyuqtTb5kgMgCPRWwiu
eLm+uOhFqzn5nEagzkh8R6uPblZ9MSk5klrFibq1YyAK8J8t89KbjblheYvXEq4tw/O9JolRQCdx
aNjxsrvtCFvRIDiCV/5bZDCdq7ImKbKkt9MRjCaI+jykSkF28cvtyMmoeGin6W+j03YCx7cfU283
xtqv3IoVL5HN8Z79BumEqCBpDcpijHfURydoK3cHMuhnLzNV2eFNPzkzJLn90i2ZG3MNR57rPCDU
1gKzc4liSjeNIBmxFoqBSZAJYauuKPult9IIYp1Qd1HJF6k+v/792VFHnVkkSezAEd1QR17tA9ca
uLYA6gCxBgg9JN9DjwWLuwR8ESPxJvSTsQddoIfpttdtbqYzI9IYBggF6dM0pJHWRKb5T+qYB8Mo
A934fNvOpmOhFLDWuteyj2SHp3Npd6sdj97N/QHFB99D+e62kfUjUlyLrBriPx3AaQD+JCOUuZDL
bXLcPeZvgJ8STREFbg0C7+KVtwVv9SvtzAk6pl2RuVjwaseL0OM76L9+YAhnJqRFT6tyKfoCJrxm
lyQhDW9/fnsECPrXMA+3mrTtMtCS1smMVHntgAAWGhhzvyu54om+8bzwAN/7z4h01XCtgFqggzQg
XmN2F2nsRMgDqY958c/QfO9HRXymGtP6c862YZ83XZIlMMe11zhlYNg42CpC+U3P+jMkOelYcVHm
GoAz0OS9y+mBKJZFMWNytFGSpYJAN5ZF2Ci1E3GcmTg22rBzi+Gxs8qXdrL2KCgHt71hXYir/XI2
KulVXjdoSulEDrPk78Qc/CyOPCPKqukgusZHq8Vtc4qF+ldH/WyhvGkeHK3EJCYzOXCypOBAMWLE
1IMiOlQZks6BaYgF7k8YcvjPOH12IDFQqdTmtw7OMyeX261oYuhtq6fI2SU7xo5N/eg1fqPCIW36
HYKpFcNjXXeCZAljDhUoGBBIPcR5FvYfaJ5ctVf+syDd+DoxUR8HTDWivPanN/TbfeRQPjMgHTnO
3OauS+Bkff5UHUcV9ffmWq/kl1BZwL0iC6y0tELK0SEIOC3LZ+K5mb9WsaJfef2JV/vkzMb6G84c
NynKshcuRAN0jwfV+GuxX7thry14m/++vUVUlqTVMGmXTDZPkHecdv3S+jVa3w19DDIAGbp02d+2
tu1df+ZOWhov6x0z6TB3hB4diNMwxfmy/tpb8yZdBOiPsAuduKim6Q9Z/N3N/uLgZB/zH7eH8S/V
zrUd8P6v7ajIn0jnGHOzeV7W/S4SdNz348gfWxPYplbQOjDQ/b8DLYAF1hwgWyYIoQWjo5l/GwOE
QHrCvxnaZAI+BDyk0WT2c1mV4x3IUX6JBM8y6LKhL8jr6QHYVrrTR7sOXJLN63LofpY3U+K7DEql
i9PmaJx2zV3ngY3BRe+WP1rdsnfK2D5yEKMqopGt1UMhDGRdAAjgESyFClVNMruckVKDcg5S7nmr
eAtsrd7596VTtACpYGza+H7nfQZ4SUt/a9oPJ1fsLdUopL2F9iAXYi1VHk3d0/xg94pBbF1x54OQ
NlQy5FmJAigG0T9MIPhtsl8F+GuT4R5vxpqoDjvVnEk7isz1SI0e5sQQgFSaxy/2fFDeCior0r6C
/MWsx32eR7bV+Vn3llquv/ADzf+6vbFUayNFVg4d0pZ1GI1b/25BjD6pODavdXrAHX+2PDJPXKWt
4CRe5FFOvWM/3ufePYnvSPyFs5+ZJoKxeunbH6Z3N+h7UyenUUXBqZjKf1OyZ0e7TtnSFxl+QFwH
swiT9Jgs6Ba8uz2RW1YAhQYXFZ4POsSZLy+QZhggNr4IlD9KL5pSfs+Z4TdkCbLc+ucDpqC0seZs
wV4qw0mSJmlsOnosWkp0cKCZpn9gzjIcrKGaIhdU/YozfvP+PbMnDa2wGdphC9izh8mPQaQt/HR4
tzoQ3ATgHqj2oS/yGg2V897KNDRGRm66QHR2JpNvVarC/5a3G0gnIuEHHg9IhF8ukiiQpAbOh0VW
8z2D3Go1fr+9NJtTdWZA2rag3+BO1hq4UxJ6XHlZc8/5bKfJ7raZ7XEgCQta3LWGLa0IK4oWNEcI
uDI0FAEEqSKUVn1//fuzLdOyxeJzjNs2/wsyllTFD7X5eVzjoK9c5T7l4lSX0p6B7x9F0fyr1R/w
QP3A9Jx9XwoWBKrteU9Q3c+XIBmfMY7/7fvS9Buiqx03RYHanUKv3KmSTptHCVjxV64zdE3K+eLF
HikHUxcKhMtPw54DUQFp73ytFk0xT5veilQH0ikW9p22/pCzZfY6M6mxK/Ew0B2/BGAbaPHAnqbw
9nRtjQcoctAWAGoPIKJ0x9SDmOK8nABOo+4KtSnBDbXY4dAZineIvjUgE7xtGhBwqBTKauNmVtdG
InBStel4SOPqlXRo6x9JVgLCD3w0h4BTno5hlR6mYgkHb/abkj7msTiAyvNAP0C5iSTVyjDuAZqH
c+FygpME8KzKRSl5no5v/XS8Pa9b2+j865Kbm1XTjmOMK6f/Zs6hqWIP2JrM889LXm7NpG6TfAZ4
Kd1XXThXkJx4uz2CLc9AHdwGNhVILzArXc7P4s7lNDV4dXm55dev9H4oA9Gq6iJbAeKqAmEjX4Wu
e/nUz7km+p5iP8VJ7g/2px5sI/lx4i+15wFprsLcbi7LmTnpDmidVsxgdcwinX1BCk7vX25P2jop
8lMIADwwcjgAQV/Vwb3UcXIWu0m0aOaTOUxzmMaoJXXmdKp7K/QAzEri4W0YVf629XIFcyAOJmxi
ZHlXhzk7LiaikczTQemJ23VfTiI0ubEXBj0aRv+5nbzd7XGqzEmn02KUwq0rmEvRJFdPYp87JAT4
FSrm8xMYFD5wSoHiCz1noJsHCnVd1rPR5WMNUuiFgePayN4aM0c3ag7YJvHtQSW2uLWzgNa1KOYS
1mRaFUbaye7HLo1yJxybA4jp0C1we/IUJuSoW6s9y+npykRdven8ry75Ibyft02sEyL74QpiWHVP
0JgqH7Z9bpe2l6AMPDf3efctVQnKbQ0Bz14ksVdCNNROLxdEsLRMXJvlUdUgQ2KJe0t/qV1Vq+nW
KM6eJ7LgG7wMeXJ3fWjF36vkm1C9Pja/7+IeR4spRaeVhFxIC2qQyeDAKtkHC1D/u9uLsLVJQOb5
3+elG6bsvLYx0CsSoZk0s/f5rzbfxfqBpYqT+noYwK6BZBe9HitRndy2n85eUY4L8EQI1H0LieNR
cXdfXwXgiADoFgKCoPNEaHu52shDCJq6fRGBIMCf2DcwFLbaSRSqd8a1V+maATI/GAIG6+rK4XOG
8icFEKau38b5pTVPhq1ISGyZsCy0tq9AKKR017k8O0ks4AonrR1ZVJEezcsQO1Vk2bcW49zA+gPO
DEzWXJm8ggFe9j6w3r2yKL5hAa8wsPegn8AGoEdajUx3x35JyzK6n+sv7fR622k3JghoSBSiAPdH
6CnzZiHlPXkNIVjrokN6rgL/ZeF7laoAfX3vw6HAyubgrQcKK7kS5iSNs+R2WgDk+1zGO3SBPRfs
WeD2L7uT1b/7UXBpTbr2SeW0duvCWn60PzEVbczGgpjQ+Vhx9+hAQxrycsmF4ZWiSVgdkcz1xYvb
T4r9pzIg/Xy0VqKXq4cBNwsBHRLD7vaab+zviwFIoV5FBNWWGt+v6m/CPk1l0ItTZn9+vxXIR0HW
B51Z6OyXdgbLRN94PGsi5DPr42jetckxr4+3jWxNFWJ5HIb4AzeUtBZ1q8e6x2gd2T8a7y/L+HL7
8xu7Az//z+ellRgmpnGhO3VUF2PAu6AcQjdegg8YcXB1QwMFLUNyfEApWVhtZXVEh1Obev6ANn42
KxK/myMBa52hrYVihFWXTsspYyTlBo9oO4tjzorxzWLZ8MWaGi+8PZ6tNQFxoQHldA0tezK3Qlk3
tp2xvI54fh8Z5N3VRqB2zr4uDaR0lsKxc3y9t08tq31Tq/12eje4HkYAq4MuM3pTQHN+OVu5Du3F
ssaS8ESgy+1uniOO1lmVaujGTAE3gTnC6Yv+GlnczyZzTCnIfiJLe66rKH//Qlx8XgpICC5e0hX4
fIz9UUeqY2rDpQDMQMICnAoGQs/178+uPlC2UdoIkwMxgzbgBuBvG0Xa0Fv0XhFZbVqyAZlFGmY1
JV2BtpaVtpktPILP+Tk40vWRBRPYpG477rqql1G0vp7p/5lZl+tsQDGy02Nswkxe/9W0Al1cnm/Y
T7F2T0hkkj6Y5h+3LW4ODOpEGjppkZWQwXVNV1V9slhYelH60I2Z+RMpFefwppOd2ZAmD/JwGi9X
G6z9CSr4sHd/3R7ExnWyPrGBm4J+JDpCJT9wiVPlBYTIIqN+WJYXUg0HNvCjNnWK9dkaybkhaevT
MnMJCpKgEQ1YjiZ6oQp8N5YD0kQrFaQDohDEEJcOMNKiBhHOSv1svGl035t3lgpmtjFZNrY8QndU
z6+JZ0BzLlCyGiHZ5n22MlC0O9972vjLtLu9KBtzdWFHmisQQXjl0MGO5Uw+L94aFeHq9WsHEfWq
PQeipVWTRboaq4TNQJhB0cczGuwUN6gTw+86PQB+0jfb9wN3L81JJzJKEnFe1WCdzvOvrf3oxbsu
PVRWeHvWNqjr1ncCEuErSANsOpIH9LyztMZIIQGjg9a/DYCg2etQtejrL4J+o+gOyKvXuBbv92yY
RTCJSwfBuAydzAGoQs6oTiIwSpRvIvsfP786y9nBthhD6TVeDsb5vAuYsZJkKE7odbWlo/NiANIZ
0Nla7nktGH7RHVaEDj8Q9lVLwXmyi4PbS7S5R22006B7D4lKGb2PKCbPClTBnopSe9GJl96Bj7e7
06sPVF7gC2eWjMtZMykHecWqPeK2YGUMiloRyWxuURw0NsiIwKwkv4lMkAQP9oQujfaHJg6sVvjy
1kThyYisFsQhr0mX56nlqZUDtC+S8a3v+S43vXt4viKw3BrFuRnpHOjLyeqXce0NIMbbyKzP8/CR
3QHwl4ZbEsErqGwvFyKmdtcOVc+ihN/P7VEcbnvU1klmeAi+ERwj2SEHe91gZpybdhpVdGUbNsI2
88KMn3jK7nRTcRtvrsofY3L3jKXx2qs4BQJ4yXfQdv4KVQ9/nKxft8e0tSrI00E1WkewTOXTGaxF
Oi8ozIz96VemKXb79tcxX1AnBhRMbv9yk9oE3wmQ3rMTduMjeX+Hzkqt/uf70uVliL7Cuwtwdat/
8Wh7AK9fACojxam4tRTnVqS3I5Qb3cbSMAqbv+5J+tWhCgNbjgVudqjnIpmN5hbpzmIaG8eOY2tQ
AxwwLUQx4vKl18Rd5pFdijq+wt7WsoB6zEYmB2k1REqX+2SqvNqkMfYJwjX/04Cn5G2n2hoPhL3w
ZcCfIK8tjUcrtcJi6MqORH9yxkcXCgtoovdC9vO2na2FwaG4BuLrpSIXiexhKazBaGDHLTPfGdKj
QepH11YRuW/Ol41EJ3JSyFHIQlYEvGmtaDBf9UM+uj4bHMWEbRsAWRu4iXB0ySTq3BtL9BoLoDXa
dOdCIj5TkfdvhZNIUKzNOesjQkYfLADj0dkVOLtaEmZT7A/W8zClIYiJFGPZtoRYDz2ZCI5loEDS
6W7n9jPiPQjj0NIf/RwsTsJRXO8qM8alDy9WkScuhZlkAh4JgIoGsHnedQdX/HXby1ZvlUMWKLai
8LPyzl+V9msw7Rli6dcA1u/Noz3tLf0BBB7OgBd/ELeK236j3RTBxJk96RbjMUQQwFKVRDMC5QrV
b7Pdgwyo8tm+AM1lyABQ4h/IMFwYlbes06RZCphrZBZBXYREJVS/tVUp9BhX/nQHGV7pyNHB22jq
HEKWnvfIxjmsmvvUVWmEq4ysPnMWvo7a7GQFyA6ipXkdaQtdpzs6qx7/W3sVaUQgv9ERju5WaaZM
zxBTTvG45M5bP77M1vG2u20OwqPo0UOOAco5kmMPnmlwD+pT0WCyp0HMdytCbIS60G0zG31tSGFA
gHrVJcHzzJEmi8xG44I/EXZq0kGqOz4lTbw3SR4ttgjmeUX5WQEfBx9COcEQT6FTvJ8L8/I3SDer
YzA743aTRsTbu9r9PCaKw2jrJjofpLSXUstmXmuuzVrTfcbfiFXt6eKE0P/xLU1ha8sxAHbGYwP+
jRBRehIOoqb1FFOE6f1xye/o3e0F2/IL9FVCMRN8dtc4mfW2dZHbSqJKL58n4TwSY3ru0Ihy28zm
KPASAP2phiyXzOLaLAjLdSCZ0Cg8d/s8I/S30dpM9dLcOlRBsrxqhjsrUFpaeah+CXDGIZZuLYRs
XD9U9Z1XpH4CfuTUnkKbfx5sVZy1dWecG5W8gfRG2Ru9nkbuSqdZpcAUvTVpHKSayhe2FguZrnWA
OCaAWrw8iboyrkDcAbTA5PLHlKBk5nEWMG/48f7VOrPjSZVq9Eovgzmifw9KwWEi9DBVMd5tXkce
2OKQStehfHG9UkTERrekkdCc+3qpP8el+1QNxNfGJAIx2iu4VQFAc6I8H0KSNbvbI9ycSWS+Ebxg
UwEJdDmTmjvOsZbH65qln1B7jCBffYhd8yMXFFiW6QptQoFFPg5B+iQArJugRF3PKHP9Fv0vWqsS
kxuDgVeD6w1AkpUUQxoMz5LRMtoCHSsGlEptcrd004Hk4u72nG34Ocw4kBpHuAe6Z2lzJWDFLE0D
c8YERTFbgCbHCRLynAw/bxvaHA8IHlaOCkjNywiDsU4nxnswFxhtdpeM5qHX7cDoHEWVZeNMQtAN
DAB4F1d9YmnaSt0ClR2oBCPiHpP0oCrNb47iz+dlcRcjFVlvzHh+1QRMtHPvu/THaOiK60FlRboe
KoDmEpaDr6KzO0Qmnk+QAJsrVQy0lZkE4woIpqHHBKiETJNFWnCsCmRdo2z46pFi34xxUFh1mNmL
P4KZXc8/60bjW+z5ti9sXLUXdqW4JeHeZNs9FslGk2LKU3DSfon5XbWA4jZVXR9bHmFicCCcg6df
vTDnUSykGSfyhHLP30VZBR2bvrx/PEDNoXsNf6JJXdpEQ+9MhmNBG1Hvv7VDu9PQCON9B1g1JIWi
ZWhjv1K0+q0vZuThqLxfG9pyAE6bBEwsiPJdaGLGu2VA9+LygRLyeog6QJKBQA29i5enqZVYyMVz
pDLKudvli34cAKbxGnt3e+7+zUNLb6YLO9JNWzn9UPPEBJRtJo8xsYOmLfdC6w6seQGv5sHUi8CK
h2BE8xzKTsfOrQPBVdji9Vy49Sukc6PPINQOgmDcjr3pWz0PyhwVc3GfL1+9ePJzDcRKy8vtoa8j
u2FTxo5lnV4CcoXAhjodMgWfEjcLxNA/Dq1xsPkUOb0iUbixFSiiDPCs4nC85kCaqqzpqxqt6fCw
MK+7sFM9gBUW5CENTWaOZu8hmGGPQEb6Tv/rA3MGWANgalCQwMvn0ivn3KwnZHmSSK/AzxzOkAPT
Qy9/babD9AGgF4oBf2ytgz17I9aTB+1PU0uieN4l5j0tPltCkeneOAlhAulUkCohmJBrQ8JA6SH1
bDxDp3s92xf5I8hQrCf6kSLUhSHpyB2tNokBF8GTIBt9bRj8WYsy75kVD5U2nko6BFCYCbL4r9vL
tekPZ+OTlosMemLFa3nV9J6XGho9329/XzV/0hJB25yDUgrfb9mOGsfWCSBWMv7y3s9guwLY8d8K
aUMxTbqRG9ISCDKWmD6HJkd3jv+qhfWFjVbvT3Nv3WUg3/PfPzQ8rSDqjKsZayeZnLTKralA4OzZ
VfLJnb0kTHFWrgT8TZCNi7f3ppz/vm10I/KguMc8UH2BqvcqSms7y+ggYQajEG6t2+8oaX6PE8Ud
tmkEiSuUEPBWwB+X+6rTIVcGevoEJFbfe4/4mfgCclvF9G15Hhhg1yYbJN1wXV4asSvRO92MZ1Wc
db6wa1/1bttyPdz2K/Gjg/BcDp4ql3YEwMY04j4V98y7txpUeL6+P55FdgcgR0jxAKQiv2koB8ac
ZxXeNNpb1p7S5v3dE0hC/DEgM5fikLOmRSuR9nB+MrpLysDMwV3kG0Ug7PC2d22uCQ5tFPgxInCw
XK7JkBedN/QJXvLkRHauq3jLbPkVevxxr6Dudl1060FUNVSNS54aB2xHcw1wP0hAH4YpVvWAbEVh
Z5bkihuoCs0+4UAO/B9pX7YkKQ4s+0WYCRAgXoFcau2sqt5fsF7ZBBKbWL7+Oj3nzGSquIlVn+mH
eSgzIrWFQhEe7kv/0dw+qbILIWEdcOftqFMIs0BGDe2MgInor6ZuIrGrJlxBLIFcIfRf2B2a1quN
eHwtEDmzot/apcP9vlzyRR7jXyxbPYreOVrUeUkKdkTMG/rFz+s7YW2pXBSxluQXw1NNO5211dXN
5OI68rpDmXZBYoU23Zi7tUVCSxAyljaqMa9IC91ZFACYAXdh9XNgksfSRBzntQEzd9cHs2YI1QvU
Y/4oBesxiTL4kI8ChmJH3sYiiYOUGgcQw0aJmP+iIIdwYUmxYFNAXVlznonvKrBZoAdOmJCSwIDe
zo+6lHf/M7CM9izq8dFO7SiCTt3BIWECBQr1F24AFkCTRoFyh7aalomaZRIbIqFo48sh5kGqYGNz
rawH4AlAES7CfehL1EaQOHPXMbXg59OJBx2OqLC80EvUr6b9dn3p157QAHMuLzJsZ1SutXdDOedF
H7uoX8YqvmeN+OXUfZhCcwedW8ckmU+qyW99SXedUFtpgpU3y7lt3Qu5fMxoImB7RpnHHu9L4AsH
ctcZw65yvtRNFtrDhqdY8eAwidT10rezZH4vNwdH7sVPOFK+dQa9nukwkjy8PqMrngH0+tgbSPdj
TvXD1FaDP/pxg7Yjz4F8YRLQwYm4v1WnXTWDJpFFihrRjp67Ri1yzEgxI71mu7dmb4aMxceU+hvx
/dp8oWqCTP+iRA35+Mv5AjDEFcYirGB7xzaBxM1GlLPiuXHXAXv9J+H16jlU1kq22JUoxBRl6NSH
WB3B/aZcFgiQAZWOt7E6K0EPQzISeQG8I9HVqR1du6xb0lZ2gWeyCKe8QCUdfDrW0UuTY+Ptrm+F
1cOFHpWlvRblQNDCXM6e6OKmzv26OBGRBAaUM1PuB6ky4ZaGwILqj99D+vFX6Ww9y/507mpP8wWv
uSRZfNRy9WONZKiXthY4TYBx8+4AtuJB2jT0ruPjCMJKUkauLRnKYEKEMfKakNTqi0A5w3TL3BJk
gm51H2dN3gRd6uXPIHFo0bnp+rtasF+pN8nbfqDjTiJ+3QgY1zb2AjFfGPTgZfWIobJY77BWFrj1
iveCTsBQUVwTYgtAtZa3QWPav4b0oMEthJzA3FacatcfA0Gym7bO7j28YMW7VqojMrH3zVBFI/TB
oK+2Nxx+00J09PoeWTtgQG8hGb/QBaJP7nKLuFWdKFAslWjB7g5DahzTvyg8QnjlPwvWpQVvlP3c
e7DARdCSu35LcHNtwRABIZxk+A+vosvv201tcxy38tSX823D3zP0tifWj7+YJjwfKNDsIALQuc6k
aRWlzeLy5KiFtiTiW/iaNUcEDaV/DWh3blZTO5UFDAD9su95vxsmyIHhtPxGveh2aEgZTKWRRteH
tVaZRnYBzZeLziyKg5o/GoF9rlnuc0h9iNDO/TBxwSFW/HKyKui82zze+eqd6/K9V//MADG6bn5t
6c6ta5uv56pynNhDo5u8jxt/V9rJnrVbII/Fy+m+CMpCkODCcxOMvMuvOAvIgLdk0BZISuRQ2gAk
MEdIbt/EaQ3SA27dDMgLFEvFnbLb2VKfqsm6Y2P+IPrk1/XRroVVjC3Y7KUhFa7x8nd0tpH2ZVFh
o9YgLaJ+I3dG0skd+O36IE1ssXG0V2YXbOqLfAcgW7jfNO9vVKXdtb6oUF6uQmAGw8x7NtX7Nw8K
7h0ZD7BK4P96f7BPqnKcRlygbQ6gE/CBQedCPr1HZApZ5Ou2VnzVhS1tQHMxOmUcs+JklnvqB4UV
Xv/+yhnEMEAZsOR2oQ+rxaJ2jwY/Z0SLYm4/Z6azi+V9x3/X/KEvv0IXesOauRJ+npvTY4G4bwDO
jmGOWU8miLXrGxMEvSl/cEgfFONDNkGq5JtkyDVOL13yPI1jVEGFfvim4t+Vuzf839fHvzq//41f
T9LZvT0rtBjz06j285Opbq5/fmN6//ii83NoQ32wMQoOfgQj9OenjkEd8kmJ5yT+yMnX68ZWuE4Q
MZ4NRtssXmW2yvUzWAP7+jR/bpI7OX0lxi/J7tq4C4z4jos2iDsrFPk73t2gLBRUdCPeXzuD579i
mfKzMdcmwhdc7fxktC+9DHgSzFs8ACtuBQNdUkLuUur2lmk/MzF5LhTVW6xa4fQ7Zzb2DuHHwrfe
ATV4vD6p66P5z5R2QHrIbTqkhCnC78q8DSfoi2xxnqxEyEg2AJ6JuhkK3XpyE9A1mVUOvLVkUFZ1
v/oDi6Z7HrbJl+uDWdvtiMPxQYpGP7SwXc5bMXq40BiuPp7vJYQ6d9c/v7Ys55/Xwp6Udl1j2RhH
nR8zHhEGFluAHQ7XraytCGBKuL7J0u2lV06xKfzO7qziJNOI8JuhOdZvp5JF9ufMhLa/uN/OUgiY
EBmNePIgllj+LySzYQWNEUCuoxOL6F13pHYnOpgeHgxB5t0n/C+ujgXLhZsXjyGkfi4X22B5j/bX
CcG27IPxEdwcGw/J1YXAmwGYS7wiXzVe0r7NnZoMeDYkJQSLSMjVPXU3vMlauIYYEe2QeHajAqm3
8RLTUlOVYJakZPe9md0IAsy3M4cSSm3Io4G+04BKewJazrp6adwqtPx4g11hbWODlgBaRaBrc3F+
LqeypoOQw1BySNz1ZA+xVmcHwbjyWJRQZO1cVb1c3+Kr9hB1AwCK5wkoQi7tKepXtJG8PGWY0QmZ
mYNKP6NQdd2KuXY7AeDwr5nlZ5y50aU9xPZHUDqAifO2hK4xS8pHXqS7inp3KeglSVpEFdJDqTff
2tK6URUkCKj65nT5l87ij30md9J2H9yavd/4bYsr0iJYdAyhSxwNcCA11LO9S4rMIlPMT8j6/nDr
rkPkio7bHpKQt0kBrhFV0CKoyQQJUzO/d9v6AI5ztbH7Vhfi7Fdod5lJ4tmChjMc5gQ9+I8zEcEM
OGtLP/zVcLG9lwZcrLp2WFNcz9KuHX6yp/zBgNI44ebBTnFp55WE0Hf66I70ufGmd0VZfXCnrUBl
faD/2teRfjydwBmTwL4/vtjjc2IHpIFg5MaOW/MYKKzhlvOWs6S77kyUdd3RosIo69DuHiv0UZNs
f30ut4xozrulkIcmPKtOyvledUdD/ZitDde6dmEvhJSoEwNO86rOWreT7yWJW54slPlJfT8Zfkjc
8Wjw27pxN8azBpEEhPU/a9q1ClqokdaVV5689CtKO2jTSkMkyQNlo8s9T8OkAWV0eUvpA5p6N1Zs
zUWc27YvXYSsqSSlBdt57wQlfVF+GoItM3Bx+Nr8A2pzG5fKWgLvYrTakfOQAyBpw8pTbEJduwUD
IXkxx2rX909saU2vdyaF+k+fbkzz2rZxXMtfKI0I2qK1nIpqROLxuUPOBs0kzL6d+Dez34IIr20c
JPyxZ5C5WZhCLqdzkF4rpwQet56bl9nx78rKvO2Ii2rW6N1k8SaGY82NnhtcRn3m4lswcYsBZO+n
vtlndQD2y9mOWnbIFtbqQFlP3D12f4FDxcGAxDRwrgCq62y0E+gezIkBI+jxMrT4NyN7KbZYrpaZ
0u+HJRxYSqro9deL3LY79wM4EgAkN8LiIKzddSey+nngGZYr0LRetRn5nCat5aJlSoABuZQPdXu8
bmBtuy2o0z/pLxQUtJ3A3c7v5gx4TeU8K3FjtM9xvhG1rI3hj6cFA56JJMzi88/WvhPdmDMbwihW
dVeqT162kWVa8w0Ihpb76o+c5bL3zr4fj5klUoUhVCBQFsyJZG88IQmETo75ZDdqV87l8/VZ+9Oe
oi/7uU3NF+YcTNt1BkgwBAD2vCpCMAwdEkFAHVrsCnCWJsik9yWP0L21F3W6j90sQtoZyWa8p1h1
qvkcZvgb68R92aX3oFe5qRwZYTRh2qU/c1rsMqu/60ANbZR1xPruRrT+nR17NzV1d6Sco+tjWt0J
NjyOi9c7en60ZQICfQZB6dIuqW56sfPEoXw7eS9YMZDBxdMIXgeopMuVQpScOyyT6FzuI2SRDHfj
tKxeUWcG9PKsha6yRAF+fHIdFjj2zQTGTqfje9d44t6ubZ8640cD4jbCtmZvdRP+NzQ9w2hDrAsN
EkBX9wa0EyCg6L1PxpNsT7HoQr5F07h6pM6saduvjAfXgiAkdNs69dKlU6SKYutZtZrGOZ9M7c51
R4Au/RIF09gtjlXrBqpxgsJtgiyjNy74Autq/gyIxQdq1fu8ZE/cQReVY4fpCL70wf14fX9ujXn5
+9kxVwVqUmyp33oZmPo71K7mjTt/9QSczery9zMLYowVOk1wqM12CKb4OHfP9hZwfWufaKfM7YzM
8nqsXC5UGNP3E0j4En4zFWpfiB+mvxE3bU2aFk20RedIL8aBMPo7G+oqeb2R7FsrN+JM42UPrps/
lfXLSUty8KDOPpYlsdAF23yO8/dIWJD4cTSfKvXInGdjboO6+KDkp5LXARc72sYhtbuAq4Pgn03x
vRv3Vb1RvjaXmXzlos9+mOZssskrk3rCDyvcRyXyiKEdIGlOZLqx2imSNgD74tRb32f5k1TfVL1P
4995e1OpL9f37f/nHP3vDL0SWgarQWVmHF6Pz2ZYG+7jCAhhkJnV3kHsM3ckaMFDlNAmMsbuMEMV
keLngqj3aMbkFkHMz+s/aHViIITmAAAIBIH++lET5O/khCbpduoDu7tBG8VxgKxg62xc/Kvn6czQ
chbOztM89BBjHNFsRK3ptkLtu62au36TU33tSAGPie54EKwBAKQd2zE34jTluP8nxwnRNdi6Qygd
iDNCxnTIkgOPt5q/V/fWuUntFM9TmjRzA2/PWxVm/d5nX0fkujv/qchIOBL0oBRpNLafx2yPTqjQ
MsadOzy2AiG9v8VZv/pUgSicAy5aYLleITVM34C26tJvVc2fJnmASndQDsdevnNUFij5jXafx2ID
obbmWM5tajPgWik31eJYHD87yiCd0+P1Xbq6qmeD0jxXJdrYnAsMyhnkDq1sYSW/+K4RzG0XmfSl
Tw7X7a09iRBCgo3bRsHyFftq1/b56E3YRY3MDqoeoyF2UAQaHtylJaawNoa3Pn//mtMjFdtSeU8t
7CDwqEng5tXGcNbOngcmbJxvIJLAfXJ59qoCFOkegdOxgCF21MFBh3NW7a/P2fo5OLOihQjYy7Tv
gZ04SYUKy/RM3buqLA5g1xmbl0o90/xdbN3nthl48r0EP2/cPo/dvixvrv+Q1c1y9juW2T7zNOD5
sIy4w+9Q83350c9D1QbE3jXs3vW2xrw1s5q7aXtiQSAZttL0m8GflPMT/jPLPheThKrkx9o5ddPB
zb+y+qA8GSxNxdDuvT7e1UAXimxYYSTUAezXJn7uqtkQIH462dUT6T6QqQ3z7pjnTgCa5NCPIUTo
0cB1n/Ktc7kGnkHiYGniAmgFOs6aaTbLOQNJH5qr+FDvOmqy505NX3NHlgFoA365bs13JDXjveN2
OcDY+e9sspqXPqu+D3m7lah5vfQWCuyYC8B5wFCps5ZADWtoy2pxRM4U2Nkzm9khUXUguicz/0jH
rQBucWyXYcWlPW3588Kbk1Zg5mvrqYrfp4MBZaL9tmLEawcBOz7aTYHjwlrp6KA0Vl0mRyBB8z4E
tWPM3uwgLr+vOQiDdPkErmw8WFiYDM9gxNxiJXi9MiY2CloXPSh1AAOnvcu9YfTKdmmVbGizqxNy
SiFVa+B9nDXFnjdF1Kutd/mKpNOlTW1UuB8bX3pLyoc4j4C57VRh7XjV7BiZ9kanIlrm79qy/Tbm
8ZGILMIlFskuu1e2FV0/o1vD186Jy5RVDcsbjU5eAKmnMFvUOxtIkvPdwI5Efrpub9UvnU235gNN
Q1WGsnCBkRY3MlgNIATze/L4t+tmtoal7X+m0oHk/fKiaI6V7Ue8/yg73C1xHSYEZVZ4gesGlzj9
8sBdLqkWaThV3UFnDjdlllQvcV39LMfxJo1FUE2gmqaShn2ldiibHf/CLkogxEaPOQJLbfsywx44
tDmQ2Uv7B5O36DaTXyCHtyt5cUeM6iYr5shTf9El6yP5YtnI+kHRQsfUCQ+oW7NCV7vlF8dsFjc1
EJsdkFLScTZmdnXHnJlalvrs1hSpKWKa4rDYfNop03g25z5SebkBNXvtMbGA6GXyHIL+4ldVxHLs
MloTmCmqLmizOwtAmnLXbGG8XjvMSzPaPqmm3pKGDzNW3H0rDPo7F97GSFa34tlIlhjyfMLsJC6H
GR4NBJ8PqZ3eW7LngTE5CvBKtKXy5tNcTDsxQQj4+mZcGxwMo7UNXhszqZ26BJyyamiheOM0RQj9
iSCuN+6DNQu4bpCUAzQaOtaauxpkn5uKAu7tVTfdo8z/j5/XvJPfGDnSRvi8UX6dsm/xFqRr9ecv
FK9A4eAZqJfGu8HAz5/RUAD6gccsaXA3/01lBkiPf01oQ0BXI7d7E/B+yqLMCUsVpluztLbBzk28
WmbRZb3TI57u4jsfXHKeVEGMams59aFJi1+4Rt8ZSRNe311rJxTitUsJHgSfIJbU9nUyJ02Vzsj0
ZciXzt3OtvuP/gDRylxu7IPXplDFQMCG3hkACvHv0lQF5UjQlUNgDVsQqNfsa40YsY29JyGYG10f
1kqUvJRM8ACybbAXWzpmw8jK2c8XWSCwvIfz/BPgl2Ce8sAQh3b4REyJY4QsnJvtcmMrR7A6ULB0
ugjR/UWI5nKgXt/NFo0lNILcAd3DQLGHZJD2AbFzYwYuWJS2LL525xgtoBqQZgMc1NIrh+MAtLy0
kG6pB+MDqMihbV0gBbeR1Fkd18LMzxCaosNA8xPxMMc1hEpAsTdBj7h3mh036S3v/Xtr2qLze30c
MKIzW9qJc11j9p0Gd2Hh5VBkMO6K0orU5O9lE0dZWe5IVz81pdpo8l0dIu7eZcdA4VbfNnPhShf8
ImiP7WnUVCO6lZMh8LPutqghRXd9k66tGqS/XAcgcNRF9GzcHI/SERXYmiz505+A4cVJ94yNWOa1
d0T9E4mhP9Sb5FVnktXEZp22SPk50zwi3Vij7FpvxftrRqylqWIRUMEe1G5Hz+qngXYImAR7QZ9N
4JRbTBdrc3VuQQtYhsEpYm9hyJlBxlQJYDcQ/WWxvXv7kkBtC9BtF6zXr9TEEitGM0yPmu4c39bG
TeUG47DhcVdd07mNZQ+ehRKghEtI0yGqnUQejD6ETT6WzRS5+SGGlOlgPcXd4zS2gUnfXx/cMkeX
4TQiiLPBaasEMlGTzzaeJbnd7GRJg5R8SdFuLOcCBWYF2outfbG+av9Np7ZqRmcmjXJgUWbO+75s
DrXiUQ5ivo2TtJKNuhyado2lXguU/wRDZXmok/ckr0JfHE3rd5p+b3gR1fxuoB/RPhpQ+7YEETzt
VWj3N176cn2O1xzI2RzrKCYBdTOIZqOQ5JEmDcjgPFtVf1s0fN/X1s11Wxvr6Wv3TFYnzAeyAvUX
/9Gc7lF48UkRxMhGu/MXb6v5eWvf+tblvs1alVDh4Pk3+++K7BexGrSTYcPKHz30rOMKzDPV0tnx
wxyerg9007R282QQ1bGsYZnVOiLiE5Dymfw1+CfFcKPHX+z5AXovgTvw/5s70MEyJhrFitTAkP1u
V6onad6M/cbYlkN35VDqvZZ19r+HElHRx4JaN0mTHvPUDMaeR71nbJyUdU/974n0Necz+6MdU4aZ
VOZvsMUHk/p8fa3WLu7zA6A5GZYaTu438KCG7QapAT6uDvTIKutAQpLetQZ77Gl3Gvq/QOkuLgDP
TSQEMT4drjk2IjdKjujEZumhMNNgNstDq1Q4VCKc5b6wbnmSRV25z+07NmzUHFeXEfwQFvhHUIfR
ce2zabbOWMIB+eRxjCM3LkIxvbjG+wmw4OszvG5qKbw6SwetDtSsklwqJfFSGEBXaIWdiERySN3I
2aourfoX8Kb+jyHdl1EvI2O+YDZi0AiZH6VQwQI/LZN7i/72xPP1Ya3UsrCAZ+Y0d1Y7ZV441SLd
6L/wCqjGUkBt+4Mrb4n9s/Ueyvw41BvP+lV3fWZT82mJANuDQNYM1MfeoWb3Vu0Ebffg+Btx5eqx
O7OjObDJTkkKaVzgCxxkAD/W48/rk7e1VIv9s5iC5ngb1xbG0YzNrpdWYNfezlN+NIFUqLFElDZA
G1y3uXq5n41p+fuZzWTyWVVBNPvkuMcUkt88LO3ouonNPaG5q6qmPclKzJszz+8qlkVJ5Ty1dnYL
6sqoxFtSEnIAOOFojtOG7VVHBsIuYBsWSJT+pqrQJE3A+AlHVrWhV90nQGxBnih9iXO1Z/F38XZh
Mux/FFbBwI3iPNomL+dzKFFZBa4MYvOJuRel/20o8wh5ul/X53TZCq8unLOqibblQQVJFavgqXgu
w8H/Jt+uZ7+M47+yjDYOaQo1uwkuzc4oP40DRLzd5Pvbx4C3/XKNLZwLOstUm4L90588RLKZuxNI
45N2Y/XXNve5BW2W+sno02Ji8H1gxvBRKKG2PKCseX0ca64crbEE/TcM7T46PnLupZd3lQFXDj4R
q+l30/DFSNpgpnZYtBvh4trCnxvTbmaBt2FutTCGVv99k70z2Jac4qoFPDbR7ov8wCtQeldLv+HM
RXCR+0HZA+XXBNcnbMuCtiwy411Zj052eu/PH3Lv4/Wvr90GwACAuBbFcx9ECpcnMPbA95oAE3tq
A2EcpyFEQXXc6nNYc9WgwLTw7keW/1W2dabKhRY3uLGy8pcscQSzLASVZFCgolglgZ1vwDVW9xhD
IQPvWbSs6dkov06GzBtgb8LGiuuv0qRhzj4Lkx4m98v1CVxdHiRhFwnHJeevXeECgGhnrJBsqM3P
HfA+P69/fnV90MqNJC/0aSCKcbk+dWwbnBf4vDs4O6Mbo5l6IG7PwnrYsLS2SGBmQCRpLRTDejBZ
o2pt9QT3jqWcsB3AMWg8VOJONsNS6npM0+IvNjZkr9AyTig0OHTqjn5iqgaZJzIoVaQCTsLrM2et
DghJoD+iFYuE0OXU+YLHcSny4pRPPUELA0dtNJmRjbQdVNDGYY5kBjY7FPg+mQC1f1UVuA9SJ653
fB6QHkjUHEIf3DwMbT7sDBC8Bej1leA3mYZ3mSuHYE7QZxv75k8qJoFmPCkjED+jU8nwRxQkbRJx
o2dflIznjR2+tutQfXMX/YoFwKwFIjLvescF9fDJSCGQQqC6hv2xVYZZuxDOjWiRiBi5Uc8cEwjP
UBd5wJCwG+y/cNHnRjQXPXlNBjYKGDGCiu3Hrb7V1YlCPA+oHGL6V4lpu/LB4Z82BUg73PaW1A5k
S2Yj30CorJ1SykBktYiSecgGXm41OjU0AbAQXZ8kvyXcCEpV7dCmFMySbpya1UUBXRZaoFAbA4vT
pSmPtcngpE5+IlROx9HlAvy7sRcQT2bH6yfoT3pDj5sA/AO7OVinXfAlX9qyuecW3KDowOzQBOTM
OAHl6NnvHFpBSSJlAwuYXY3A38X9rp1jJPDGln3GVH8hU1eFRFERteA+uvEMRbF31BwQR9rIwvnN
I26jJrKJAcKdrhk+8wySsVnTTLfopG6CBNW7H/FEVAxiqYa+q3n3hagpvfNHVUZ4WNMd4xm6JWnP
HhgKAeGcMu9U4r4P3Ul8BlvF+NyQaj44dv8ZCYBvE5mKZzNBp2UOmNHdxNxi16H5B+RLCK6n4juZ
6uTQzflCiQOEVzXNSLBY44tKmxwaxr11P3pOHHQkcwKoFD2C/Ns9DsJzgm4QPEDfTRZ0in8h/vQ1
Bc1KiBr+vE+Lj+X4ns1PAuhBcJ0cQHg27Yumh+BLNQdpnA/RAPQSxE1bBdKkKRSJE8YCymCeyQ7S
L8uobtFpaQsbfdEUSSdhcxG2VsduGWBgYY06yD6Xov4bB4AaLEB1aMt+zXjTCz73hcKTYwbLhtWU
4Uw/CbXhytYu63Mjixs/e1OJnlstT9IckGoSQiH5o8X93VxCTmZI9ljxjfOzAlBelN6gW2sB/4g+
I80e7zDWjnf5Kbc6FVRZPJz81BA3wvXjO4FNHZrpNO48w/LvzJ6kL22NWkYoyTg8oBvW3dt1zm9H
PNEOXcLtjdf5cnzPjhwkxyAlsEhGLWSlSPFpnqSKaZ6VCKJOdO5D0MUEGVSwjPlL2T319BnN39E0
/rh+zDWP8o/JJYMExUNAFvQ+lcHLlFenDjux6o4WB7e54W9MKuomdPxn3bVDKdG5dkry/Lvfmy8N
8Zet771tL/2PHcBZFx4oLLN2mThlRmVhewys1vKH7Ujg24s0hCv4ZeY+asuSksP1ydOCjH8sLiEt
kB4r1TOJ/JzFwGZyir14BIdRN0V+zLKdneZlSLqO7JKxltFEEVZct6ydmz+W0YSHhzNjMK7XlmNe
x5MFHb6neEa6IxzTqHMODTRq+Mblpl2h/xgCmRzKdgsGWo81stlz7AzltKcm/9qbv6ctyNPa98Gp
tRAngQznVX/yrDoSK4gWPVksHOw76mzkKVe/D+wo0P/Q0wFpwqWDqRgUJPmUpU9U3Bk88reE3rTL
f5kfXMdQwUJ4Ac52/bWRk8EGBDPxTkqNAGOSYETGqxqfunHDN6waQhgDGUwbZLN/PNuZp1Sd0ZgQ
SHAh6Q1ORzO/IeN809N7zqPrW2tlxpCMgXoGFgMPKH3GMgfSiIJ0zqnP3UB2gT+9sfnoz5wh48OQ
9AF1JJD8l2vSJKDNn3PLOVFnONV28X4wmvcdFxst46sDWWRucEpA9aJv3ZEWACYgb3PKh7vGvgHj
4tsnCrTYYIUH3ziEdLS3eVabZdWOmXNSwENNB9G9XP/+indZuLf//b62dfOkkJYz4/tk2ImvJdCk
bZODj7kJSvSAbzKYrU0XQMt4AwKFi42mmesst5hB0kZP9BAnx6rY8JX61ftn1fGMXVTW8Bx7RRNp
zKKUMhnoyZzLpWYw+1+QlmuDjtbqNhFwYd7gNvesKtjJLisSZnj8HISYswPrmQjqxq4Ote+O9/5Q
kY1Nv3INgpvQwUMRdIwgI14m5+x0IVaoyex1FLJL7MWoydFJhIg8I3Y2Ns2K4wZL5oIGgksCx9Hy
Q84MlZzkMnYrerILFcBI4PA6bDIVmdnBs/KNYa05DbQl4igvxD2vniYz9ydZTiU9WcbJaqrIRt6F
0Q+z9RdbFWIVBARRaN1+hcdhrAIHRIp+AGibp5CItMjDTD4U9F4Yd72xkXRZWysQyWGvMiisgI/q
cgplWgi39kHi7SSDCg2ClmEHCp6RW3tbaYS1M3FuSjviLAZJoygLuJDxhcpn0MRuBKSr28ED3yPc
IWZOj1kAh1dsaHDoBs5q9P5MWcQl+vZyz8x3SjnefQpmho2juGoUDywkycAEifj+cgLdkvfgdfDh
f4kVxTzZFXSXUXbfVc9p/uPtTgzQEuhmoA0duf5lh57td8eSbVW0zDlVVvWbpjKsALpUjfmRsu7b
NEBSvbaSjTO2tkGQ/WNwMkhsoh//0qZhddPgl9iNIh3CuoSOytH23tiX/MeduXThvQXFLqBo2iRW
cVklQ+3QU1s9SjSfoWx3feZWRwEGJDBk/GlUty9H0eMJbI+JR08QKCJiX1tB5u+vm1h5b4CE8D8T
mtfLzazxZnCeopNbLsSfgZF5kWp/K+9RoU90Tg7++Pm6SWtJvGlvHG85vARvMAQBeuJPZn0LTXpc
A+io6t7No0pvs7RwD9SsaeRIMOC6bjIGcz6TcFZue9ewvn1sxGSF0H//JT05nookat10LxohwzyJ
vUPc9g2ok+w8CRRj3VYWfu3A4ChCgMHH3fBKOYo6ym68YfnN485Qi2as74UpuLC2yEPW/A1kKtBK
Ar3Q19E2VXk1FCn8dVLnQV7SMkA9civ1ujoaRKvoil3YCfQAzyLCMry6p6eZfAI0aYfQOVD1d6uR
AYDFh+vrvT6iJWCFLsvCwnq5iy3u9R4ZZgrV83fMuwEv89u/j7QbXkEuqENeVS2h7FEmBiBmJ0Nm
H5pieOREbZhYu0TPTWjhapqOpDPamJ6KxpoDXxn71IWzRAi7S5CNuj4evQL8x69gq4FvF0R1r5uh
bKT84wTpmFPSJi4wFTyyje4uzavd0NtfDW4/IPmws6rsYz9XbwO8/mMbbhPPVoQnWK/LxZJzaZgg
AfZOhpPFIetshqoDAmhBzWHv8KneuBzWXBwIXdH9sagqocFOs+eAvpDLGfaIGfSJfRgmK8j9N6aB
/wxrYRQzUWzAwCzNzWWiss3Wbb2TW59i44E/XV+ytS0OrryF8AVAINS5Lkcx1raXcqDN0f10qKMq
ubn+eWtx9LrHPP++Nkvm3HrFAng4cUiAOAFt8oXMaHLfsdykeSCBCj3UBgHFu0Po5zYmOZ65ZRwM
XmqEaKnhB26V6d4rvCEsTORyKRnUZ7dp8idIw3ZhKuLiFjUM/5jUpUJjo2RfBE/jjXGsuR2IEYC8
EI8+DxTFl9OUeKVIYJSder8Mi9kOGv4kUx6MLLmlub9xjtYOLRiQl8cMeKcRDFxas62cNG0ysZMU
R+p/nO4y/mTZx+tLs7J//+THl+QZ7jM9evNlY5rSqhj6Q4HgAdm9wvJscQptGdFGQpKiV6jDsJOV
lgc6HyCVuC+3OsBW9jADdxRu5EUG7FVLeOlWzGql7wHOpT5Mfhs5PN0Cx27Y0POAMcpvYzMjTT9W
8UvSTfesmD9cX5BlLl4dFSC/wfUF1CkwEZerboFBys/Smp3aYVdWEbkpPxt1MLRhHG/EmGv7CzP1
v5b0weRGzlJ0yjFIDxhPaey+QFXmmMz2u9x6YxX4H/d1Zkq7Qj07hvxcKdkJJyjg3IlmJoNsRnZ4
+n59+lZWaOG//HdQ1uX0mZU1otUaR3Ryogy1zi2A3eqk4cmGoAOPN6J3G0yVqm0UfeECcue29gTq
Vru+cx7GxNgInlc3wpkl3Se7mU3G5WS23beqMgPl/2B0jGpIptrtz3wrxb06cWfmNBfN4lRkFeXs
xF0r4N4Slb7d1XgoCfw7dZoXcEhcTv4ELyCK4+TureET37potgahHZ4kn/JmaGGiHJ697jt9o4TC
P/v4vyHoJXm4HeWBvQQu2f8wOl9JRpeq2UawppPXvrKinZaybljTTgI5pHbEC0F+oHT+nLPmXgnz
hbDuhbL6l4yNg+1koOfxwDSsdteP0YrHxlotifmF3fNVposPSdUxa/ROEkD1vAZbmp98kcOWtN2W
mWU9z57WqGXatDUm79T5/T2ouH9Amm5vudbGUVo1Ax5g9NL8P9KurDlSXOn+IkUgAQJegVptl8vu
9tL9QvRm9h0B0q//Dn3vN1PGRBHdN6Yj5mGmydKWSmWePAdiJR9EVqgzVswmwkJT8ksZf63Ct2yN
1m7RL5hIG4G9kDrI0r8fSRJZKOn2oX2OyJ1Z1i43gTcAuVL2+frCzHH1/9kcF4ZmpyitRDcYFbGg
FdqgrjpOekJe29/XJHaZfAnzhw4ElG1ZHGT+et324jROWOnf7IkfYFA8oqmo4tg+F8Gdyg8xQElr
6IDFA3xhYrYhGMj4IHIDE20z8aBE9Z+Bev87e8hZIpsDIqz5W07PUAkOQws7IbC+VEn/wvRgc32W
llfIghQcrEyAqlnWw2yjiuoZ4+dQ+xKG0QjATd2BTSnOwCYAhWNNR4DaPeQlOfSq244qfb7+Cxb3
IqI6jG+6B80pf3FxqjIWTzRPiQX9DLc2ff6Kajv+XDcyudIPccqFkZmTCiqtsIgBIwPTJk71vvre
EaN4KTtreCSOJr4VKhw2iWw7N04CtfLOW8zFwz+ZKIMDlsfmGTIwUiDXnFfWmY78GJXpzuqp30G+
mbLmMxr1dzKSP6ow+amP7YFb8QNYII82OkJ6BhlaYb9dn47lOedgnzYANwG36Ps5H4ZQib4MODK6
YPzGW82+15JWPraRY0Blp1pLGiw9RaCeiuf1hNpBO/B7e0TGqTZqqXW2s2OM5ojaR6HYMPYqW7m1
l9YZ7gwQgUkXC4wV7w0laVFk+BEcLcAjcQEb22amIUAw3T+qXmkbycptSMUeNIKP16d0aYiAhsGZ
YnXZh+bj0LFjrVGoS3bF1874UbV3XNRb7uyluXI/LHmdS0uzoDFBkyyvJeHnFCrggacs//pI5r1u
v90OOO+xU3+D3eZBvRZkSmWCcnDbAj/q5gTcKlQ29aaJ2+qbiupnXPepy2qt3QyRlh2rPMpuB7Ot
HsTQ94cuieS+jnUIdBDJN3W21oqz5NovfuD8LcCjhHAmsMpST44dtMbMonUr/hfe99LKzGdEKU0J
YLYoAOeoNfroOr0+z4ujwP0O5z6JGM0Ts1lraEGk455PAvtrawTHgJevQbeW4FrcmIDeQBcT8hsf
MHmZLSxOOIIjxyz9vIVaXCVPDQ9+0GJ41ZtqjRl5cXte2JttT6tzzI6MFPk0pfmAhJ6C+i9gIFD4
RFczerFAADSv6aE80IHk2ubA0ECb22/r7cA3aemy5kZfe0ItrtKFrcmVXlxPvdRjaRZwlVVqu7z8
xmntsbVIfckfO0iagCBjStF/QDSm0CALYyTMSHUoQSk4FlD8SIir99nhLzYdGq4wd8jWfAA05qob
ZG4O1rnUxx+VRIVSWZ8QiO7+JzPzSx30kMlYNzBDJ6k9I94jl7zR+Vp8ubjXLECoAaRC7DK/V+Ii
HZtYBx6IBuOvMCtvWWasgBoWj8+FidlVWXcFxBvqyUTvMtOz0w0ht1AUrdZKugt7ABkhhHlgJUAz
qTMLlTm6toXR4DWYRU+seO6sT13xHH+6vi4LE4a0GYrTEx4aecHZaNAvIRLwBCAlhNHoHvtzl2mj
pA+IDiJKC8qe7w9LGKKob/cNHPMIQKdf8pWrb+F6f/f9mW+paTlUAIHwc1+VW8gF3PTt8DgWud9D
oYPY6pvNUig1r924S0sDSIuN6AW4FmPep9gDoTigKsbPPIldiWPZblEtrtcUMha2Go6/wSDOjMgF
JYf3sxfTNKjbKuHIB2gHJCYAU0X2nEqx1aNur6tqBb+3dNFP/gbaI2gVAY3abDfUUaoJYpfTDcce
DfZSRT/CWzCb+7XFo8dAC6Njl0U6xK2E5iU5RfN7CrbxpNxERqZ9E6mWHwwDdKjXN+mCy0V5F8cZ
eWRM+LwpGm1KwNgCNHJm/AbN1yMJPR3Fv+tGFicbUlTAqQO9CLKR95MdJehVAv6Eo2Eyjt1Qz3ZK
y55UgR7poD6aKDlet7e4df+xZ2mzZ05V2yWocXFnhSkC+4lzHeoEXmJ5Ei3mce81asXTLx119JZA
fAmFJYAGZ/4kR/487qwRYaLl661bPF4fz9rnZ/M3dqlVaBo+b4rX8ahZf/P5SVYRWE+g4ecwBrso
+0Yj+Hxu3TjlCYXZv/j5F9+fnbUBkaxsA3w/OzC6rdcEWpZWG5zBwHpMdV8+b7WUtUkSvDfMc5vl
ICbjYHVS7Rd0M2yKod8UJflF7dT0SL8WtC65qkvD07JdhCvO4CANxyTgH1XiDanwerPyDPZjsAP/
z2cQmBWASIGYYx8iibQYDA5ci4kg7DnRHpzd//T5eQQx1DkYDmt8PtFS4LW4q/05UNWGTAnS73B8
cO2zpyIHor+XYtDPhtXY0KHr650p027FytJ6wL+CagiAMHStzqx0E5lzWBH9zPJdprZDvWftXq4x
lC1aQUcMQ9WTgjtpZoXaYqBZX7JzhY6JUbcOds5Cd0SzB+pYa+55chyzXArKCUDO4yYEn/GcVSgB
1noksmPg+NZDV5bDMdetl1qUXxrAwd2MO6HbIJ1xfT8snSgUZTXAJ6AlB0zI+42dp+j5MdJRB6i9
uqmB0LSrfBvqyTfZk8GDZtarDq5qV2RgqL5uecnTAWeH+BKyOVOX43vLKgLvHm9D/awJ8TnKnZtU
5Ss38dKNhyqQYQCnCVPztEURj3UW2ZF+Lto9kdINiC+iL9eHsbRsE8oUVXOQ/X1oPOhj9D3qTgl4
UxiWsUuH/Efu1IHLCl68sW5M95DgCv2g1LXNdcuLo8NVjv2Ce+9D1RZ026ZeaTgDtB37r5XdjM92
xTMfjTTK+wtTvyFWKEWDKWN2K2WKS2aR2jgHaXkX25Cvo9ExKNc60Ba3xL9m5pUV1O7HBn1uMAM2
oMJL/5D5YMrA/O4Q1tHm5nzUf6SJ1ZYjx/dVc1fLowi+2fTpL2ZqItDFgTJM4ITf72qbFHFb4i1w
7svm2TSGvRMHP2th/29mfqNvLu4jhepjMDRcxz2u137JImcrceMjnxTxlZfa4jb7d0S/M90XpiKu
CRUVtg6CQy8yQRbEwVS9Jii4FDYCKPf/0zZXu21RVIg1GQJUHfMaLBixJPvcKo2NbEXqafmIlJi+
CrpaGtpvztapt1JDof39YqkWktZAphtnLd8QYx+Fd0m68nRbNAGwDizgQgcc6r2JSsjYGHMNyGWV
vQ5BfdKzfGMma300a2amm+xikTgN88hEa91ZQnnocxobsW/mOfkyKLpGFmBOr835ReWA8AVJ96nG
NX+NjlTLdR0SGWfwUqK/Lzb6bZvErVdbZgZW4TCBPJKScluCisO324B7VUVGrw36FAdbAuqcdum+
s0i+GUMKAZpB07JdK8bSY+B0OdqS1m7CwRSsLBEfeVk/oC+QI5UOEuouN4N9iEamrZbq6CMrhZun
6CSRnMK9N/wHj+0hBKSg0x4Ri2SuMwzCGyIW/iI5A/a01L6aRCOveCyyDYlke9vKEXEwqrrGNjBi
iqY5g7qpqemfzGDSBo2j2DeKvjs0ZhmjmS9YSyUuhRkAFSP5DBSu+QGCi5bHsTU6xwBoxfF1PXcp
2JcIHsRh6qxcuov75MLUbJ9EYWTUzhCZoB7zMn7X4MnJttc94NJRRu4QMDIdw/kAwckSRyWZBSdb
9t3tlOetyiDc9KV5X/S2sS1Me6UKtHRrIOmGQpuGPvkPZMWgpQpbQQz9jH6jb5Ylt4D8PFwf0+K0
XZiYTZsTh0HfZzoCCUp9Sc1HZ6R70EwerptZiiVAYmnbfNIEQUfR+1OsynQkhbD08zjkzx2tjqpR
O8g2AZUdVX4XitTN0jV89uL0TVTPCD4diOLNbixFQpb2MSJAnj/K2DXFytwtfB/8tAAUTtTYCJNm
HjCDxEsqeKWfJUdrnB27DaQOrs/bwgFCHDnVWaHO4Xwg8YIKlCDliCsKVAM/QtZpn4SeV5u8IsbG
GChfeXwsjggVR4AJEK6DAPT9Mg1d24+iR5MNiFk2ATP9eq2deHFAFxamX3DhzgeSKQdU5gC0R8Fj
YTp7QaKbRijPEsVaULQ4GgjxOSjvWRB7m62/Q0qhpmDpbPVubZFNYNIVj7BwenAT/GNhHtalXOLV
zBCoyiT4FnJgP8eherFHeLnr+2DREHqAgcJF/PWhSRKI9KEBX4Z+HrrqFwnAJWcrPXJzBpnT65am
SZndgcD6/mtptkAVGg8Vk9hx5LVLNsZzm2DuPJH4VbFRciU9uzgsbF34tgn4O+eXty2Q2kLCAh1t
bfdsJOnGzgtAjO399TH9fjTPBwXqZQuoCDbh2mZpZoOppov5wM7dqGWu1HKgTY3cRKteK85xZ5p+
UQrNhcS5/ohmWvHZ1EYIeCBE61zeJKMbcKvW3TEPm585MHJAOgT9lpnd+JrZkEYdk9a+1aumPXCb
lJ/RQ556NAyqT1i39CYHF59vxK3pSb2O9l0f0MwNZJ5vWWAUN0GKYptrVYXlWZHB93nTNfcmabIb
JwwiaG9B+00cGjTi2aFvZz7aznfhmPkj9WLijWEAugX7Jglr4w5XOFKSedX4Wmd0j5HuAKBOtOaG
2r35YLZ2+Iaoxd6YTtJum2RQ2waMUtuiL1v002mQqhoQqwgO1gL0hVhvsrRi1ykT5jLoWPqG0Y4b
PbCzrZ4J4wl59eroBGDd7HpNrazZ0uFFxWGqQf6WFJ6lP0lVyr5vExwtdmTNr7CoVl5+awZmeyIb
cr1LKxjQBj84crniGhY/j0Qesh4AOH9o0u25UeUhK3XgG+s3off3oGvwV7b1wlFF36CGNkWo3yAz
/d6Xqjqno1NRhnA12EsbnGPWviyeZPNAtDUo21LXAzpDwTLi6FgQCPW+N1b2Mhm0LMdjiXUbBEKf
9QgkOomzQ0V8T0V/nxjhxuB56AGx8vn6QH+HB/PzCywMh2grku9AKL43PnZtCuAUohSQRTde2xg3
XWTvGNxgAkEu1aamS1PQCUqbfGGjCZpPJwS5OQ4uaIL+birQDQhIuQEuiDmonEVCRAr+4MzTYwPo
S2DWbhV+d/TODwLlM5r6UXUXa9+vz8KSs0SDPzRrEdF8lK4gZW7Smkp2zu0bpg5hd2z7FX+8tGkv
TUy398XtXPW0UuYwsrNWPnV3YOS7PoK1z89y6ApXfK07cMOReNWt1z8nQkDl4t/5mWLQix9v1hXt
0ZDHzuzZHDufh2vcj2s/fxZPQF4sk7KDgXzcc612EV+u+KSl6MhAocoB8hqVgDnqi5apYxAglFE3
FBx6gbmx6yTtPVMjxK3tLlu57Be3FN57oC9Dig9twe+nrM4t1RSKMaQRTT9SEsdF8/p080fLjpY8
NjXMIUcwBS8fMP9VZqdG13HgxuQLhKmDp+ufn70t5p+fg3syCn5rFeHzMj7W4xFKeZa57auNHv8o
4pUDMpuw37bAioAqBu4lsGLMtkA7lprIekDgMh6cQyu84zLaCMR914c02wf/MYOsDZ7Fv+l9ZgdF
JCUwZ06XnfVJOrL4XnSGH5XmloiVW/b3jrrwrB8szQ4N15IcBPMClnh4nwhAoAVhB2TgPFPGqAMl
ftoi1dAOe91Sm8HpThHTX3g0erqs9l2W+2Rg/jCsJUwXJxq+HrxWGjqS5jszYlobDMGQnRvrh2F8
dcQvs/p1fZJnz/n/Dv1fEzNnh5YzWVeJzM65/Na1n0LnnlXbIH0Ms7XcxJql2XKGeqDKoYElXAtZ
dt+LrTVC09dryZ9lND8MabaaWWjEEasxa6YhXSc/dONT64g/c1L/NYKVmbjUILU7u4xbFZcqK9rs
rCH8C8bes5Cliq0DmOZXLM3eIh8sTQ75wqMTrjVxUMLSIAzNQ3TeeEms9CMLkngb6GC8ipEgdsMK
8F9Ngj//+gZZ2oPQhQGtzkSj/aFgyXVIkEunTs6jo7xMK/1YQ6dA+nTdytIgf/tGNJOi7eZDFqEI
qsRowOsaozxaQPZg+Ow0GoitGztzGwAO7sNc9DsKPsFbzos/pLuY5pgCOeHgaTTx/M5XMw+CyuRG
np5bk1boj+O3KkgOQWECT8ZfCoNsrg+Xfhzv1FkOEN6UNwHDwSyQDHQnVk4fjhBGYi7wWDc8eiEW
3SbtCRouJMg3bfRaO41r1W+DMXixdqyaH7b+CdhTF7sSKIj4ntpriOOPtwheocjSg1tzotec535R
tSRRGAbyVNCXPq02vH6VsQ69o1+qNY6V83h9Gj66hAkpiuwRwMVIn89zU2PNU0IMTZ6q+HHIv9f5
l8zB4iN01Oi366YWJvzS1LwwjspRU3Kp5ClFy6kTb51kk0IYz7aeRHiupT/W2+sGZ3ESthRODUDi
U9GXAiU0c3c0IyxKzEidcn2b9H60cgcvfh6kYGgoB0j1Q4W8yqQupZmpUxNmfknf9ODT9d8/b3H4
zwBsILemVg2Kvfre72SlWQM6SORJjPdGl7oWOxD50tintNu2xjk3fmXDgzS7lVt/cWD/mp2XvioF
MYsqTdQJ8kzceYz+QgYK5Ajgf8H7AfVwc16I72P0jFYJRCfTrvGM+iZGD7mh70jzvDKBv+Og92HF
e0uzi4hzKaI4TaC4WzRIpEC2YmsO2nc9bOynHLUXN1Ulf21sKznkWWUcUoNXvtBJ9LUIVPPdsura
baYWd2202m0H9WwI2epym2vtMwg2zRPQncpTcQoYbxJbT2EQ/kyFZQovVmbwQzmaRElvbLd2VuOt
EVufE1Eyr2p5sVOQ54UZiIdswsSJ75uSsbd4CPt2z8GieMN6lT/ZSPR7leDO1h4C+zbOq/GxznNU
LyrSPUQ2eY6s1HkYGWo9TlZqu0yOYJsNizQ6Deii3kGowEzdpjX0jQVaJdvrY7s/9G2KLA+PCJg5
BUS3MhaCEAMdaju9TyHJiWz/IQkNfVu1gbjJo7E6JNQE3Wbdq6PBh/BglLjsEtVFO4IN46JbgW9a
sJ5t+6xmftix4EwrbXTBr5IfmIEm9LBrW4/pcei4wtTs16HIyX2UNLJ2zcHsvw/2kB01tbUb8RY4
zTcjivH0IHuV6L4VlzkoZ3hz02r9Q0Q6Y1eMtTgkvBw3UQnFHmiqamjUqqXXV0bnWU1g3k98cScB
DvsvJovJz9Iaxm08Jv0nwyHkRjm1Qiass77WeOZ4JO7ye7ORzQ7p1AQrTJX0qDSjr42g9kOJIOCU
mvFPZZrBtlUgIkY5I97mVd1umBNZWxBwlZ5jBcMRMrWDb+p5sB8ipwL3Z2xtGBsgl1Wy0aM0TQ5Q
AOb4CmiJmpF9FyVIFfVAKl+ZduQjzO08UvjC8p60mHopGdNHrbPyJ1U29mPKyuQukqDELiGRe1NY
Ib1Hws3exUGTQ75EQMOIhtVLnQuxk9hBKESpcmdlgXlH9RCiq1DvdKkGSlaJXm5PaCr1MggWuNTM
rGNmFvo3TerkjXaIFZ0kVz54+YxDk6cCZSat2MVCw2QP4IFJ7CHZCFsjG1uW3dYitPeZ2YoDD0p6
JLpodhbwzZBCBYkpQd3Rq1Gm9FiSsB03akROuW2u+P2P8RKqLBZek5C3Qzwxl/lOBdT6aM+j+xGC
P2XeHh29elT6uPLOn+LyuW+ZMKig80Y3xQc4ERXo/epTM7q3KPU4jmTLn2qJmuqwckcvGbp0l7Nr
wAhIZTVNmtyDsGLLnNc63jnh6AfOj+vu0lq4odGrB5wNRd0FEcE0sRdxLjiWwzEtxvh+1CP+rTat
JHfj0WyPgc4FzjTYioUR2BtL69QeFyPHWJnjV7xujhZFKXXMU+K3/VdQTXtm55C7ERQUHhNfKkNz
i9rqNiKOlTuoTp2jXBu+2y1OAOPxtu0G5rUGY+ChGIz7Au/ond2BYDUZ+OAlIm/9ugHxXxd0+iOI
9OsdYSrY9oFR+yNTwzkWhPhVm72Ak6DZxyYIcqe+Ob8X/eBzR/Ad2tjEd9FlxTbnzg9UTFq4MyTr
LBU7XukE+p2swU3cODYy6qJ91KQCWMuxa0iqpbz/BP7BbN82ebRrNRltW3s0t0Zj6niBamLXYwcg
rCFN5OUZdviI5rWNqDQ8VAO9d6027t66mBqulvQDaIi0ah+lGcDYWRvf51SA76qN6oehkH9ITTZF
ETgO/+7T2R1YpzWROTWie+G8JKp2M6jwXN84CwEDB2MIIGY2AOAfukBk7VS8tAXCYYo2TFNzo7WG
1YWoGMRAFHEW0p3Yo7NQzlFO2SZaHN8rAi9lKzc3CrdBMgocgj7nmcfGlRLkkkVQwWggOZigK/OG
A/TQ46pqK5zuzLZuEFxat8rU1IYWtXOKKo4+Mi1ro0+qQ3nyz6cTwFQ4FUBAwLA/GyyNy4yYPY3u
cQOB+SCCSHch18CQC4E/qC+QdUDkihzyvBLOghDym1JF92zw9f6cmhuV+FCLT8TfjObC0LR5LpxK
ECdE4WaDof4e6A+3yFfeFUthMtpvsU5IVKLjdv5yLSIqy6gl0X2tq1Mko6cM3Xz7KBneVDw8BJEJ
EnJ2B5XY2zYaflX1uPJyXppK9I1RkCGhMelDB2Wb220PJZ74PtNBEhBEBZTX2LO06qNTZLswCh6u
74/FAV9ecLOnazoCY1xoFjZIZZW3PO7G2xoJvM1gCrZRhZkcQ7x8exehpnOvd9y5AcCMHFHhD1Yx
plP9a3YLIpU6VdKnqwM9wu+X1xr7xBBJHJwsVQLcEPHc2bVoo3oyWa67dQlkJu/abN8npvRbYdW3
TZ4Ba1YN7bkf6+RLEEX0DjRXwSZjwBcrXoVPJbVy3+mx+xsajtsg0Jx9E9hqi8DlDVCw+g60ji1K
DyFKjGFBs21q1v1jARjlQwSZYI+2mbwFJqn5BGJZeIjYGn0w1IN5XTnp+EViRz4EsrceKjsP34LG
Lj+HGiL8P18oFA01vKtBMTOlNd5PTib7VLMDpZ8YreUuGXT2lKO+9GgxNPYDw2rvODjNbyIMegtW
jdCNalD3MUXDt+u/ZMFDQ9YA1T/kch1UbeYuxZb6EAqpn6oMjcx5eVxL4C4ZQP/VJLaLJi1kSt+P
lNVFmoYytE7FLQUOaU0Afu3zs12WD2SMW53wU9cfs2wPXYHr8zP9/dkuBnj5358/hWAXTqrsjYwC
AGCdkHot+p/EeWvXAIRLCSeQ9eH6wk2J0+jMxiCB4KAyj/mpsrI0QOmeWK1bx6KoPWACrHpjhXr5
MCWrwA4WQ7wOmgfVkQQo87dN+GjT0J3g5du0t8qHhFBt04Ns/pvdoO3eE7VjvKIqtaYfujjxFz96
NjEB75MshfjvybIe00PTrIA3Z59H4kkDqAjXrIYk1AThfD/vdgFwfGAIehLp6JdJe4tX2MsfLe1k
Av0LU3saEijo+5idQamXFHw4uXWyIyZcpyPRsxYFA6LOXqyYWhgN+n4YYgZwSX9Eu4K9jgzwQT3e
iaGTu1lkiO8xwev4j0cErwKaXtOhNqL02WHuGcQeEBD3JwHJ4rzE4vcvEV0LG6eVvTgS07xNsYcO
dzpxAs+5X+MaL0ezkMMpGPVNpj8ZItpw7bYTa8y2i4bA6odXxyRMPu+Yok0XDBrae0+UiuJQVZJs
ooan+9aOvlAcCf/PZw81s3/MzWavLi2IkHOYq8GciWeQPyoABsyf163MnlL/mT28iicWI5SP5gEr
E4UloGQwnPqhdo2Y72x5MozBTZJvLfS/HKOBalK6vW505sV+GwVoGJ2BEHdHO8Ys0rdsTaIBe4TR
sXFRH+ZN7cb6nxbPsS+AYoO2HM4UhODY+yOLY9bpLa+GkxFbrnoOWvYX2/vSwOzAclkLA3t8OGnP
0Zi4xtYATOn6RE1rPN/blyamg3zh7gMrk1mmYCLcawl4In56KkA25ft1K0sbG/BbdPSjJADw3+zd
XmidHZQCVlTvEmc3uh3fgvXrupGlNQdhJTKpHHAYkJK/HwpIdkQ7RGl/ilpni4S0KxF/GvzXdSsf
YTdYdXg15AbgE6buxvdmeGc3dUqhKo9Gn9bexpA37pHdikDMdZOauxHEieHuus0lb3ppcjaymIDD
Qw/L/iTv9HIzFPv/7fOz1RkQtdbMxsS14UOn7tPojxeG4tWIM4mHARZIm3bHxR6rB70LSC4GeOnY
K7RTY3w1VL0St3x0M2Bu+Y38BGoR0cVsI9uJWYksKeUpaUh1Rh5u9GSjNVAZsthwjLqSvKSGET7q
PK9vDFKtSp2Cew3jmJ8lG22I8Kj41weAmUbCELwZpDuFvIW/cay83aZ4kSk3ttXwHWcD6WXDQH4j
yUIk/iKl+04KqMKAmo1XKFX6qnLGzwUaD/YxBWXLqLPhOYDmhCcqyDQJRoiH2D35FNlGsa2DtNhD
8B4ofsPOygMy8+aWxkzdylgBotIxsilsS/gqp9/jwmkPGVXcLxhxvN4Yn3v4Zl/jtPKZQ4nXJQ3Q
akQW+zSvKbA0pnMsmuIpwGf9fgDdbBlGzPAM2ghXpMHoAmTZ7pDOjLe8KvBqEVF3YyFe28ZWnp46
XKifpBDNyRqc3rdq+blEy+kpplp7U+gNsGEHWgXZNhrDGqpwCdlX1Uh8AHZ/kMxAbpzV7bM1kP5Q
hIAPNbZW+2gltQ/Mbo5RhNSbG8XoXcRz5hccvP0Q9XaHE9+rO8vO6wP83vAaJ5NKlOi5tZUSMPc+
rEaoy7TQn+qnJg8c8TeZmRmUlDTiD0zPtm3BOtAetu2nMtbG7dj1ySkrm/4BWgypuUVqTx1kMwle
lZkOYTyeHx1HhpWrNzT+LA1lbgyBLpQx4z8Yr/lB8TrfSKT0jnlAeQduEKuGnx11N8X/cxdlUkP8
y2TqpkgyYm6z7ECITB7bshL+YFHI75XVYLp5G/yyeRZthuYe3N8bO85dHc8mGTPwJ8Y5IKjaUJ5l
YdFfjBfoHR415L9d5PFjN1C14bYttw4gA5C3IWP1NitQ4K6I03gOcQyvICOo5CBRFt44XPyEsJL+
4CRWdWgtkM/qlCQnqsrsoNBU6uedk++gRNZQV6at7oJFl3gDtKkenLTq9yMbKw6iODMwttIOKvQr
mrm4gStQPoWMmObWHGpsrrDliJyh+tGj+oqcSE1TNxrSDkyHrDK2QpUscaMK3JomcH6v+sBrr7JU
upOUm3u95sJthRM/wT/WuyRFjhSBaXiqO230k6SJ79ArVGxq0ms+y4v8gZqB+mkmuubaQBA8VOSL
bF86L2ZM7ezMpruxiaInW6/OpClvYzv1+jzI72IlGqTzMn8w/fK5iFr9awO5kU8hKi075YTRAbQW
w1FQEZ2cobJvkZUvAQqnaN5G6XXU3Ka0+A2ahaqNEZb1S1l26qnQPZkrtBNzp25dM+/oJg4ltk5g
jQ+aBQ24sAi+NJCwClq9+k4acO8lgAQmbpEo+0Rs9NZoqam7jgqpX9c49oWuZQeUaAZ09EdS9xtR
SJDBCbXD88DeNbUIqMvQVgx1x8bnSc9e7H6kwCfbOZiFFUWpoHFiFCkcAupPhXTwdtBSdhf1MjyG
nPys0LG1S9riV8gwqdAiczb4CcGbWZBqC6qH3oU4jfCYzGIPuZ+3OBvBlDAwvi8zAGKzqnL83oRX
ZoxwrDL0eQkoWj7brE69gY/feCDqn7QJ2TFMrdh3aGHckchpbgjg/RulG/VtUKIJv2oH5xZoFO4C
FNK6gwkVSslI6tsxtbzcqCA5CXm6cCUhunQdQ4nXBFMl3hwAhL2/zyq7BM5V5OJUwd2gWUboawRM
S6EMGrORKwS9MMLL6b9f3JgNtwHHgEDHKUqeWMj9rP+aZ69/fusDOYybaoKaAET83oZKLQksbSpO
rYu8rgeKx5UbeXEQEGXTJp75j1pC3RC0OchB+lPOUAc8pM62K/4iMALdzj8mZpGFwIOfJoL2p649
9nLf/fEIJqgBEDj4B2wm8578qsdlkzRcnJyuPFYd+ODaR+gj/uk6gMwdqVoYAiTzwxt2LEhMi24c
T1V3BIgKqb3r35/i0fdRCb7PgaJBvzg+z2frTAeZCgH9yZPRB37P3wQKt5E6Bka/yYxsBQmyaMxC
/hkuAORBcyC2HRkk1sJ8POHMHnJ550DxXWqxC20sV2v/YuaQTpza7dEUD+2/9zu4glCpg6eLPIXf
Kn1v2ysTtxDpo89rUndCwwOOiT37PlN6kaUNGU8o0p91hs6T1q480FE89qERuknjPBlp+on04bHT
h6fry/bx9KASAQImFD6g+oWpfD+4sW9CQ+hCnARlz9C3+QwZ8F96G6wM8qMve2dmDtU1eKOgYj6I
05Bbb5psXhSy5ddHMh3C2QZEzndqNkX6F7iqac9cOLMUEmxdYtbiFKqvkEfYokjm97L1B7ImBbJo
CTW+iU8O4EA+qwaErd0SalfilOryBoxfodebtYcmf93PxnblFviduJiPCzcAB/AIeYAPGbvACYCd
t8b2VJVDuYWlAc3jdfMw0BCENwMbN4JrnpHeQ881cRu7CI8Jh8QiA0XYJ5k3gGuw2HGriqtNKbjh
ou+zO1yf+4XzOMEl//mN04xdzL2hSpoV6No5NZm2AfmxcrOhOKoqOhu0+D/Szqy3baT5+p+IAPfl
VptXybIdx0luiCwe7jvZXD79+2OAF49EESKc/yCDuQiGpe6u7q6uOnXOe0/j4nV7cyuAUgEVQW18
7E0b/IAb0NZU9tXBK1TI/DzpVi3EtmvNfR2bm+u2LntQgIJBLkWxhef4ZQtr2RipXGR5dVDUj6H9
CKRvlvYm+qNSPjQpIeW9HEl3RknppPjTaQv52rmZPTU+eW+WPMUcvymqQ5VWFL7V9mdhtW9dJDvr
ITVvNeF+LAx3PG6m/oZcGGB3kpBceRPv7pCai0utqpBrgSsTDIFyW2iBsaFYhLxd14QPeayFTzwS
Af+Whrd2iKBWRqk0a+4eY2Gl584nsuG8oZCMukzr1UWcxMIf6kPZonJd5dJTJOKPzl9CHM951Kmd
Se6jC0Ywugx4IC32Ck2PUiytw9hf1+mn1alGdyI/RagyVk+nxVPbi3Pbdcv60PiS96snB7+KotD/
c30ZZ+eN6igwelo8LvqHTVENndkr9aF2Ch5q/a2Vd9ug8hca1WfNgEPQSb+D6J1eHxzDle22HoMx
09vG6l9L5JdgkFoi4ZpdHmhaKOmBzYSx5fyAkcCUWE7f1IfC8XPKrCiGuskuVYt+JZfWApj+MsEC
JEeFWlFWkWG7kFt0wshJhi6sD1ZibDpD2pdtevQ6JVm7NigEIqCdnNp/1GwplJ0LBeAYoNWNaIBo
cDqdkeIada861UF3XmXpFiAkWyzduLw1IOD0pfey9ThxFhLMo29PdzzBDVKpMoJpFzTyTVTEFvXr
6pCQowHLJwDWlzGvdHpQYgOhRwsITuf6r9dddC4mGLEeRL00NlO0PV/TyAmHFj3H6iA4WNAZeyXj
9uu6iUs2bTbbSD0wxqTgzqfpuqqsNT9WNSYUUuct6pTD1lXA77o1DFApSdaNB4Bw7Wl5/EWk8Jj0
tCVvJFEqyJbnBtkS0gR5SsycNPIn+yk4Tqj0wIzAwcbNeRHF0r7U1fBdV4fUUlcjmavm3UvqvTDe
r8/CzESD/iWRjJ4rOrhT4H1lALMKBHaE/N4lH0qZLoRec357ZmG8U07ufzpEq7CNE4D83W58DdPe
DYtKQvvQa6kgSd9+pVSyMtUlEqeZ2/HM7uTRkSSAwBITu1X+tdC9tV1tTPe2il5C9+v1OZyzpLM9
SPhz/lxGHG5KYnO8h43oZyZv/A4Zvo+Kksnwct3Q3GKdGJoyCzR0hmtxP+rqqY9u8LhEN7j0+cnt
7siVH6J5XR06oIa6I8DbLZUXZ73hdAgTbwDElSSaNMYs+aEn9LQyd90a0S6pvw5qusFTELsKd721
MHUzlxEXEdsJPTvqqFM0pWq4UgOatzpoedJvm0yvt4VaBY+0YS31kM+ZMriPxisC7rDpEyDIu9jJ
SDAfHCd6pHn/1ncfS2Mh9lsyMpnHNGnVtPDa6uCSgvaS98r6GShLtA9zjn06kskWMq0KXSmb0N23
77wR/Wbe6uqboX3Rl3S/liyNrnlySBS9Ieo8ZjiDvwmsNYkgiBG8ah/WC0HJnI+fDmlysQhtoA9F
HrjP3P5B9owXK9J+Xd+lM/GIeWpi/PuTsXSxkbiaxKyZPNW99FegKWsVIHu/8PqbHYoFqTRXM6nA
KTJRrQvLL2K2UhSiDuABCt10yDVvr49mbmWolqKkSPfOiIo5H00ykoqbwficihPnRZQ0gJaRnIH4
1eyNXQ/tox5o8cJunZvCU6MT7/bb0O/clC2kxI8gB30NQNijlL59emhQMUJqS6YItOy03ar0YbW0
6aM7BBTIntWh6G7lOLPvbANdO2H39XPoNEutdX9L8pOIauT8g8AJHkXmdLKphMxOon0bV5eezepn
SUa+DNptk4CbrcVNYYqN4e9dP9y7brdZJPSdOTgQOQLdAWUpl9XUa7LGoZkmrMtDpaWr1iO7331V
tc+/+THCH25FaAGnULvKVeQiKZLy4CvOfeCBws7Lx4YChEDmQSyGGKMPTqYUCZK/jVn0zl2weupB
WyeRF5aHMgmfjdiVV2pY3gg/+mlUYztYFMHNLOAmEeWqNP11lxTh7rovzWzGMUVG3x5QI5gXJ7ky
gfBi2cOECaYv/OEU34O2WaJ9mgnFT01MW/Z4P3sZcpjFIVJuSfvvw95chcWrSiUmN+sXXV9YRHXc
ZRfTChoZbBMgqgtyx6iho46upQLApKfcW1RKvFXu1u1DXMI9A7i0QhBSH7ZeFUSrJpXE3pXlCE4g
QXdJWMUfjYCQCOioL1PzbIyt03XBbafXyaoQjvJSOzQVxVoj/FUpjKwmGEgjZXV9Yeb8fdTMxhEt
ZCWnF78Wa5nm6XpxCNL8p9l0b6KpXqkxNgt2Zo4sThC+z2MCXYQphLvpDLUcarM4KKFOKmSfNF+a
+tkMvl8fzpyfkcIkWAfCykt0crkIh+Zny2NN3GcU+Ox44Xk7NwrS9GMQC4L4YuP2adPiTwWzJW3b
4kGIn5VFQ9jCnTKzJqBSgSeT6yA/MH2xa6mTyz3A40MSG/eVVK2Hpr4Zom7BzMyG4WmH7hPAL47b
6dLTRBWlRezJILC6j9zXv7u186du7EeoIl3qdW6+Uvir9fUVurQ6YhtBGvFWh1tq+qIKrNrpu7yX
D8bQh5uhGexNoUor00P0VY28de+2m1bpl1Lcl44xmqXKReITwbfp2yDuhraQ0lg+5NBKvYklKY6/
k3V+GJx/fxIH8DwmCsn5fgJaa2VKA7o8vltvmi4+eBmZXWhJmrb+rcKhzLvsZ1kOu1wiE6oM6VqK
K3czKAAXevswNNLK8dXnCv7O0NVuQ7t7zoXDXlGrfTwUYiNrzZvc5l86D4yKl99kttgqavEapTn1
b0HXv9dtXZLdNR18WmN+pa59T0IrAIBZf01L8zZqjbUvV8jtJPeREDfc/wtlpktFdMJ7ko+wsrDK
pNEm97gDv1ZoRi0TnvvR0xDZzX2bVeo+7RRxC0pFeQnosBArWgqzJ4iwfwPLKV97SC7NldncuOZ+
+NH6TR5vUEaK9o5rphszt3+XMIZt2rrpF3bDpYP8/ZnEOwjeUI2bLKCkN5kFcMfc9zY9tt+8zXW3
h7/q4rpAdIS81Nh9JBOOjpHkSdxrFRHyY7A071PbTNZFAKNY2H+roPHTlHY7SCNddOFtChfgXart
4Be4N0ot2NQFun1N/cusXUKf0n2WLPuu08PbNC3v+NQmk3voT7O1HQcEn3CGr2sH3IIdNZu+I4VQ
2t6TXNfRPSQCxsqI9Q+1tx+8TAUSqZbHJvcek9h5LrLSe+iyct/4GWWZoNiaGd2iYXATan3zn6cV
wKLcsAKuEGSrHHHDFazDN11uv6dhHYIL7w5+h15wpFRbSYkf1DF8CrRCW7W+zg3oDNVdEfRQtLa6
iqJ93G47J9A2QRRt4JP+z4ZMv6Mp1w4QHBqytV+jcmsJGQCNCctw1Af1zqUgAxLJj793tvko0vo9
MJxNm9p3el48GUq1N8IQ1lT/pa79u86V7/TaeXADYx2E1b1mau/w1NyNjHF0DW+KGORVNWyiNt4h
k7GHWPg2zIovllveDYb3OPjxLiP5O9Tfs0zZtJWxFZa09wObM7l1tkabH1Ovv81664tiui+xLwAa
wkSxiQbz0Stl0vxF+1NP5fdMazcUJA5mom6L1qGtNT6kUevfJZKgp8nutqqPF9jq1g+MX64y3Mte
3axTJ/TAnUH23vWxv8sUD245KTgMWkhKvw1fIIvdaLX+S0oNa6dHfb4h++qv2jb9oXlWeV8E4Y3Z
IN9ERs7M6fnV+k3UxPoNonR3upXQAjnIzDVU1RvXdn/Cb1vex6WjgAaTgRxb7QYgnb6i2dxfN17+
o6sTe2e6xucaVEnojfSJQHThZiMPMYUDB64vAw5Vur1p5uuqO1QBBTm4AD1/YZ9fXq7nhiaRKF1G
hlVrAxHIAJTug1qq//nkw6kJgOLnO70xWiHxqu32Qb+G9C0vdkX96fzGuYnJaZWntM7n43RFyXYQ
N5n0Q16KdexJtxRLAr0VRRYoIGm7u6DboLMvd+k6NPZmaaW0Yg7ljWo3ryndJoqvrR06UTWniTaD
PLQ7B1TjTs0HQICy9Fut+m2uNRs38pMtoe1qgDB3RTvmeNLfCSl6kcz0W9OVG3qt27uhi2OODM9/
DOuIPveuLkAO0aQfDcVbl7XanSmF69KVvstF/txKMlwm7UsyaM9gIY8QhT8GbRvtO1UkcEL2L6aT
bkWj36icaE2uf3Oj+IeT+IgLJ8aK1lplrZSlAV9E9zMNxQ9DqR9VOd/3urIJRL5Hke/OgzU/8h1t
ZQf9rq+DHxRxuJcN4zGgHLzrofeHiEB9rH3YoSv9i4y4tFEWa11oa7ksd7ovyD2BnveF8uDq6m0Q
Dq9KrAElDZ1HcqWv1++XyzwEiwV0BAZauqYuEuIIEFNpCYS5N2rBM8Qq8hVs4y+NGrxksgQXp7kQ
0M9cZ6jDU/iwYPQbez/PnTxJMwVZZWHsdcn5oWTZu78kOPy3ZHMeUzGm/5n4myw9uTEDotO66hpj
LzuVfGASvV1GYu+9lzIAc1BJEEgY2kaRdy4l3X7zJEr1Tg5CeVsm/0EVd5PGm0aKVsiWFQVCoIGx
z5oKnBCQxEMil7Slg7XVerHNkmLYlIkYvkahUj1GfRLdXF+fy7B3bAamCG5QB4cqZ3xMnowl6qMs
EdGg7J1hBHT6vu3e92lXv7aRU6w8WEU4iPy+3qfIPH/68W2PAogg1ZC7GiXJzm3LZZFHBnQO+4iA
/0hJMtppttkuPL3McQjny8VNgPiSTiJsptXHVinzWI3b7v3Mdh4LrSzerKRO7pq60CDIC/sb+tv9
N6AJ0rFoJfNXTD/APTg99Tn1ZO0+gJ3q3pAq+yvcIMZjGdTRzibtqa8My6dRsytAmNIdH7z2adxt
I8/4lZWq99r0GSJPal55xy6UxQuZEGNrxB4sV5Sq5K9qrsm/KzdBokfUXPYcTkfFGGgU0mXzuysb
9c7JLOfNdlVuhV5KSUcW7aOFIMCjXuXiobD9YC9JQQGyNKpve6WwOF7cGr4jJXhoqi6ngQXd1Uq4
/RfXNds3kea4GZH2h6JWcLFwXKwDuDjcVeGbUrJ2MtNDVFGU2wyM8U1kpEu56XH7TRaDU5v8GRcq
NFzTnp4o1Fve4bbYa1X9rVT9bWGItV1om5SjOzGK3dC6L6CHF8LcGTc3eV/xNEYSmrThxNXsypLs
QA3afQYWrwn+y4I3v76LfdAANL9nxs/ru+ryPU4JEGgD7wu03C46lyBUKRwp1sS+HZ7JEq5q6yHV
3xXpz3Uzc6OCVVfTyIKCh5yedX0owVhsuWJvZtba9dAHSFDStrrotwxL40gb83WAbGLhhJ0ZHBkG
NhNpZfIBU7QDzz1b2CSZiFS2TfMkkrtQe9CXIonLcxy4ysgKApMGd/0UyFpYosg9O+33YfHcp0+f
b/kBlmcAbNRHYZ8LAahWBFFdyAQqidOS14p0aaU03rtsFktkZHPTRVBESy/Am0u+apTmEqvztG6v
dK+2umNHddZDu4QzWLIyOcdxeSVvx4PC0oKVVEU3sfa9Hms/xtt1n5uJU8EW/284k/ezhG5gn8kY
krP/eIOl2YMsv//fTIyucXIndSqsIBEazvvIWXvdvtLXUruQMLsMS1j+MQMwNppe0kPUke4qdTJO
V8XZHSG49HMUPgcNFSxcsDMLA+OGMeIwHBWJ80k8kitdM9SZIvaRYQn6IuThJnLN4CkINXULfx09
rtdnb94gZR+yBWPsNQ79ZPbiLCv1JjfF3os9eGSiW51hpaCr3M5ZyJnNzCIAV+A0KnUJA1TGuSnZ
GPQ+IVjYi8pU74YmGG7SPC/+JL7TvWq1HK6trqV/5PoAZ04GICZjshMkyChveG5Vc7uoKaRY7A19
lKXuZXknrF5aWLcZPzfAh4PdGUE7JNLPrRha2aCllYu9Atvnsej6iHSYp2z7RluCj/3FNk4uRcrO
VOvG8hKI14mPRHTa0LAeib0/0DAkEj1bKXAKPjVmUcEzOmi/o76mNckyvEM5DNLP0I+CW12YLZDY
JP1eD3Zw7xKSbHPXH9ZpDU5WipvwxREOGY1MccnDydFKo1NsZSaG2qy9Oom3MQp5qy72IRframfX
FFmx60Rsb1p06x6JZpp17tTyiqigRTW9+l3nugCRLbFnmqzY9l1208kdD3aR5+tWS8uNRhCCzE23
Lf0YMg07CgixOjThPH2dh4a30zuDAlZsOXeBNlYUBl/dqIVk3DVp6a/MUI/fIb34ULra+HC6gT6g
vK63ta4096rSutvAr2nWSYvoSU4bQGkNBbMPOk+lfWzXKOloSghBm1lW7XMdum264PJzboFLINVs
glO/SMeNPPCDTEf3Xq9ld99mWfUjghfvUamzJUGFmVCJqsR4vePrpMEnfj6Ubq75Imr3ldSku8FE
kiZyhftUSFG/heJS27p1FiNeE7sfPAz8fxgp5I+0QnHbG5QczzdAVEUS3QFlu7eV/nfZQERihuXX
xIuXmjxnTpGzFMtknI2Cyiwkjd3ed1dwq4zCCOK5D59Eurt+cMycjND1ECyZDqeVMq2h+nELuQDK
nPvaB73iPQ3GD0+J1kOyJO5+YQjsPU8pi7mjgsGr93zq6PlwzKItwifdedRpg6y/pUBlrO+fHA5W
INEHpE09hvBvdNWTg15BdcKKTCN4EuJbF7WgJhGXsi0AbsGCK8yNBxgO7dcm6s6IWZ5bCqNcpw7j
Bk+hod2zXDe6yBBbzO5jc0ne4+JwZ1CIIXIc8noHsTl1BmEMtOmZ4VOfPFi7fFi49y+2L59HhYlO
b3TBLrMDvZqrbgL8+qmU6IK1oi89eU+zGhbgKpcA89EOalkUFZEeu8AtdY5Mngh58idHSzZavtNT
EtWvQbR3mxeIDML6NYc5kMLPKuxeIDRcuCIvttRf87TujP0Ml/h2u86ipJbr4KlorTFD/kp37I+G
wkroItcEf8J1T5ydVV5t/9/cJGADWJvHvgEHW4RIepyil2J88z/d7TQZ08TdZb1rE6MXwVPaVitL
u3eqhf00Mwq8TrOomqPxx8qde7nng+/QW0ZRBPraSRTaAL8m2d31qZrxb4xYCmzJtABevAylyPKh
RrWheYu/u+bXJUzFzMKDX9OpE8FlQGPJZPvgd3LBzR4+5TLJAIlq50Pq6eIn5HLmBsEzQgI4UDfX
xzQ7cahNI15CvHnxVGsT2xtaheMBep61ahfr3rnz/fjzh5AlA6sd+2WYtyk+zzQKKe+8gfVHLKnR
n9Pua1iNfLQLK3TxqObVjpURwMu/F1kpPfHVODCs6Kn+i2i0O3lX566zgVLxzeZcp+eefmc9zI2b
69M4pSQDxYtlcNO2Snpx/AnnDigVBdhXuIKeUBbaKpJ+Q5V8J2X2j06t7kSWf5SGsY/MYaMX6aPa
/Hfd/OUq8trWGQFVaIOTfuL+kJXGdiMH2ZP8XHXruF55nwbbAF86sTCtdaeqTGMt2i9PlI2Nl7oo
0p9dpIolR5kdyN+EH0c8efvJQOitdjVf8bKnrtulf7rmw7Sfr0/V5Sam53K8nXj1IBg2BY2IxokL
xDbyJz10qnXY6mg05YjXXLcy4w+YQXEIwBewkYsniNapYVQqZf4kx/HBlVVIOv1t5nzVwrc01B/t
Qdn4ikkbAZXGeknu8WKMAFXAq/AP758ZSElr2kMRKsNTVQnnrgqlakftvFoox49rcfbymVgZf8VJ
DCON4hiJPQxPqXsT9CAsIFBMentbJHdZfKMP9YrL8/q0XgQzmCQRA1KGvDfdphP3KAavMhI1lZ8s
0bmPKW+ip6Rzw40KjnXjaGW44CwX9mDzgYUDFmFa21TqIOdDRG7VhE6jKZ5Nt1pr1PHTt8p5c/Vs
4Xy8WDA6TFBupdQDqI5097gtTqZSVmtfSGUQPmf2OjHXKJhen7eLbTX5/jjOk+8PuVVTRuf7KmUz
e+d0Wyf9LDR2NGGN+CI8nhzxxBs6I0wjyXGDZ7+2NlXtrPxsoZw7N4gR201DD3AHSPzOB5GYuYy2
aBo8F/YDFWg6waLksyEmgzg1Md4vJ/MkPClCnScJngVEBtkaUlBv6ZafW+pTExMX7i1okTSfUZjk
8BMUJDfXl3rh+38rsCdDyAKYYTIzDp71+D8voefDu7tuYGEZpsmVzurN0vEYQB+8m/l/oizX8pL+
0pKNSUbULnJDtWJsNMVa7smH3uv9wjwpM3ubtWbL/WXvJNY+X+s+7P1cKiT/2crIiyj5GiH1wtyH
6V3jwlIJ4kW7U50fjf/RmBAifqTBrd/sonKJJHN+rP/7HZO96WiiclPF9Z8HddOoO+jPTbH7/JIR
WpKQHEU1LsC6UCi2fV6HwbMN1615I9zXMlwIgOZGcWpidMsTt7NKIawo8oPnjBXzqM/dkmi6Poq5
BTs1MVkw1ycZCr108BxY3xTktGFBKtbmUiQ3t39OrUyWg9tA8aTEY67cLWpLhfwvazG2w/x9qPDO
PJ+oYIQoepHmP2fyXRFu8/SmUrbXJ2p2CCcmJmuhhXYtqljFs+sVIvf2p5nDOCXJV1KVNWFcoxH4
fAh020cFMp7+s2euJHldRQu31exCn3x/8vthq28y4fP9xjl4ySpMD3aw6pdar2Y99sTKxJ3SJjUC
RBJ80Os7NXyANUldijWXBjLxpbavzbJMLBbim22sbXvthPdpuxCjXIRhk9WYXIutHadDnTJbrU9a
hIxvlKNqYfxs9G1jPZvyMc5e/sG/TmZucksanQ9Wx2Hmun7nWttw6Wie9d+T70+uSKG5aWV24/e1
NQK4ZrRwyy98f4rqlyBFswOL70MSUH3Ew8I5tfR55Xx7aHVolWXIggzqqvhm/vo/Tf6U/kSNINPg
rPWf6/qekjtsF9e/f+mzsKKTmKQjnucDfc/nv973wbvTEigf5QRdlCFKfvaO9Ucr2ttSo6fjurHL
qcKYDjKJkJcE1PQw1GJQDH3ZyEcSAm7yPfGWBPwuN/m5gfEHnFxLWQAxyIBaxxFO4ZY2H4R65Tra
XB/FvBHSkrClwqj0F8RyYkS1UQgxa0c+9nq6KYZ6PUgverVgZH6q/mdksi6RppVGmPnKEUI/6BrZ
49cHsfB9a+K1YWpKzQDR+LEyxSrdAHn7FwPIIwDSt6DumWYQDFMYMPsHyjHSX4Pgd6zbC547uwwk
YOiZJxFykYIBMFBoFXCEox8E5sp2ffNGNexikwnN3P3DZNk2bWy8RpwLOvGibXNFSCyGblaAwPq1
of3LbJ1YmJyxcM+q3lDY8rGU81c/zF4NBVmj66P4S0p+9oKHRImlgEoFps7LBhpNBuEo1RYzZobe
Sg+LHzRqPhZF9Sb52spSBn3tldVHNoD88/3gVpjZrZsrKzIKK7NYypnMnTwg2ca+wDE940w8UA0a
ITedUI9IihRfJeVYKcdiiRdrzs3H3n4oVcbW++mJI/e9BczKUI6h5ie3gBWSTZFbS0xus1ZI4oLs
IQfkTPmVIgcVK7mSlSM8lCsPKoMloMCSgclc2TmsQSOj+NEKH4Pu4V/2qnHy+9XzY7PUDS8q+0E5
Di5A+032ft3xln795CyDr9BARonPS9atyO+yJRDKrCeBNab2OnbpTvuBmrxLo6TRlWOur6k4V86T
ozyqn38pQKJ3YmUySW6ROLKKeukRacqN0gSb/67P0mXbKtuTAYDwHFmV8KPzVfAlI/R8LZCPQfJu
KK+pGd34xtFXDzT8PNL5tjJquN3ibp0NT2IJZTO3RghbgBKDtgYB3El4DE1lXvqFPRxtO90EXrq5
vT66MSydnj1kqqmN/xV6maYRvCjLcohph2PUZW6wIl2L1K0UNV87unl2AgWlOwMY7UJxb84zOK6B
rqKFfInoSUOlqRqFeKBN6X9ACn7YG5Uq1lltNPeUL5oFTP2cvZGKh5IAoKXLzrQe9q3Sq7hVFfMm
qe3bKr2LzV3oLszm3Gqd2pn4Yt/LiZH1xTgu99sQlbdl1n/9/IIh+c41CraP3PzEIQqQT4Oj9MPR
7bMbg15pQwbCoYtuH6sGQLL4889ApuzE4Di3J2FV7CuhD6P7gCj2N0PcZ2axyfsvAhL56wObmzuk
vqmbwHwJtHV6GiFDSKlVlo8qpK0NzKowMv+DBTrQdQseDptC2PlItKHPCUR7nmIjn21+4yMlft3C
TOyDQgEZaq5OitbTxHiQB4FnDKNft/na1Y65qazC6Nf/ycj0VuvjurRCHyNZi84VJOnbPLEaCHrV
3b8Y4vXB0UAj8RTxG5qdGyXjs8Cpbyvpj1s/lO2X6yZmFp2becTojX9Qwj1fkihKgsCSIg0R0W+e
8wEz9/Xvz2x8k/OFLMx4xnETn38/U+oBeS51OIbZvqy+QVIcocOU9C/XzcysO+ESysGwKozX3cR3
RVEoWS9JwzGAtqx+Mr/lxgIb1awF2BpUQ7PVMXA6HwjKK0Zfmfpw1Lp8GyTtvu7cbVFG3z4/EI3S
B8ow8GtwKZybyZVSt3ubu26Q9nCFrK2B5px8oYIws+ggyeFcIouHXtUU/Zx16aCBt+MIyw5I/sYf
/zAG6G7GVjNnZPA6H4MpOZHn2yHbPPd3UimOSe68Da68cNbPrQh41L/NF2OX9SQs6Fvw8F3T4lpC
veklsYvy+lvgRwsFnbnwA8gQ9XpIcNmLF0rMpR2VZupx/joO6C5V6tdaHNzpVb2D+Lte1aF/m3rK
nZkPj2mZ/S5hSls1ofd6fVZnAgV+Bh7IjPJynIJwOxM6awNysmMsul0b+wfJSL42aGJrrk+Gq19w
xMvKLeBiHGQUhxvRClMYhuh02Y1p6jgabajuhlwJ/zQlbUEB4d7GLzqx7Z0hXnemFH8rG8vcZK7e
litY2f7lDIEentYrjnUazSdniFfa9L2Nv8Tzu1U5SlvQk+Ql0doKFzb5JUfUOGjavMDQjB3t0xO3
NxK/qGJjOKpm1ux9L3pHc5V2tCFq/JvYzLJDLGlQa5Z6ta5d06YHyvqHJy8bnyf1yL5Go8nkLDPd
OLeSRhmOXeVvNTt/rjVroWQ9dyqfmphcxGkbpvB2asORlMDK7Pbo4G5KL1qH3hKB5dxRMz4/6J+j
AA+j3vlZ4A9O54KOHI6OBg5+hVru9V0x932CI1aLjWFcbM6oHQCCDH1/bNfCO1jyQpw8Xn+T6JwN
QNQ/EhtAmjNZCyfkjSzUgKamOL81tB8BRLKF8prQc9R5L4p4vj6auXWhlWycp78n2+TkVAeasVLY
XI4PqvW+W0ve++e/D3wKsPuYVoZe5Xw1mgI0QhrV/bG+9eqN6R8G9RD4C1HLzJKwidSxV8kGvzXN
X/CI62Af7o0j7L7ul7B8uz6G+c+zN8ernmBvOke615hSVBvHNPmRGneBs5SMnVlzfv//DIx/fxJv
p1ollXGKAY6Cm1ItGYXYOPYX1YDL1yvWQl0iMJgdEg2m8EFBE003/LlFyKBaaMJj41j6CCDcJAvX
/cxFSQaNTgC6Gwjt5cmM1a0oUygnrWNGzzz75DkNN59fk1MLkymLRC7MyqisYzogez6KTVkLj5Ol
MUwu+ybwVKiGS+vY0AegbOVyUy3sjXkLDmTWkEeRih8X6WTZNVczMrCB1tGv7knNZtGj6i4cVjPb
m4X4n4nxJ5yYkNJC7isyb6T5HdSmxtNQj34scYvNedOplfFXnFgxYlsdyoGBBPKtFd+oSwXD0V0m
Z6LNiQ4hFB10I8bw/PuOmdEuI2LraPg/zeze7m7y4Kf+vRw+D+EAufW3QR5AIYCayeGrpI2T2Glm
HYf4eyV9OPnnkxJn35+seF40isl5ax1dW6xbeVuBN3L1P/lSE8T8hHGsk20dxzFZdvqs1UAIxtEq
N0K/df2NHu3cX06zvb4LZ92Lu0MZKVb0C4ps2BeknoSPeZSMX/BEV/Ra6Ovw7bqRWe86MTI5qwq3
UVPdds2jXNvvfqLeWm7z87qJcT4uHex/45ise9irMrpiknnkGfa9ENHOS0W/6tzu9rqduaFwG9Kr
hDArrQETO13mxTZrbh+lbNUXG+/TmGKC9HEd6LEh9X1BzFYMTqB0PbzIinNj0Kv9x/I+PwJKk8Dj
xyIlEhCTyFjVK1G3mmkcm/i++h0ECw41sxDE3PBU8C8Nz9NGZ7OQnbQSBjdhLtZhOIoJPGriy2dX
AV08SkhjjmBUGpmMwWx54uldqB5B7PZI+Yi769+/HATpZwDdJjosvGKmrwd6juCugzLkWFnhWtHc
baZGiDGbCyH15SbHjIlYhQUhP5nBiTPZgVFlpSKpRxrKVoW0M63nRHmsoxtVfrs+oMttfm5pcmz5
tQkjUYklqXt1ivsELKMC3iheknwdL+3zbXhuZ5zYk3skN0MpyWJHPSqjqpT21BTxKq+PHb2DZflY
LzGzzQ1Lg3OaMJtWLYLuc3O2U+peHFnq0bI8vMBfGd5eWIg1fZrKmHj+xNA0xZL1eWzLoyEXRqCu
+VGCFbm+QnO+QDmfE3jMsV9sy9Y3U1RVC+OYJ8Vm0CPY18L2Vw7nAnzXv9Sh/Xbd3uVBxgHAIfP3
lQIL1mQLSYXnikbpuqPVWn9ik6PGCj+NFRnPGFQsKZGSwJ8+jBUt06sw1rtjaLz4MLC8XB/BzCZF
xVY2x4fP+AKf+FqdV7nqe3zeeo+ax9Lfx0v9bLNzdGJhErUYVpN0kON2RzeCL6t+7ZeCuzkDdPOO
5zz/4Tw791/Zt61AU9P+GEJNlNfmSnhL3KZzs3RqYrJFEs82UajDhEbkCN1GS34wbtfXl2Im8UPq
ASpTONsIdy+U3L2s11TR4E2iutNcFNVQ27gxvRtPWrMdDSiszY25VOSYmT3qazDSaASUJrHS+ex5
okyisq5JdastfOno/v3D5GGBRDplb1I8003i6n2lNFoGxsb7ZaON2hUbscREM5M/AoxP8paOijH/
ORVNimPNjRtBrSaH8sjod5FbrWTY3BCl85q9R7chVBN59ulAFqvUO0jfAwsnV3c+eSR6bb9Dwe9Y
wTZA//XvFnVEOUVo1FQWMmQzLsj0UcEZ2RM0suHnptTASBS5yUi6Orep+GiVAzra1x1wzhVOTUx2
Kp2awM+bgnxrLUEf1++rKlqICWZNUOMiS0HLF4m281EUUqIUkRSQ2wxhdBJZfVDldsHGzPVJYKlD
/gGihHbQyWb10xYmtIphSK2zS5wYISR6uhPxIy7cjavEYhVUxcIxOjsuigekRUB0X2zdSAp55qes
jlZ7K4MM5Z/rSzOz+jgTiSO0Mcba8eSMyyC9Cczc7Y9ZsJcRHe+yEEGFz181dKzxccJaSAumB2nr
dnZUeaT04kHahOWwTpYeSjPTdGZhsjR9NdBCrWCBFbG/N8nCCTr+75PAiXYjOmchsOCdbE4cOAeB
rpaGVB99o7jPkkBfhUq2Suv/R9qX9UaqLN3+opQYE3gFarBdtsFtt9v7Be2emMlkSiB//V30/XRO
FYUKuY/6rS0RlVNkZMSKtaanOtOe7Limbq6CvtHZSvSsjQsNOsiFAsxP8ThfbGvoD7Gkr3qEUIPX
zg3in8cmAQeBBwXYrhAHwAlcWtAjOhn9lPQB6QbXbE+grBgHV3d2t/fZ2h0EOxAzQwM1UvHLHDho
1QCKILCj8+GuZ3ulpY+z8kx3j5auo9olfl5Vhxhygc74z23b8+pcrR7iNly0s+zh8j2CepUksZ73
QZW+EZl7RX8/9UC2FZ8HR2EuzwwtXtITqCXxzi76QFI983LmZkW9VTpZ2xH6LOGH4AovkyV0BuWh
1EJj8xCUxTvY2ix146yuTRbYCHRw0YKr+4pKotD6MeY5Snw1mCtndjy1p3d6bPtyi5d/JaaeKWhm
VmWU4gDJvdx5cayYQ1lWIhjaFxkPu5z/GxMUL6J4n/KP21tgzc3hEQIsLl6/M47g0pZhlNSoOuw+
LbGOdOyYV2bsJ1GUw207K1cEShf/tbPYAbIV6tAbWR+kvykUJ5of+j/dwB7rHxsOaW0XIFEHjiio
UiJ4X7jtjmVlofOxC3LhQyK63jita9OFjjcwzeC208G8fzldQ56WomrbPuinIhjRMhLVzYtlT38x
CqA6sM3Angm8mX5phgKooA0lxXnJE/8XWC/826ux5rZnlvuZFAw4giUSy2BpoQ5p1AdKFbDstyHe
EcCr/YmjZSH7x/o0kwcgZdjKqJMjLQgOssVwbKI3VVHAz0Qt9IyTj4b/gBay22+lC655HBaG5t1x
9o53hlmcsp0NlU96m/lQQz1JGR11yt9qvXdBhvts5GxfZlYFffWfGSR3scgbq7dSRsd40dM/Z8Pm
TtLF1dEq3JYd+G4CyKOBSbN7HMBFHJeK15gUYPTO78ryHST+p1ZUjgvY6DG19dfbS7zmruxZ0wvV
SHRmLA82R9t7w3ocOK0HU35xBEmLZX1jkb2xlf58aHmJoA1dw+EGCfzVY0PQwhxJBA9iDpY/xtUD
m8ZXPgg0CTVgOZmoX2aGn1bvdhd/H/vOZWZpIdVReY1i/9AUy9cYlFdtlDTV/MD14tkq1V0LNuHb
E7J2dIH7oXPjAR7fyyC1r2KU3FNMSAF56vqUo1HSBg3LbSPzBltMBoT45sSBOQcOS+gMsriOCdDm
FBjKY6Ue1H8//3kdKBO0DCPgxia73N8s0eLe4NoYpKx1+bs5fR5kjAcj3BsuUXD1gsX80oAcEi0y
K/x+BiaoGvkwQCZvD2HF9cy8+TMn05xiWWIKSyWPQXYxjAEIFyGxWyIdHXbTD918TZTvUAuy6y+3
Da4tybnBRYgac+ZAXQdv/JqcSKu5dvntbwwgqQsPh3VfejfUOMGLEytjYBq7xvHHv9i4eIUC1YxI
FwgmazGA2mjMaXSoCGLLcZ9s7S1RN6qmKwHHTH0D6Dp4iWw8di5XPdY6m4GnWwRop/9GJPS7JVj+
HQAjc9YmrjCT4+0pW3FO5waXlLyGATrHtFFFYBWKW4x7UaceT78o3eef8Bd2FtHNyHKrbQrYyW3n
UZns+ybpX6Evv//fhrMIbhoVMmHVILFC0KXvtSfavFbiY7Q2go+1nQwiLCCiLOAX4XAvl0mjdaL2
LSJQkbrSPEXt6+1hrHhI9NBQlOVn+KK9BLMxOWS8TvoxMKCb0YLlCBDJcYu2Z20Qs3woGDkQR4Gl
/XIQ1Jj+7zhWMnWhE8jYRnVizQBSeshHI74xAMi5NAB10kYphmYI+gThZZtsBLJbn1+44MbW+4zJ
dgDHoC8tL9+KMNfO4vnPX5xFJQXOTg74vm3sB8hkVgdVved8N2yVnDcMOctQtmEUIjowpEOLoXAL
O3QmrzCRAd14Za4bQu+Ng8ftdYmgsjuT2AkbAmoK1zFSL6aTm1sviizcsf/4/B62QByMR/tMHbZ8
Ow2M4P/TEasvP3j+xVZO3NhwKms32JmJ5cSha6EdHVsMgWzTQ45z3r20ltewh4KfZoWJYWtLrHnL
c4MLL9ZUhtrmEgap+LcsHob0xOqPYusSWDv9eDahKoka4jWVG5ksA1hZZQgIOE4ntC8ZCXFbtJzc
XqDV83NmZnF+UOOOCmCBse0YRDNAmkS2spGr6wPmVuSjwE5iLxlcSgDvxyaGA6gbZXjIhagfnQ6K
l5HWVA/WaIEprFfE0Won5wh2XHPjblubRwT/SE0Cne0gPXnpf8wpR34fkiEBi76oyr0++mKrcXPL
xCIiaNksEOPAhMo+pjz2VecLmK78zy/UHzQjAI1gC1vmpehYV9Ae01BEsD5av1c2Qtm1+gFAAzMf
ImYJjSyLXQ3R6inisleR+wb/fu220BTqT1PxYzIzUJj+a9iVa6Vb4Kp5ey0DdNR6wY2IiuU1Hrw2
jLG39VENevVD2M2Oq8Oeaw8OZEsa1etAlHh7FteWCqRQUFdGZAg2odk5nr1ImZ5MtAAHadDFzuDh
9iueRmqIZ8kJ2ViwayU5hHBIw0NIDpzpYGlY7DyQNKAqNKLsY4tp37bPqRKivLBHKtszG79TpVfA
0etD6zZIZhNlbyn3lBzlsKvKyDXU73w4ddUPpUe3Un4HerPd7blQ104mmm5mGWRE/1epTps7U9Xo
aI2SxiHqLI9F6jOEpTw80z2QshrpAb21iITdiPxrGnd5HcJZeMaIMEQPhbhDAOTzYitFrs3ph6s9
QeHykKRUZp6LyzVqrSrK7QLdQMgaGOXJSW23U44KGcKSQREnC2kP3nvmltZprB9T9l0mJaDEwuXQ
Mol0577vuUuaeGdnz0OfhXarQlV12AjS15cX0zfDLtAqu3zRt3kViUrF8tbZV8dO3Ek+Kd2LrOv9
LP7FbaTuIoj//S5N8FeeSh3KAUEyJnj8V76mNrumoJ5pjV7GIhdVgZBuUWet7PW5xWKuA2AP4p19
OY9RYw9jBHowVFPb6WViWnyKKx0CUCDg3dhKK8cY+RW0Gc2hMLD7iyXLYkHMpsWScdLyU96W037M
xHQPxsnWsyVvX+285y8Nccjd7U28ahkAUOSz0YNzVesytdxUM9R0gsEGeQ9VfHV6aqenqon3g+IR
2Wyc6nnSLjYn8vLINgJchb4AeK3Foa5UaDDwrOyC1H7Qpofft0dzFVrg69BYmPc9KlA4WpdLNkli
DEquon7DTMer+jxxgQfuPVNG6bEy8nijw+RqiyzsLW8uqOe1gzN0wQBaBlBZa26lAAGBbODGtF0F
nbOhuTI100JCAHY+82d+dwaG5t0w9oEKlkavpbH9ADAJdHhI+qaJZDpgvrdwUauTOVNLoYUGFaMr
X+8UoF2mRheo46k1VKhzPkj2BqWY22u2tiPQpvsfM/MOPRsaIphOaCPM6JXpK5BES8aP2xZWVglF
Q5yuOQ10TXDeUr3gUBRsAksmX3tZFy8VlypkmiL1221LK1OGFjANSGQ8OZGuX5xju6TAVqYVLEX0
X1DAPJPSuYuGYieKfouGbWVU4PYD3gIxIQQWllmOKpWqFddmjf6/kPVhUdwp1uvt4WyYWOY10L9q
ZSWDCZXct3Hs1urTsNVfvGpDQ4GI4uDO+abL5S9RT03SOuJBm1oDcjOlQBADxskyktbGIVpZHbgE
C7I/2NLARc73+dlO0+J6Ajk2b1A8hqbcnSmPrTiOxffbk7ZyVAFOQLf0DEVH4LzYA2XEkRAEWXng
iNIsXdap47EnteaqSN08sC4pjrSX6QaQ5MqPg7Ua2qEK5F6wH67o2tVcKQi0NhlwEaXHY8iKsUCh
e6hyQGDvIf5038NsDhUwAKbQKIic/OVUmtgXRjdELBgl1Ffaj6LcSkxcVx3+XLozbSVK8Ug0L1we
+MX7VI+xWoW4R98Ljx649WypcEDPBgpW3bc8fY7qu9Le8BYr/ggd4gg6sUFwiJdpI9kXw0Q01gS0
y/O7jFjSsy2onN3eJdfvBRCFwCehID+3ciJMu5zB2irHcaCSBXHfvRaq9i401RN67EcFhB8dSCJD
5tNXa3PynETZePNfHzrosqKqiAwsukrgry6NqxGo7kZlKIM4E36uxCBJUdyu3zhv1zN5YWXpPgy9
ZHWsyDJwKuVtQCIxkvbu9jTOP/QynLg0sdiHiUnBFzaoZUDL3xN76VHqB2HOwegf+/gfngTWpyFO
aFE/m7k/u/bMhyRch6J1oZXBrPWnWi5Rt8C7q7MG/4FtgZ5lCINfro10eN1CS6IM2O/modhwE1sf
1y4/nnU2FFAnfDzXHibVF9HL7fW4drGYnrMfvzi0hQJ5lDbFehD7vn6d6LHMjgY/3jayunspMnA2
ut8BdVxEDDF1SGy2ehlk1n3cnKbkgZob6IiVeZoT02j6AC02wtR5nGfL3FZOldMsKQMF7HCuyDa2
7frnURAHVgpgqSXkvMkYuL9JXgaj6jez4myylZe6voXgV2aKw/+zMP+CswGUmhCATJZlUGh0PxZw
LWVy5Jl1gCLraZrKjXVfGxBQ0wCBAz+PCH/hzZK0hywu6ndBx2x30HMvV73bi35dDIeTRB58fmjP
9MnLEFiJmD1k44gR5dEDJHK/xbI8RWYPDl3lgXTE6yg4myHUkqhkp8rRG2v2mNIuvP07Vi7ai5+x
mFjdqlqH5UoZSFPkXpqOz4Dd7lrWHSzihOhZ+JU2cuNKumZ6/TN29MoiSAIXyxUXA4hDbdKKMjCF
FYxOcUza9GSNzr4B7+Mky50pkscxmVzV4b7eQqRzzFCEz54TsFsqTb6r0fC9cYOtnEJ11mHD7QXk
/9Ud0vdOS6WmFIE6NUCmBFxWfsG3KrgrDh5WHBQjTbDuX1WgO4uRYbKsApiuE/SZI+05yV6Sinq8
yd1ueGnyr7fXd9UgnligvpobuZd5PPQvEQka/DJoKnB0t24yQanDcdPksTEst4WWOGnyzzs0kGfr
yFQb4Ha4ajcihEF5qYM70OtjX+wmNUaj/Ea+ZXW5/mtj2TsRM7zmOopxJchH2gkspP+kcktNZ8UK
IJLQhIErQOfOMmizJdLYtLSqIK7ex/o9L99y7e32Aq24mgsTiwOYSsPK1cGsgl45/tKcw+2vbw1g
/vuZ3+xwmCIFyr4gqTpRIKUN81+S9Ru+bOWWvBjC4nZhQstUvYaRTn3vlPKgQwNoSCYv3uIJ3TK0
cMt10zQj7rgqMCG5q/sxcJj5Xalvbd/5Vl9EYRfjWVzIRkp1mVcwQ2Xv5flPqyhdbiZQJN+jfrCz
iu9WjWRoZXj2UB8qWkAG7FANkSchct8Tr0D0q5yUEvJg5FTLws/YB15r3iAs13Hy45QPO1ur3RFc
p9WdVu61tHuV6rSXUBuvK9fRfoF5xa3y96Kd/EqrkKPza0v140nxod19sM2fiviaV7GbZy+T8n1E
pqZjGiAhb07yqKhbt+/KHsVRQ6pmxiAAGrLYRakYtagoKz6DNKjGdq2Zbcz5ugXw5gCOgVthmT1l
5lRxauY80KBlP9hostxC8q6cBIzhvxYWoWKMhvmJWSkPmPoqoI8wvptkd/uwbQ1iES32nbAcuyl4
oNrfoRrdbErbXe/LiyEsXIXoGoUrOb4/KI/FANDx3ST3cbdxmufdvdj9F1YWi61Qsx8NDUsBUZwH
ZOrcODogFoKw/J6QYef03/9i1oA1AEko1MQAQbx0UZOm49UWc4438Cmz3G4LAre6KmffXzxAuknp
0HXLsHnNb0bxneUbseKKUwIzIygyZ04YPD8X3k8vejnWjYb5AtEsgyKV9rWoUWzYAvNv2Vk4P2NA
vJhGKuzAIaRWf6j7h8h+ktnGm2p1/aGFhsfIHAktK4ska3MQ7lAe5NRF9aeVx0p1efZOmCe32oZX
D+WZrcWOVstUd2KGuYsme89L6fcivxOt/fnYbibP/M+QFlu6kryEYDGGRKKDzU13rPwu22KZXhsL
5mt+Mfz/zrvLfTxTKyqt4fDAhnKjcDooR3aHJvs06QFSVQCtgud2LvuCJu/SjMh4ZBt5WgdYIjfv
n+0kNJz7ZrI8Yytfurbj5uIyAJOo5Fxh9i0a6XlkFnUw2Xrsanp+VwF0kEHBJiniz79DULVRZzVp
7DtzmZ3H/yc8raFcHqGJmPtDuQPRvA46bfkMfa/Pexy0ReLxZYLb9orXaKJZLYw4rwO7e1Nw35r6
/raB+SguXei5gcW2lkmmERllNYiTCPQXH9Tsw1D2Zv2L6xvx3Zalxc6uo4gpkYJpM7/kg4/m+Jjt
o/5Ojq9/MSK03c5d0TPB0cKJ1pGYynhK6iDWUaTuBuWYFpFP4wrFYtTnZbJhb3XrWei7QoZ7Vplc
2CM0KRQmMK5E/1EpP1SFIZ/3XY1/3B7Wla8Dgx74DBFvoEgJcoHl9HVo9DBrXgRStU8W/JyCJHpU
fBmi/pAU5CHTtzixodK13BywifcEUrJobkW1fRElQBdskhzjC7QMvKpqQ1WPtbpxZNQqD7WI6Y4U
VewlfVTdRZNVeGxq2LtdRuJhyIbMByu4cw+6/3RvlLH0BcJVr8pBA6Y7RbbX5NQBui3wV0d4dKws
32iL9zweup0DWXowa9nCzVKi+wrUtL8IbsW7VrYd+LmbYSeMob63azyzrYhobj9O6mGigrqyS6oT
CpJkp6Vp/9RlUOAskKTfZcx8nrpO8xJsdJ7vW7UA4UfnNsUXNp7UIX9pmHX3nuxkQu9sCIQUL+SO
FENIiXaXCq3Y6Ykld1wKIL5VhbsWumu8XjNLL1V44UqcPD9P8HudTGkAfLTACdq0Lwoff2Wi6d2o
bGsv45PiahoSQ0kJ8DUI+fRDNpWTJ+TwphPS+aTWgXV3Wr5vhewxsljz0q4xvRrllYOWxa95Jek+
JdIG+Wxr+7yPBg9iwr+srhj9GgK+O8K6yuWlToBRgr5ql0bNnog0daH4CzfSk8xvE+iET3qju9Bu
hjo5BbifKc4vltLKrcvJ2IO2MXJb20juhgwxVRNHhq/nOqQJor530foxHfhQNHvFmBI30VLNg/JC
6ilCJAdSp6ZrV7I4cnDDu7qJEWYUkX9Oi8Kv8JO/gVU1ue9LgFCb3un3qa6TZ3SZ4IUc2RJtDWmW
uCSl46F1umanjFQ8OG3CccSo7maZNI7Z1LQ7FLcALmdFlgZtrf+YRlP5AFSwg0RKNnjJUHF3RKZj
6xlw5c9mtni4fzTV4IQAInh5u0lQzkVCFXivts3JHGtXS5yQi4/WpCdAsN2MkZBT/cHKnrh1KGR5
6KLuZaoPiiJ9DZVJRBRuSTPsgOixBN47awevxtutSgZsJSBzp9wfwK2eU8W1R7Rc/hxUxR2M0ZNw
M9U9F/Gutwskwh/j/CkeTDi6wjWi1xiAm6h+1hLTNdpDCnFkbpgv6thuTMGV55tnYMbeQhQZ9DlL
HlTTyI3YEkMVjA2ujhdm+sArt5+GwS2sLKKIohpp00+Y596KwBHAXfBE+C3ZCO2vQqJLK8uKCa/k
QEuCseS1hxZjUX+NjI27fGO6/vRvniU49M4cqCVhov6t2m7OTqT3NXvjPt8yol3uStvKmVlMYxUU
ERjF9mr6XDQeVf7H2VpcDLKs2sQZ+iogQHhkHnTLySalwtaKLNa9dsoeTNHoK8saxdjlBqk83Hfc
zbit72zaChcZgBFYKqVE0pUAwdDBJTP0h+3QWPdvnZc/1MT+5oxW9tkYXUfLHhqUcNmDF/AKP9UQ
RQI0mfKQtN/I2PkWe+mirfaWOfC6CMwWRhYLOTZgg42haR463a5mrkY23s5b318sYQKA0WCbGAQa
aX1TvOQN/ZtpmstooE1E9+mSdDAtS1GCfoOFyC5NHxwkw5/dhfMUISZGYQLAz6uUp6XzYiqFZGEv
4HInfg/941MdVV8+GXktzMwzeXZucwE2rBxM86GiK64QB0lxz429O8VPhvqRJh+3za0uDCo6aKNF
sQX9cJfmKrwOmaJiVEPaeUj3ulr7NwM6s7BY+oiZSt2iLy5UK/voSMdT6XMbQ8TOCgw7c9Otvqar
kzxP4Mx7gX5qJNuX3N9tDC0ChXIGUaPsaGny9zTUtSejLUTd1Y28sLOIxFOUnbhZ9yy0NDa5hSbo
Tm2n2qvGXneF1ZGXUg5b/AHrg5uJhBCa6OgHvFwulKLmQBi7YxhKtz700X3cb+C0tkwsIo20Zion
HUw4KbRT7uPXjP/VWZ3LByDBABxymTY1EVvpXUNYCKoiUJQ49VO6RYOwujpnJuab6+wYIWVSkp4n
PGQMVTIzTEEhRenPJP+pblFrrplCww66M4EjASx8ntAzU1WEdsGiiaqwTxxocRaPUcl8pClat5DG
u1qaxl+4OnSKINmBJ+c1p5xeEaUwIM8ZakzdpUmKp0aCnqStF9naRjg3s3ANI1y2mlgYF9F+Zgwc
EvUPU/tskw0O0bmNhXMoJaQgGkDmQwKe/lbjvlmEqagBZI53dItW7CpaWRhbuFaCQjIIBTEgB2tj
NF+BuvUFsvZQq/+8U8XrGTlbUItcMyFAlxUwfiVmoVaZD0SPT3qSbJhYWxy8k0H0gX9IsS4mzkIz
Uhan2AO5w1x9epbka+9sRHdrd8O5jcV8oT+QRLowq7Acfd64sfoX+/j8+4uDY07gcEhUfB86d2jZ
gS6yQAOfcXd7MdZWfabUBZAN/eRXfa4CubWa0rEM1VE7EOO56VA6L38wbXfbzupsAU0GOC4FzdPS
DbRRmiIzmZdhRF5S8y7aSqOujgNPbvTmoz0efvPSzejl0DppS8tQkYcOkWmfMOQSDj9vj2L27stA
kM59JqC4nlu2F1aMZIxHizMWEoDzE37s5T96fS8S4VvArBntVuD5B/92ZRBRBhKpYC26opBlulU0
DS1YOGamfLCIKb2MNEjCjCo5ZHZtHKkQb5FSsx3XQG0W6zTbiaFX0A3Celet6QRSSr1xtRSJ+FRz
2H2Ehn//9rSsHTegEjRApAFqv6LAtAQdoJHpwOVWX3ONu5J+0/rPVu7hns5tLPwt7blCVIVUoaKF
pH5u0LpBtmTJV5f3bBwLtyHRyRKXqCyErcPvQdbxYunyjWn6fZ1xPA/Rz2RkW/IMW3O3cCOlqoli
sDF3zbfSempKX9SfhefPMzcjYoFLQs5y6QyB8JSWWjsI+Vjp1eIuEd8r9AL/xRY4M7IYxogOEWua
IhaKinsGSd3aRNYte/0LK4juUDgD9umqimERVYCBjGKB2EMyyIPULE/Fk+a2lbWQBcHXXLdWQbax
5EtAv7TeA26DGE+gnTF9jdihdBpwGrwmxc/bpuZpWZ7vc1OzWzuLjjJAYVTaI9Ybx6+DeNI3Pr+2
ueDagU9WAI2HwMzl563KLKw80lnYxcUptrW9OsR3JLE3gLSrowD8F1P1R4Rn/hlno7CiOuVUSJxN
dLW4IL8C8NH+fnum1hYFVHdQdkJEBDD0wvVyQABU0FmxEN6r7PZOsleSg869YUt1eWXOHLQhgUMH
2YTZ614OpmFxFRHdysO8+1FkUEvY59bGsszpksWqg2ERARAoKvEOW75THJYR5FtJHkJ3fYiOHXU8
gDm9obpLeYLGz+d62vABK9fjhcXFsyXP8RjMsQmwz0Y31x/rGC1kkiIbtSU5uDZ9YM1Aq8xMy3Ll
bZJUlEqaO3nYkdIds32T1m5pb8R3q8MBLZAzx/jKVVOkXpaJtJqkCLX4m1nyQ06PWdv5KttqSVsd
DZT7KJhAHDRSzzv/bGf3TV0J1mMzGOTdotJV7W/dViv9qg0gGsHtqc9ymYtbJ0aFOZYJ1qbS0MLn
68mzMvy6fXjW5mt+8ENzArW4q+wMZXVq241RIG0CMqi8cxV19JUcYdK0cUzpii+A/i9STED1G6CR
XaQKSdYJ2fRNEYIUoA1q2v9Tl1HFPFPPygxVFxJEVfScFumehFls7ElhopkVaZwo4eTYSbX8ZqlK
vnM6kEnVPKN4n8rqWxlN6XGQWv670JN670jNecxpo98LEU8HW5JmZ3Kz9S2idUfgLcYwannlNsMw
HnJiZD42kgibIhsexUBSv1EG7ScrOvJAuQr+dNnqzg+F98joa5Xd+3rfa76U9fC7M7LG0/k0/IIo
QfoWl2b2I2bMOULuUL03WYlabV+Ig23Yb5mohMtiAB5SQuVBYYmxB91150FkVuL1i05kNTLyY5Gn
1a9er9IdQVXZjSnN96hlk8PtZV/xmTiEAECjORrd60tKagD0AdPNtTycptdMeODUrMDlfNvG6tbC
WZ9VpvGgW2Id28zIizTpcN5RTSHu00iA+tgYx+qewgBmbLWJPuiF72eysPS6gI2St7snpWp2nx0D
0MSYX/ShAFuLI3J5yimtSWW0OOWQRPwlTXXXNcX7kKinEqj026auhwI+SHTfgVYLlzKwP5emTDaK
VPAcpg4ouJOttNt1vxCYzdArBA5qiAjiIbQYCmMqOvvUHlPVp1BFB0LarWupg8lC7OXQ3cdsfBgb
5Z8psk9FLg+azr4paAy/PcrrTTH/CjDsIg8H0oZlY5SSV41SWth4EAQLxzQ7KgJJBZO1R9vcgpFe
B+2XtrTFjEJ2VDdTPQ972eyh1+dTeZfLbs+bF7uxH7OtK2F1BZFdQvVf+0M6dmlv6BvLwGMEMyyi
PY/Vk9Dop/c7hvSndxL9qkC6L0IQNW+czkY2M8wVuKP4V1ty7/YCrQ4Cbed4UwIloS2BEiIhVQrl
hSwEASkFDOjT9zM6UlCQnEl8wZy2ZFuPSaMxU4xZWCb9c1E4OzXLUQOzstfGtjaCz7W9Bj5s5DBw
PYM2dr5ez67oAU3QuVNHWRiZcniQAg/gxmpB0GEBr5U4NQ9vT931dY2xIYmB15SKoS2fU7mAepsz
ZNjb2iG3d0QgFbe/bWJtdcB1Oadj8Mi56jmmPTonmcVgYoytfWxpfNdr0Rb3wPXtgIEgzkTzAli3
8XC/nDhWqACE9VUeFpW2U8qvZv0dfLRAluA+2oICr9oCJGxuxVlp52q7hgIFkOTIaZfilSKv6Zl4
baOWpkfRQZkc60UTxqe5C+AMkXv+j9WFa3AQeKhRiaXqkvE4RxAe1XvVU2z904wgs6WZngixKJpz
lumtuJjyvM3iPDTZRzW2bja8aHSjG2tl42G7AfmDxlrM4nLjDaOtT03ipGGKd5yEpFel+cZWZWBl
610Ymf9+dppie0ANMoORElwttZ8h8XF7b6+OYiZasFVImiBXd2lAmZhS8L7OQj7UPgjz3/lUPIIB
cePBszYOSFeALYyiFnDN6KCCVC0tNIzjq9a+kfTL7VGsfh5MBI4FBzBzOVyOwtZEh6Aan49I7tGj
ljsbccLaRY7XJ1YazWSz9ODiIh+nskVf0ZiGQHtMp0IjXyBwUQL3UwJ7VCN8t0b2vSGm+UjFIHYV
MEb3NivoiYtM/bT4BGCPgNUh6YnXAwa8+DEVmWrQgBhpOGrEF6N4TIbo7faMrlzjIGlBSXJOI17X
iaahUeuJYOMV+ldKE79QjEPSnurM8dVE87m+sYJr+xAPcGe+/2Z2ncWQEk4LUVllFmZR81KazZNT
p8duiL/dHtbK7QSIoII4B5WOlWpUNE59x/U0bKLmGAvln4RFd44cw7Q3Pm6bWh2RM7+54MBQbluM
yG7TymSpnYZW7VsKkBBP0Ne4bWJ125+ZmP9+5h3qOQ5XOBZJDCrzJ0iJejQrtvb+lpWFi2hA9KXE
tQVHlx81/ckcjv/bKOY1OxtF2YmGtVA7CaVV+vrM8cnijaBkbQhYdfQvA5WCrsDFK7g1dRHh3Qv3
U+3Kxt+62Fau07lvHhldODe87Rafj3XgGfHeRJ6tO2r0QbO/OOm7Mj5YW5DktXGAThovFUQJ1wlX
JEmzbuzyJASp/F44zk4Hle/nVwOvVFS6MZTrXI5Z550zPyHD5JWhw/D7//b1xVoXzpTSOMXXgaxn
1andyhb+SQde5vLQf3328+elOttMDW+nwmznn6/WPivBrgqiKJJNO1aMzzQhk1v2469JdI+xMb5x
vpUXXbsoAH2yIHKG3QbOtcVegM8vuqmv4zDOtWdTBLz7XpH+q1aAtrRLCy/TzUPVqTtdzfY0Vr/k
6l+c1/NfsMTrAeMZ1UaFX9BSI1BY9CZS5+72Mq74NjCYor6EPQJVg6VmY0yNehgaLQ4V5zQSQDTD
yfl8XA8TloEEHBINgJBfLmRi09oqdBqHqblvy3up35Nod3sU62ul4fUwSzSjnDWDvM82C03NvNcN
JQ7BiFN9aJaofUClxZHYHVrkDCc+GCZyRAwoam9wkJZKasNxrSkmd7nebKU9VicVNzuqv/MLYPkI
HDjTGgUo4bBTg6L8hkYDCPxsjHge0eJ4QP4OKW7QQOiIixfHg5WKQGRcpSH87U8ULX9AJcvLu19d
3e9VWj70VfOm5xoaM7toqw13xXkhOYyY5Y/q+VVzSGcnWa7n6HSB6os3vss02bgOVyfwzMAiCiTN
JI0pspIQyulqfko5ypIbbVWrY4BqAHAgQNVdhcu9MkSq0nIEmrLeDZ3qlvXr7SVat4DqCdQFUSNY
BpqgVKu6FnD0MM7Qi5rrowL8drmFytmyMv/9bOd3maFXfIAViN27BjAsfa1thMwrESQ4TkEch0Qh
SubL96wDsjzHasoUSe66Hd10QtSfSdE8SJmge5ar07OjxJqvg2xrw/RKlIdLftZJwrPmujgFWerM
ARg8RWW6v4fgxn1hy1dtEG/xZGxsiNU9d2ZqseeiEXjXqoUpgOgiV/QJf9JA8uzZSra1vVfXDKTU
IFxG2Q1y1ZdrJk2mk6xC1I+uwepL3m2EYWuThvYAANYthDBXzUFRCtJ4BxxQ4aQfCqgF2PpJLXqv
bun+9g7fMqRdjkNXpNEwG4aa4i3qjQfSvnTVeFds0uCvTRhoHCF6D8ZtvDsX7j0asy6rGEnCqDg0
2nHagECsfh4gXuQYHAQdyyfLBHnJEhSjCeAJT8NbVP/FBYjiKjAcSEsjm7/YWSgbcTWbeBL2phr7
loz52xibw4k20thwnKsXIcilICuLo4o8wOKtwifeZnzUknBqSedFFbCBY543T1bUjdzVM9VN0LA+
0tRHikr4ZsZjj+cK/aUPvbORKlg7UXjdIqhAtX8GsFxuj7zKhKlGdhzS0X5Qi9QtROQnxeEvNiFY
cdFKPmdwlmFaUvIKynZVEiqs+2Fn7DBJ51deo+TVtX8zIEizAG4FPUdw1F4OiOFO/H+kfdeO5DgS
7RcJkDevUrryynLT3S9CW8qQ8v7r72Hj3plMJpG8VYudXSxQGEXSBYMRJ85xJj9Pj0YRjNupWeqn
AQQBt1MzDQrHJ/O5PMuL+51rXYn8XYs2jM2SYR1Td5ifOgqYDIjynM5dNmQ2zIeWNGhTaptF8WiQ
biD0/IMMB4VZXrk5H2OAXqRGz+cUwKgyrtNgQ1sn7OkSLnW96VEIpN5II68LAlBE95sJtYFksT4O
1eWdgGg+R84M2ASxqzZPK79ea8rw5EZXrZWG5GujenPLvNeJDbHRvU5aLzF92JiHfTWNoYMGXne5
saZccShl7gUQEZ1D9KD3J1YLTX+YjKI0USQuDp4deezl4ycANBCAtEBvC20CgnfMc31p0UTLjjQd
913zBUXD0Ojfzf4TNyRoV9AlyblcIYJ1vjWIWWjLCOK8o5WuYYLiK+DTGvA7Hx8NngnwYRB+RSZQ
8GCORUoSFCM7tiDgQE+gf9MDNqsi/pEt/qkVvmYnYVM+V21pWRM7Tu0StiB8pvP3PEVfmvbrE8NB
toILymPmxNfPqNtlyYhOj7m18dqoD8Kk+r70s2LWZL4WOQv+kkOO6iJxkQCD0LpNR4+Dga7FoGWP
ldV/G5xC8e6Q2YENdM8jhYqHk/DsyLPZQrPRAEzF2uE9ZZEGIn/VfmXd2/V5kzqiU0vCbgNgYWwD
Y6ZHcNnsyrkIc92/n7QgLKhzk2WQmiX6bl39F5BihTXN3uzKUBws2cHlCUYcLdAmgaf5fJOQLu8M
ja706Pn9N7DYxlWqAjtf8o6B3AolB/DTAhQFZJxwSRq1M5dLVrJj0DivdrNuijXbTA1X0q3AvIK2
JWqjgXaa7y0AcYo5uGVVfjN35ub6fEsXFtE9iqJoErjMduSryYKsZcfKbHq0HkKfevBT9M9+oqKD
8i4K6Rw6hxhF8FYFK9CwPMBbTXORv5ZORnZjPaBLt6bkE+l12AJHDiwhNBBv0WJtSe/2mFyj2weP
Pf1E3Hj6eWGLssQDQdyMG2Q03HAifjj8c31R+GkSH/koVCOVznnZcL7PN2CbD+5YmoQdSb3+8urb
wI00Vt5aq7Odun573Zh0B4AvA1EqUBQX2AKIV/WzEQBs6PlPaC0J9e6Jeo7CTxlyKwjWENmAv0Bk
ye2GLKAN68pjb+s0DKr1yUn8PaTGdjYZd5A62tbhEoKb1DY35qo9VKnxlFTpoRsmFbMOT+CJs8sp
bTmoDnGqqA82p249DT1DBw1F6wwgMn2UWmu9M8BiufG8kUUlgbT9UAZvnuGpPLZsbVFGM0HkAfDl
RQKCJclESqMpjz7tD8FifG0q9EkveCxs58b7M4Dv4BMLzFlv/6JJAfYRbtZcnyAngmLGcdHuOeAH
JIe2+f36JpLdq6CeNbguGjADojur3ZX044w5tfy9WWyNdAcONWv8RNaSZ2QDROEmzAhBqkcCLaWN
zY4oIO6bnu0n3XhcaabwibIgHJwXiK1A+g55FPP8+IHdB4F+ELAjM74Gbhol5LeOltzU+zK4LByM
RXE4ZPfNqT1hgWxrzFMQG8FdUWgL/THR+Xt9dWQGeEEABDI+p9EUDFQjTn/jFDxKuMnInRN/4vPA
b3gI3v0AN+f5fDHmj3jM+AWi9glca21YN2v0P5kQU+LIta8F8YHwLdOe3SxzQx/NlCj7svklJLoG
xGporUMBAK5QCHPga5ZWb4GzcjIQayzJnB20TGORY4/TYS6SYg/CU+Om6WkCCE5m70pInKqwRDJX
ibQ5SrdIJcNTCj+CjM1Ae3dErKWtEUA3X4p1PpR0/sSUIp4D0SZQ5ihICZsCrPWZsTLeAZck0YJ8
wKTKSsi23akF/veTYHshXZnSHBYQ/YLLoXd2H98UqKKj6Y2L1ECL4Pz7TtL5KZg86XH1H+hmmBXv
Htk9gYI271NGjf5Co4ha1Zh3NWLr0b738z6EEGQ0AumCmynV7oPcjBxDMSKZGz01KTg4gkA/qwKA
fXvQLvnVHLH2xkQVzxoP16dOGn+eWhI22Wr3gNqxHo/TzDuU4B4tbXc7sHw3ZM7t5FZlSD1y63dL
GGj9P2Xpbkpfex2SXJF4kO4RBMAIo3ElXtCcecQbSTXhYWHP3VtAp1sg0RVjlZlAKwXKQwg7uUCk
sE0aza1qBggnWr/SVz9hyZ3vjfP79RmVXRpgAuBBG3r20Vl1bmWsgJlZ/LU4zu68ScmbnSP7+lA5
9z0E3Tzt+bo1/jXRUSFcQy4KIgcemGzPrYH/nHQzA6LNciFCVo/BgVHwgRUUdCnWXUBH1fNcVpdF
MuM/i8JhC7QO9fMc6LYl7x7GmqVRqbe3y7iiK4ENd3NDwMHjhksL0W+I/jah10+b64OWLuTJT+CO
88SfmGxZ12xlxbEDo4+1SZnikSv/PuJgA3UPByih8+87o+UngdHgHiPPJv25arXiHpZ5dvSp/GvA
FAz0Ra/lLVYtY0sC+G55M+j0p2WrWB1kbgRdh8AYgWmTk/+e26EzqkOpBpweQY9f6KzDswGGIqug
3+3MUSyKdEwA4oA1Dkf4IjPgl6k3oI2wOCJ19OAt9mtms41nlb+ur710w5+Y4cfvZO2L2V+Y22Hq
HDcJU5BGEVCjNETbFkUZMtXzXDUoIaIx9FKbHRuDql1jk/ZpWKdNmLnfro/puhVHF5ZpgIdltMJ+
1sY7n+z09qnyPo5xxH77f6sDGofzaQONwP814bUHc9p3v0xVRk3q904sCHu6blnbe9wTUWu4n1Pj
KwPMsWUO+sqSJ49ML52pauOXb2/0LwBagAeymJ8BaVvt58FcHNsAC7OHVHnqht0nQOOoogHMzSXp
8NwQXCzqLJPmN8ClB9qXIvarf64vvnQQ6L5AjtDjjWvCyiSdMwRVWhfHsTaRt03GG6I7h3lA801b
Kt5NKlvCGs1lDw2hpYNjsyJzPthTODnbZlWUSaRH9GREwoQ1qQ/oKcOIvCTIwyadN31r34/QxClw
5Y7Lqno3SYeFxDqwH4CwoEx8vrmZ34NurkWjVzreUt7MskStpyGl+5l7wYFcA2/GhBIYP8cnvodY
Ve+aDaNHf74xsgONru8EqRtAZwlvXARbu8evpZPPe4WLFpMUz6c2+K5rz1b9c8zfr5uQzpSHNxj+
Y0LETFgaiAd1A80wgp5Fq3OT03BkB7TcX7civT8hJoZeRYPrWwjzVBGLjoSvR8/Ib1bp20pzfl43
IR0I5LaQRETXKtIo53OlJVmQFV5Oj8USVU5EwO2N0qbqvSzxacj8gvpA5xJSF0TbwO8nuoZY92gM
zQ1Ga4agVmzDZnKeu9l/8ErtfclXFTmB5L1xZpWP/WQfVACeuR4B5h2YpUc0w93CeUS2M7x05frH
nLXvWj3sqlTVtiDZfjbKmkjcIOpB/kZYtbJ2ppH66KDy/bu2LsKO3LmAul1fN6kR/owCeBclW5H4
iQDr7DAfD+vG2q/roxY8Ztn+ugnJ7sOrnWPgsfu4itT59NX9QMu6dXERgfkyGpePb+6zzwun1C/L
ujATfB6K3Au5bbyPOxnoF2L+ObAZsE3BmfWQ26OlDfx0j+ayJSoVgYBsdk4/L8RPQ91pHVgw8yNh
W5q/gXVDscKSk2kjv4/nONBCSCUL2wjN8IkZ5AC34J2OpysBv056WDK8DhoVn4DUFLD8PJXl2heZ
i4zNdWN6wJ94dho2Jdl05h99JuEMMv/re0rmCACkwblAaAuAoRAHJgX4+cp0yADhQKM8dQ96D36n
JUBlsgYFa57t86l7v25TdlRwsjE01J4uq08rtUbk0IFQM3MKVRbzburat2lRXZ6yDeGAQgopbBeu
TrwSDLOqfTvLAdpujmR9tD5+XNAcjXZlZFAhRCYyFY9rZtblYM5Hs935XzNV0UL2HD37vnARMEg+
eI0G3L/m3BSOs6vtx9mMutYPDXY7Bq+k/bKyLLLszfXVkQQ5aINBFh0QT6ShxVQqK4MavWoWVG9H
GjrTT2rdMe1mKg81UQRtkr2HChYyPjwTyYl+zv2Zx0ar1AmZQDNy1Ia7JS8gpfvNhM7g8o9eNYr1
kuw6WAPIBR4a0ZRYn7EYzZZRs8Yjg3SFlrtxVzpvWa9SN5bsOuxpwI7xNuWEEMKyzY2zOtrYj3DS
Y7ik78En+pTODAi3QBD05tKMA1rTq3CodvaqWH/JPJ19nw/w5JLu0DaNZDC+77MfRNvM+tYjv65v
McnCn5kQPGme+IyAS5UP4VWfMog593A1j65Ot355V5e6YkiSLX1mT4g7wNybTg6UmvHQ8cLFROYP
kTp+wa7o4/bDMhDAwuEZCvQjaiu4poU3bxYMEwXl33jM2xdnb4yvH5+7088Lh2YYdDthHj6/0JAV
+7zfBMNj50Rdum8+Tv3Ih4KuFM4HA1lWYZ1I4LDOb6rxaE2PRs82zfpOTFXhQ3LX+RxHh6AG5HsX
YDqTgTbLbs3hmLibsQIVkO2Eg5+Eiz99PH7y8QgBeBRX62WFVvOL3NRrMhzTtAwz++equNf4yRBS
lqffF1e+LrUR7bd0OPZxZ2yKSrGLZQfz5OdbwspPVs0K0uPnW4CJQFN4vu0aRYgmWQu07gAbB0ps
VIlE2oSum/XeI7Q/gqcCdwu1DtX6yFT4NAlHmQ8zKDv4gPXgqhdc2FJQZhjM7I++DYr4aQ6T5kuZ
/EjM94m+FW34nh6QaPXi9LfmR6kLqvfIUSmCXA4V7zhIDIHFAVlfcCadu7m6C1JgAtL+aOM3UPsm
B3F8/72qPhyVBhaS5bjJLRShLgC++A0V1UjQ4bh6YVMhx6ZqlL7cdecWhG0xm3UVNNxCCnblPqwL
xbaTft/kbWNAnOBRKkSIWuk1lZ6b3TF7r7Tfc/X9uj+73NX4+Zibv3vhMggwG9qOtZ73CAYPdhZV
NGLjR889Hp1A/gAmw2sjF10dkIhbAGdptNjdB6CrZ2OqCKIvpogbCPDABCcP740X/GSdEB0MokUS
0/uKgA1G8fmLKRI+L2zVpinZMjr4PKEbNCmHufaLOIpYTDUEfoWe3vooihV9kidxArZdp4WumqmI
v2QW0BeAQ4+kI6DogoXA6gioO4cgrpbvib9l6YeFFTFNpwaEB6CLXg5mBn0QJ22l79qOVCFU9ez7
GnU5xWzJVoRD9k30inMIk3DmSkub8wZly9g2HiAZEjXANUwfBu9jPB7HeAHrgbycqKUK8H5qk6bW
YmgwpdvBGKs7Wmql4nDIhoL0LBg20WKPXSz44pEVxTChtnX0h/mIfrI7b7L2Rkc3HzzmGIwPTiwd
WkJw+KKZLEAafcrMJEYyEArf0yNAO2FQOopNduHVuRnIt6L5hJcpL06iWXsaZDOS2JpbxJJT5PTZ
I3h8ojUvD9dHJNvPoBREJzgExYCBFrYbbamdjEVAjmVZ6i9UJ/abkwQq0mCVFcH7WlDrY9OYpkdw
hf60up+fGMNf74t+80vhJXtqFrcxWnLMl9nfBqPnblaQ2W2vW5EtSgD0gsv50IELE7ZYYGRL0XsO
OQbmH3f8UfVfa/3bXP74sBUkTbmwE154IOETrNDFGfLep+jd8zhnVgSpmNB2qv8PAa6L5wvPJp5Y
4mt24iuHbIUIOJqnjl2a3KN/7DiaSx46I9ponWyXm94Lq81fnxgd6u5o2QX3DnDK5zanLHdN0MiQ
42KSKEN6u3D2+vKQeZniBF3Ck/noTiwJ+7r2V6MzW48c+7lA61vg8oZgt952tua8ZJo5hd1S51Fm
lGCW1Z36rqohh0ppY22RgYdo0ycGzsXBeOv6pXxxkBclS/WOHKsANBblM3h0Q8v+agV/rtuR+EGu
PIPmF9BsAXAgTLDRL1CEdHpyhNAziayMGXszGEhU1lm/u26Kn9mzdwKf4RNTwgz3FKRoY72Q47qM
sbYsZQS+sjw00Z1H2zVaWRCu67QBxEGB95FuXB+BPd5b4PQXjwiDeJE52ZoWFw4j4ZrVf5A15+nM
pyR13vVl+AZtJlUfp3RiATdDsd5EBVhsEpmbvGSTXaNL2mr2bKpBHNRsEo993MkAM4mEHF4UPl6R
wvrVlcXsxk3JkYIIJVqXzngsFqPZDs2yRAXLfMW9KVtEXthETQG8aQCpnB/IoJl1hH1wap6Xd7cM
z070yi/V4zg8aPM2b7alAWZTY65UXBSy+cSVw2HG4NVAZHBuuARrqplSgxytMtmnS1aEjbtubZso
JlRuB6/+v2ZcMd2d+MWEsBkex3R2KNe0w49ehdGSXAwYyH8m+N9PHCniMlTaCpIemxbqC+Rn5z0E
zn0RvF4/b5I79MyMsDV6ZB20udYQ4qRaF860+D4WKmCldLY4coevCGBYQkRIfX2yRh8tgb3fb1fv
oQWSHdpdCucsHcmJFfN8wpqGDsMCPPvRqtolRhcAvSl9INqvz5dqLMLW7hJjrcFZhrGgXwkaY/p2
rPBI7lEduG5IPhzgj+HdUdwWU7I2mDiRLuXrPwfHSUe2LO0ULk82FrT0A30HwgL3IrxtUEpdO7Sp
x34NmnGjK9k2nZYnbzb1T6wNwMGoofOxIMN8vjauV/spBATwCCTpC7PdeCGmwudIBwN2As7xB1i/
GESnw+oQra+SmLVLsOns5ddkLeQO1H8qoJjsZOI54HEKF2jZiLdhwek5zDpN4q6jTWSZrbOvDBIh
Fq0jl/oq3SvZwBBJAIoOgDUuemHHtTMdraGF827nXc8aKIscRlQDru82lRG+G0+8zWprvbU0/IZA
q5X7WLQPxai42WUm0OkERjeb14TES8iaq8JdjAw+M9m635Ni5/z++BhODQihw4K3FTo/CTkO6LuM
WNI1W3t2Z0gClv72fzMl3DPeohVOUmEsOpylR8Ez8luvbj5hA+cSgH2T07Ty+TxZEjaVjlk1CEhS
3Nb0zuyO3ScSGzze+deEcMfUI7QL19oFiXCgR/mADBNRoIJkZ+XUgnC9uKQ1TDJjEGuxmycjytZ6
WyZlZM0KdykLOU4NCYu/+utqmg0WH5xBVXFbj48Bve2s0Pah5oh/PuHQoJL7F6GPHF0gzFxp+Sg3
axgXC6um3OSzKicgc/8grMTbmfu0i65zM9HatUE7f8yqX0b9U1X/lR1GeH2Q//OM00VEOA3OaOMa
Ri6g1jbJaj7S/q2CrOX1LcwnXQzmwZ+Gtj+kkvFMEbbwgBXvs6xETF3WbAwTqrv7RrP6sOo14zBP
6bKn2TihZWTy2Ueh5YiqgTjhOq/A8uL/nh8fp9Bpb7hUi+0CzwajCp1cseWkc4iXewAIELpfxGCz
yHHTTW2hxbUHpZQZGsC3NK+sA4OYn8J3yo4R12DiwmmIqh3B37h9VpdjvWqxMzubSf9iu+MmK77i
/CpWTLrtwIaBiwZPhQst3q6vVr/Jse2sdOuNm1SFF1Z9Xzg3UH1NW0Z6LQ7IvYcO1+bt+o5TfV/w
N1btIAbw+LGZoPCTgyv/63UDhnRPn8yQ4GjaBJKtHbeQ+RDLCI0szN+1n9ZR+2n8/e+obTQ7bP9Y
6GjMwsQ6JC/Xf4F02wUmsGn8lXqhqKBl/mJlyQinPWxTGs0QuSsV201iAulOH/gDJAxBjioE7OZq
zCDdgrDFAtp2bV2iZLWequnX9YHwtRC8w5kV8/yETuDd0Rdb89Bgbb2zgO2qmcRZgCoHYdNvO5sU
e1tqj/dbI8EAjyo2qjU66FBat/Khbp7sgqE6gBMakqsg+plb68aEDLXCoGQz4gEM1SkPjcjIIwub
0fE0q0zT1o+9fPq+BGyjL80/1+dQtlKAiAC5h8AaGD7ByzXw472/Vl7sJQ9m+gJxrrFRFKFk04ab
iAfVgKJc4K26ZFqXvMyD2NWqPCyp8ailIIQabPaP4yUjEk65IvL5W18Ud8apST6xJ6FPZ1oNRFCy
IJ6Gaa/Rbk+capsy/3EC7NJI0WuS+/s079+HsXvS13k71fTZXdL73KQ3TtregHdHceH/7TG8+E0W
6vCQjQIplrh7ujldLYgZ4cacyEutZceJFdt8ZLd9sm7qKfk1Q6gAeLQJkhMq4RmJz0GfHuJmtHEi
eBZvmhmmEmAqgthCb+DedpM+6k1a78GOFETdlE2vdZr/AHWoSofoEmgFPkwHX0ZrJ6y74sWT08L3
3UQLYqMc7PsVSczD3DH9IWs0535snHxfzUV6P7Rz/czAhL/tgW27QWvZ7+v7XOZ2IUKPVBLSSpwG
X3AWs+tlfdaizudmEN1oi84OyVpP90W+GIfMK8ZvrKFA0huTeU+GfNr4Fku2mDkockP17zXpzGpD
qryMknpu9gbWcg7TVmseQLVYfLn+a6XrdfJjhVM5GDVYRrIkiAHqSKFsVi9hhTj7rV/ACVf3brqf
Ot3ZBGmlWjCZPzidJuHkGM2EtMGQJXG/WBs/vaWgDtJUVW9JNHK2FvxHnBzPGXTFLp1hhNHQM7ep
v6vGaPUUTweZ9wQqwOX4AMRyYgKk8CDlPqUkiFvL3gVju5szVV5UPlv/mhBBKRPwLiUCYD+e1uKd
AddtAOE7Tco4WGbHBb4OhR60rIBE53zCysnXXLdPg3gkz+AXCZvZ3pHh9/VNJ5svXALglAYoljfH
nBvJzcGmqwGnWeaoAhSgAAuer1uQrfupBWFzuWunm0kBC9V6qP1D4/5gPy1LcWnKzg6kJnHKkfry
LqCjXlCWTksDH9SnHnQ2gNsIvhnDLxCVbHFeIi/bXh+UdNpANI/2dbR34KlyPm2JUVK9yowgbqzb
qdwBcXv9+9K1Rz7K4ZIooBUQYqk8sJMkn/QgplBj2YImu0ZE1aJbE30MqjuKL7F4RwFm/68twUky
pMBqKGkG8Wz7v500uAf734MdLA8VqwHicY5Tl313EzOcKv3QOcFmGc149kxF+CjdJ6AKAswTMjlI
Wp1P6Zh22tItC3YiRHna0KaW87PC+yg03HL9vkL6WxEwqAwKgVaet/YaOCs25ttq0bCyv2d62Byu
L+TfWOpidsE+jpqGyym3BPBiSbK+yCHGFXeDN92gOeR9rU0jAk8AfRgLWm31rlg2beM6b25CrRsK
XWAQ/4EhYEQDRJylYwn9O388pCsb9nbdtLvOGsbIKYMpCgAs3U1FmmyqsTHvuxQIVhQ5UsUgZMEc
xxJCKZazvYkhad5rS9+uXhIXVr633IPjHCCZvW3R8kHHzfUJk63KqS1+0k+uCWPKGjQeBIDmVF79
7Bs0OQwLSX/5adVH9dgkCs8hO8keMtloJket60KfSatGkDKYLInnaWd8qwvFQZZ+nhMyoOsAhCpi
EOZoNS2rDiggv7hzY6OIr8+WrLZsAgkH4UuESIADCI7C72YDjdV2EmsZWV7cqi/uFw+i5RPis8hq
0+/jmrgP2uJ4se+V/o9F03USMt0YjyDeV3GwSkcLhWnwK6I+gAfT+eL1JCnXhtcGrHSjO1GhKTaH
zM3jRYHGN1DxAuEq3FarX+W906TIbmrVtyaZ3su63PYVhJkhdBS2rP6TJSr0vtQmCtgu2gV5kCRk
UbzRLPu6x4actPu03Qz2P3XDIm3E4/N7o39YNRmhM/hrdZR2kRyC9OH5DNYopRAPZFGxtcar+TNH
NgItUIpplC7TiRHB4+uVq2Wd4yexDvq/KmWhqjAgM+AD/wSZYWQLAR85H0WZT701ZIj1lq1h3fgq
RmvV5/nfT3zEYAyQoixwqNLZ+uNn3hPKdpvrB0t2AZ+OgP/9xASYzvOEEZhYjKfAuSXT3h4UZ1c1
CuHC84IiXWsDk9Q96uNLmyo+rxqBcL2RwcpyzyNwbLp+S7rk21rqj57uKzKmKjOCv06TsnMWAjNZ
uU+sTTJEs0reTmoCHgVlICh+XaSdg660SjJ6Qbz4G187jD4KdYpYQLoWJyaEUZRo1ey7DiZSvLIs
QHEUt4zsVkP9ChdMYIFUSYznWOHm8zyOcCL6PiEoMeza9VtDFdBoqRVwXKEpk4vPiaybUHcMSk9v
cBkMUfoE/vDuhamY0KSPe0A0/zUi+MMBvhDaAnUSt2X5mNp12EDLdJznF8Tmfdj4eEMMK/s9rPOG
DF1Ea+P5+tGURSMnP0C8ZGaere1b/ABWIrNEmru5dO6n0nqhZN6gBfgTxXvwIbgIEEBEiHELriAv
urkA724Q9xm0OvcgWLI0xfaQbj9w6EIeGLQ2gIece5siQFdIRfD0b1NvR0H+sridwoTsGkNLIrJQ
XIwL6cxzEyvEx+caL8CYlq37jaQdfUXx2NzpXm/ckgHM4khJ5puxQVfv9fXiG0KMgDFzuNM4qSmS
t+eWLerlLPXh58ox/4LS3tEGv2k9oymtqLbBwsxI89aw7FQ0QdLT4HINPzBHQmdPCEa63lotb1gB
HyiW8UA1C2EC4mowWmt6hIx8u7s+Tqk99Pdxgk7I7Yn0rUaPWCzPkOvLrFeS/UmDR0pe2/rtuhXZ
7g8sXtNHhIB2c+H4eQhXKZ1MPwa0bmsg9Jmqp6l6yxtUFQxF8KqwJWY6RuT4cy23kPseflDyNplh
jUwUqG+n5uv1UckOwMmoxN1pEn2ChBYsjebG8KNW8cZVfd4834LF1Lpaj7RBnPvfp+bLhxtXEbSB
ew2PO9xQiBCF20MrKFKhiYuMUBGSIhw/LHcpfF9Y87HXrNXU8H2j/JKAuynLVRU22RX73wiQbjqf
IGL4ZJpq34/d6tFy906y1ZOb60ssvThObQh+oJ09C+9InqPRyU1VGBsz62/xbHrrKu3ZD6Y7w2bP
RjG6m6o3v+iliqGBz5Loh07tC5ug7SzUdnFzxmNfh9R/Y+s+aL1wHB/rJg3T6Tgtv64P+e+1fmES
aX+0+iEHjQzb+bQm8AZZX1I/1vQmG/d1i448Uq3Z89Am9q8Az84nIx+Rga6zJH3ovWXdd22SoyhT
DCGp0y/jMhUH9Bk0Ty6S5duxztcnliZgC6PpPxV06PZa5bbI1Ezzx2MJFHId0MpDRxo3hrCnmT/Y
7pLYeDZOSKixx22F//FUID/JwUR1mjd+8L7oi7ydvuSWMaaGF0+RTr749KNsSZhyfBd5eQwFp1OI
gdfWXcD3gpJkTeoXJ8u+L47ehZ3ODtcXWjIMEwz4/64z//vJa6HtKjT6rbkfO8PtBEXvRHG1SB0x
OuJ5Tye6CkTw2NgEbUM8wr/f7FAA3U+JFa7V3gYZLbizFKGCdDQn1oSlxxMaOJKx8OOC3UKWGGRZ
n5gtkG6AtB2tpxckiWllNcZISz9uAusmabs3kKj9vG5Cdhfj4fmvCf73kwXpzKVtoV7nx3ZSh+BL
Q2IrspO7fn69bkfqN5F34SlgUCKI9T3UjKoUsg6wo3l5RF1H27d5OW/rQKMK/yndA+hWgDwGNgC6
ZM6HlFu4Btoc7tOsu4d6YDskQ25Hmj6vC70Z5w9TWfE7B0TSiNkgfQk1w3NzRNMsmoIDHJnemzY/
KJ8R/N+/cI1ID4B9BTl0+Jjz7ztaqztZ3yLkHZbi94KacFR5LKDhrE/a3ugD83ZFmWUFihkbEP1n
2Cr56Lphk4NMN+1qLQR3kK6IeKTrCcgxulcd/DRHOMhUqzoX6sUBci/2DjooO7fetCoiRun5Cjze
WQcXC+GC86FrHslBF0+D2POH8LGvh4+fL9zgHImDtBV6cYVwgdn92Ogtgin9Ww5gkYrOQHaRgz0L
9N/wq6ClFrGldVWanbEGuBqM+cnJ018W6Ptcmm/8THtNKdDTHuu2pjc+N6V1X60qvgZZVR34MEi4
oGxlemhzP59Acyzmpq5cYEBcP/SsB4vmUde/gC8e2Opx1zhg5y69SPeO10+7xKuc2RUiiNWcSa1R
qGdX3vIjqJYvteEfZhuMUr2Vq1pgpcZQN4CYERfSEJ+5aLCYq8UD0KW3e/cmzZc2XNM12dje9B7M
uatwL38fDsKBBGRQBwUklwe5UIkjjTl4g8fgytDE/eo4KXmi5mA8e8wy/mRr0G/02lweZ5rUG85a
ulsr02xDaA1mDyi/Y+7Hzmhv6iHzH/zMmjZ55pGbJtWHqNa6Kaxbe4hIo89h3xZelHbtdJ86q3Gc
7ZaAW6zvIi9Igi9NifcvEtQU93SmkoqUONG/dGngkwdCEhn/850z4V2l9Zntx8OEnzDe2esUzvZR
t//UqeIKkrgSC2uHVLWHhPgF1UNgrYS5PW7RbNwMXYOJ2hbex68f2EAjPPD4EjnqCjFJ0oCCPvYH
LyLBvGPNk9P5Cn8inTREgHDWQJNA9eF80lo9GaamQXRjrW04pfYhIfYj+lJ3aZFpoeFpimhK6mB4
2yGaGJBuuWhsXv3M7iBHzau52rcxs17crL6bC3ZcVrMLKUtx/yWh3mrbLLefafBh4iuEjaf2hQCo
KJNCzyDfFM/9cDsW5K53VNRdstONnkqE1gBIeRdyDRPp19bAqYqTrjRvtcBsX+ZqAEO9W/g3Vjrb
ijmV7kauwQ3GAQd5SOG6XVgAsQ6zQRnSesi7x9w+5uz7de8oudbQJvqfCSHmQk08qUCwBLyCDq6R
4KeeKlLNUgOQP7DQ+QoyfzGaz8xxtI0UiThDf3SAz82JCkagsiAsPK1HW2sQF8XWvDPdrSq6kH4e
cCjkiCBUD92i84OUzvMclGmFGQKuWVuG8M/1FfiL1hB9OMpiKFWB4TK4QP8vmtZWkz8DAlfuXXI7
/PFKvKq3mR+2y3b6kSzbuoqot9G+XjfMIwrRLoRAOO0EPN0FZNv0V7OvGjytqf7IkncT8jSQUG2q
KlyqL9P6Y1AdH74QFwYh9cgpT2TK4VpQ6TNDnFbmbIcyzb2psduK+XNotQsaq4rE2WoAvF0fpmz9
gMz816qwfkFbpqwD90g8M+OVLcOXoUbB/boNiWOAmhUI5FDWdRHoC1uQEdvKasBOYrQDh63x7PsP
rPxWFK//mxkhRkyWZp2tBWZGow0d89nyHucBSDiiCmMkl0cAQAcvT4Or8KK+jlRO6aVZbcY5egaW
hu2rwQAOCKFAtTbIJzr76wOTrBFkbqGHh5o++BcMYWAFqZgR1DMQKmaEHu/QLj4B0D21YAq5MtZq
3rAsuhk748vcvzmqcpd8BDjCuBywFcSXEWhjssYpLRP1jX4zO9ljl+eK5M6ltA6qDByvD5ZC0Ldd
OAq8bLp+aDojhjS385rMAdl6VaW/0bmdNlXtFu8Qh3ER8dn166gt5KZE7BcBLZZsGENU1qZZ+1Y2
evCAuDF7u76Esi2DQAyskIAOIzEk3FXtOlpkylcjTq1inwXM3+jm8GAm7RzmNbvrW19FoyqbctAB
IxmBwBDd2cKm0ZhZLI3bYNM4t82uHxSXr/TzvA6OSBBAO5FDw2fAYGttasVu6QGq8CMtVFQwsinD
mwy/H0RTlzUW5gW9nUGjMNbmOK++GcSP6q4PV/t2mD6RswNp1n+2hFfQwryudnWC0UDmpuwOlBWK
+ZI98M5MCMmHdirnpfQ0E1xy0ArQFpBIaY2ZYO4cE6Qay/8h7cua68aRrP9KR72zP+7LxHQ/kLyb
1ntlybL1wrBlGQRIgAAJrr9+Dj3dUxJ1Q/xcHVEP5ZDNFIAEkMg8eY659bQQ+4qNEiTeXAFlAPWJ
j73w3KJ5UJZEi6sLNOnysjYKmxQkoN5RWhsoacrNx58/d84jVpp5T0GQgLrw21igBvg8R6bIO6rm
ysxPVXXZ1HvK12L3s6Nw5koRYODvX3WFVCi/Ecc7lk6CrkZprizVvBcXF/HcnG1DSxCqae9Re6ph
heob78jlTaAfJjyFf5ukF2cVrg9QiuEaMQHCeTtTSkvWoWkWJtxP9lXHfh8nga2JwiTaFKD1scyt
jkRye8i4d9T5d7A1J8Dcpta0ciudXW0IiIOWy8Y7yl3c6hDrY8onWO0KCa47RVLBNulfcKhZjw8s
c3ODz/wrvE55ZnWO0CHzjn62CdDxS9FIxNlzJ1fC/Nkx3634KzvzUfTKTiBrkssp8I45e8jlJm82
6M4sWJ9QqAZbUqdhu3Y8n3WyVyYXswdxK6eqcKweo35L3difttB/+yuzB5ZRdGbP3L2L7YgLlyI4
7+AF4DOMqQo2Inf2U8++Gu4aTOPsnkRu9V+2lrKGfqvYaOSjdyxMC7BOuunF/cejOTdhuNsB2ATX
FR4aizWyLUQQFaT/jhG6S9zqzvCPBXrOVoycSeGiwxwbH1RXqN0sy57NEKiSh5N7tHrh32oRIJeS
D6YX28bUSjDdts+kk2I/ZeYU89EHzU7PLgrvundc1C960D0lvuLeDTTa8K63u8xNoKFZq7gaLYbw
iju3TeM5G7yM/UTSsdkUnVPrOLOIe0QY4j+PZpAfprwD++g4FnQ7Dr7/RZrIBxIejdDgGqtN5yj7
Tnasi4kt6z4OquwmQlQoW5kQsjP0rgzM9iUHB8/JnugP26vJ51xYYuN1A5hkJPSbwnIsLxFIgcVt
qvqtPUxdHOHC3ZsZK79/PK/n3CNESQyJVQ8wgiXI0SnbQFcSpF5MX4TRRbtGb3jOOaBkCB6CWTX6
HecB66x+EC7Oogx4qroxNmDnPzBnjZPy7DBemZl//uqcKC2oylJQ9x5NlbRu2smVHbs2jPnnr74/
2XVBhI3ve7gUuhvPPrV/IWkClrg5Uw8GWlAQLxJfo4G+gloGzrEu2JNB2RfluG08aGfldpjPr7dH
KnK8c882AvGZoGVhxzIG3Zcld3FJk+AQtYYT52O7HScO/iIdDpd06Nu0llDg+H1XQ1vaLPQI4nDk
mt/OoW2O2p5k4B59dyvVp8z/XfZTXN2vv78IFYMKwq1ukLnHfLzCfwbZC3sbrWkvnvO011YW0WLu
Tq6j51FwPxF37Rqo+ZyjQb4YhZpoZlVZSjsCPjlMpodBTDoe/HstHiDs8/E6nDUBaVGYsVG0XL54
OGujXtmDexwn4sWlPYB8gI2p6eQrnnYuDsEbBHA16M/PwlxvF9yQeHV7UFY4Rpl075wS7Gpdn7Fv
EyHkXtWTSD8e2NmlgTo86MZA3g1I+Ft7qKYNmo81Nml27107/df/7PML/3U8bXbhgM9bVmxd2tHK
spz97XG54RGAtQEe++1v705jVHlu5QG1eXDr/Sp/yvnvQx0brSEQ5F6yDdi+kMjs4yQeLyqDxDV5
+QvTgzTgv78/2391RKIKLkxD4/teHJTXUbXSa3fWa199fuFM2tR2X88XSfcYjrFn7sphxV3PWQAk
GYfTTMoA9qq3A8CN32TThK0nw4O0do4sdq2UK0bOrcJrI4tVZtnoEc+BEV9cqqQYfr+kDFJUZA3n
Dju0ESw+L0WQ5aEvvaMT3trVVWMno7v5/XWeX3gekq9zwLfYBmYj0RXfhx6eywcEStVfGcFcxJpZ
9pAhWcTGIK9Ci5Iv/aMp0pE+0Opm+m1hUVwUUJOe4UZeCKGExQhQPvRGy0XMAzgUpJ11WG/6vq72
H8/TudMP9zhqf7jzkCRcXBRIOYFVDjHR0SCoZBlufj10+c4k7VUO/fK/YAudx8jlQgcU/RxvXdcZ
RsBcIbJ2NLqwTqDixC+oldW7qex0H9to9z59bPD9XpkLxXj4ARiKBrolYKP0htBC0dg7TmaceSDi
8NkGKaCPjbzfK2+NLE6UqeSozpQwwuod5wlZo61a+/7iSAmp5E42f9/82dWfiubTx7/+mcri/PsD
2AFPBsHs8pnn+aXCBDJcGIDjVaab9MqIMyiAxarRVxxEvbiFzRi4ExBkdOK7Mf1+myMsw8tCEI6h
WLYsYqE0ZKDR3HePZi0PjmuUIPzg21rwT5laUzw5N5v4IDwCjgbyisXx2dMCyIhJO0fdHGi4X4u7
znncTC6DLBYiyHdUNijF5S7PK/c4OH0yC6EzYm2jaU3b+H3CAajaP81EixiCcrNowkkiiDRKHeyU
l/Gj01vi85AL+0ioXZB4LDU9TJUcUfEa8oePvebsNAI2j5Q5POYddL7hRl4zbjjHDJloMSSiGdP/
zMIiTu6MLkfOGw+N/H6EWJx9+M8+vzj3Mv3vAbCJxYNMSrEmrzR70vIFA9WZ/5uieQpfRRqVtFhg
Tr6DqkuelGprNXi0791v6J5L/sJYECdD78CDXy9R/XKsilx0eCt50ffwkFsriNEzlZG5ywiZWYBD
ULNaUit3HIk6FSHbmNn3rf6skENxdx3SKFDFTDiYTwF9iekQxAzprs7atn4e37DfrzHht4jmNkfQ
z2HzLnYuH71R1TnSUdOzcPHeuPv9SUQ6FbnIWQgbqJ+3y0UiRXnWCg+9YUeDPVprwl7ndgzKVygJ
Q8oJZZXF5Vf0DShcEU8ce1SO4maN5G4OmRbeBlQNFDZn/QdUyBazUykPTSUBOjsoMkil833aG09o
b4foBOCCq1oEZ445EIKhewWnNfIxy9jEqIVX2gVwDURlqcx2IpTbPjN+368xVaiQziEWot3FlJmj
dI1w8gCyiTuFwmj/+/UMsPYhR4/jGkk7XD5v11zlliPbyuAnrj4/j+r+Y486M0kucA2zmsXMnbYs
W2tKMqcQozg5GRJ5qXCeom7FxBmnemNiEYZWnDPi9TDhbQ3cAPUKuuTMEQbMJ9IVc+EVD9bFAoRa
cIm6ND+FtDvkWZC41pGWJ1QOEnNayV2t2Vqc9zMNCq3Mjp+MfENtDCcxvgVoAHD+QrzzZlCLk9/q
QU5tac1PbQXNaBQfKY0ddU2hRuiHfE9KJ4+7UaJnE7D4LloDM5xZMqiaY9PMyUxAuRYblQ/jaHDS
8FPg3co4aFeW7Fw49+b7i7fV4DJeSQ2+eFNtvezBDq88de1V+xlHrPODdDcevXbX6CnPjmrWugFr
AKo50cIR8V4NB9/j/JT3F3ITqJVn9VnnAKh1Zoud8w7zVnt1l4Lc32ltUHyfmHHd+RNqrPdg2dyb
gCIPZCVBd24oPvIyoFpEaQ0qjG9t1ZWlJCkJDoUhMVsz9vJ25Vw7czDgFkWKEeEnqpy/YKevRlPX
6JykQ4iNBMlVS4PGWePl9fW3T59Zg2ouQ8ywJ3cxjNKsux44wVnVN2FWUtB0WrvSzo3jtYl5Jl+N
Q1KvHhn3ylPblSnrH8LmEgj2lefV+wfqTPv25zgWS18oU3DFMY6sTL0wblnqNVsE1x/P1jkHe21l
/i1eDUWFfCiy0S3R8NSC9vRHM0QojTxTtvNXiQ/nU3NxVb8Z0eIEMMdIgfYMtsJJ7QmIrw3LStHL
Eo+dfMnbcavD9ptNVEqi8WiUZK3xem2sixMikDyPXOaXp7GhSYEMXq2vZL0jau+ylUP97OK5iNhA
V44Db5kmKSkUme0eize4TRw6N3WQ9NbW81fMnNuy4Lb6t5ll7MZRWLFQIYAj5nYcMRVrewUddNbV
ofcCHkeEoEB6vPUPahs5z5WNORuetANMffjdNlcOubOT9crG/PNXPujwSEMdySpPIk9pkDCU7trE
WrsgzowEvG82ijeITebBLKw0qiIdL8tTJ2QCWYFETPdR/tvpsVmX8k8ji5MBeE/ThLJHCQzHTUF/
DPZF1a1gFM4AYt7aWCyJQJIbUCyEI1Lv/ODKjGLEWY21zSlA85dh8HW1e/rc3Yph+biFMH0oGSzi
oboEC1OhJPwMFVev/VJlF5pcjlORTPWVH3zV5t4wUzPffHw4zZfn4sB4Y3YRGrHSYEFGYLbRZTzB
w1FyHRJ7jPt2o+1tBvnejw2e8UQ8JRC5zs9X3CALHym8qLCQ9ClOdpnijMj6HZsSf63x4MyT5Y2V
hZPoUNImG0EUh5KOPR4C99D03+pIppQZaEv//vGYzvo9ysez3JUDKaXF2kF1qFYVM4qTsH9a5oNV
3fRrHCxrJhbrJPrKKr0KJqp629Jnxjfm8PzxKM66wqtRLFYGaMOGlwE2Fp4ce0s8uexzZMhYdj88
8ViyC5GtHEprY1os0jCGHZMVlOLBIreR8lvTHAREtT4e1VkjIH8GDnCu9i0TDIbVQQkiHHC6epfQ
G+mQbhRrLIhrNhYD4WXTFLqdcLqWkNuJdZWKNXGGcybwVMXrwkaT2bu4TlgFDQH2KE5DflcKiCR+
6n8fk4McPZITM9Qfkd2yWUf3o60s3hYQmU1aerDVvupus2ENXTRPxvLEAWYSyRCkSUFrP4/01VVk
FKQDlqYrTl6XqG7PzbvfX/DX319cdUUkPa9o5+8Pj13+1aheQr1yP5xdjFdDWERZ4C/rvZ6NBV6r
KWtvOE1tZ/+fjWIRSPmN1iXazKFl32xIZIEr8qDp2ll8Zhyo/gBsESBD/r5c7EDqgQO1ok4ibLbW
aKYyvFT2WhHjnBVU4kJ0ZwXoIlzebNxvfZJ5jTpZ+kJZe1cdQAL88WyduVQQoP2qxjhALS4rTZ2R
ScuSTQ3X7VLH3Re63NT0B6jr/4KdCMV1EBvMcK/FwudGr4ZKjDV0ButYj1Ec0jYVZIwb48vHls5N
GtqBUTxBx2UIKfO3uwSlds6y1qxPShSpZN+o58da2CuH47lABx1mf5pZnPlqEHaY6x4DsmSaMwY4
ZhUPRpcQZ1OM7R5MMmAfceK/wIkNnaFXhhdH5lgbYKwGx+apRITT+zfctWOxlog/O4loprZn1lC8
7heZg0B5xK8mLFfdDRcd7XfT8JDVvx+P4p2Nci1yLiAMWBpxtZYgAtL1qfpsmsi6nDKgQT92hjNH
JpTjkNed0wYILxZuByiREw0B3LsvxkPklenorAknr5lYnDeIlsAgF8EEZI2fXTL8sIHx+3gUZ1YD
heAI6AhcYYDNL3xtonbLQ5mr08jKfd3wG8jAb91wLV30Kx29uGDe2Fm4VlnaQDXiRQUB+2K8QKvM
j7oLgtSpuHNVBNQ6AL9kJ0DLBZvR67O4yILwWrvBi9OZ3klBE20PXsDuYSJFBalaQeJQuWzT+8GL
IVkbO9HopbUp53ZWXh5ql7ywFkk96PPc+0q5SeOAwboZws+063CmBu6nyWTOzlBBtAdTQXY/VaZ9
HZK8/OxagiZ+E4Ht1Rt1mo02TZxWiSRQWRZbtUmRYGmjRERTtc99UW9VDlHQhoTufuRq2orOGxIE
BmRv+9JJUWSo4i6i+X0FIq3DxKESlfeW+zlyIVFvcBXcA+/Y4FFjto+dEm2S+X67IXkd4aeReZsb
Ul2GFoiHmtAij5FJ/NR1QYsSu63ToT1k/l/C3HJT0U1eXYShLi7Af+XFdR61t3XliouiVG3MdSnj
IWBIcg22sWtNr9k4NZjSRmHTmJQqSq3WXdP8OXMRYAdCinneLUiMLyJxS+mhAr1MdQqqr11x20xD
rPBqWguV18wsTudBUl8WnFTz7cx5nBfXOdp1qu3HG+ZXHm3pyXjGIFYCUhEbZrHvx5wQA15Snbg7
BfvMhY6RApIhEQpUbJ4zGLvJo0Zqo4cbVQBFwV058HigvnWh/VqfmOZ07+iWXnFlTkmbm9PlgCbp
zdQp505zhyUgKXMTOprAO0LAKrWJLpMKNKcPg/ainaD9FNtKYSWV/CY1felawXb9ELUbwwx5SlRI
kjryFPhHJzORI6rBqBKF6Bq2RWLhyRRbdn9yMz3GQtRh3EC8eiUtPc/Cu1lCGINDxYWo4BKJX7Vj
GIK8WZx4/8Tag/tLM/HKzastuoCSj5fkTMsnTLwytliSMOLoV60dcXLHp8a4zDwJ2tXPYpgd/qGK
bk2v2jbuzw7t2rT6wsiKS5xzvNfmF8f0YFduaWYw3wNj5uzxKiuLdOpX0tRnrYDJB5wkKPe9A9P0
ZZWpsg/FaYJ0qp1Ycgd+JC/YfDyX5+4DdLACNI+0B8LDxVRCsYDYQ+uJU8M3NpAMals1K3fzmVsN
AII/TSyma5qq0G1DX5zy4KHovkbByvfPTRTEV5BuBysAekAWAUZeyAaFvqY6efTWHXZOMg0gpFlR
ADzn3yi8Aq01t2K/gytHeUnQBIxByPC2my4z6Oey6jPI7oaOr7j3PB/LrYQHIMgNcC2im3OxJG5r
O8ItIhyfc466Iulg3pP+ohmfK73n3krx/xfQ+p05sPigFoIE7jvJWjXRYkIDrjiVme5iv5c26glg
lt/jdwNn2IA+htxrkQETIt8OTtikCCp7aLAOfpwZRrmPjNCKc2bQbdjz/MKH9Ma28MIyAfa6TIxc
In3VB768U0qPD5Y/kQ1jUXDTgETozmzUvcdUsXEb/d0by/aelzS4Fz54GREWD4fBQqqUeo1Q6K0O
q7QlUf9cU6YTAdbP3ehnEOPUXRXXchL33O6btbfye/+a3+KI+JDVnOnMF+uh+yYMRmfMT2i/9yA+
S29oGwvn8eON+H6XvLWy2CWQ+Ap6u3ZgJUw8vs+i9OPvv9/ob7+/2CUN9BIrEqDrrpkO3ZHxw7DG
2LcyT+ECYNFWduY2PUbQmxfhhCILSAFfZPblt8cxhxReEJhzq/jyIavALgK3gHydRrP9kAAZO+iV
u+zMUoCTFI0JLnb73Abx9tk3dmBLkXkLxm2Ef1HwQ5nD9uNBnJkqFNzRdIvPg9VqmaM33cwsQDo/
E7A76VhcRuxT0O95u/ZmeX+UQI7mlZ15pK/SPJZjhJ2YmdJL4wkPmMSITnZUpX5EEUs82dXKxL0/
JN+am33wlTk7JIMdEZgznS+cHbN8N/KvhXvFnHHljHzvzWi9xIMPnL9Ilb3rUsmU4tNYZObR8/fo
sQrEjW5XNsx7L5hN4GKcu8XfXys+yZ2qd4R1hERmQNyNztnuYy9YsbCEdU1hyRr+ywL9GvlJv3bx
npskPIdntSuQ5L9rqrd0TQ0hBjS8E3/bFt6d5OMe5P8rw3i/6iGaeaFe8atbFRfW21WXzDOnqdAW
mKnEPuN6Z9Tyh5WpTT/6t6ppV/bO2VGFsz7y3Fr+rm9kklDmHkE7e+RGd+HRLA6FGZvm88dr837n
zNh14FVn3hh0Ky9cGeyTUFbKfRPsxMMlU/1dE9Ql7sDpuc+Qw56mT2G+Fsi8n8i57frPt/nCpk8E
m8CVok6KvQhcknYZm5ZKZH/Io7Ws4/vxwRaIRkGMjIzGO1AwCRrLVCyTJxvgfH88KePRAVCydJwD
i64sthKjvXd1CwAvMOXAHdGZvXxEyciFnofrVidWI1tr0Rum1ebjFTtvAkj3X3SR7/yCT6Xvk6CQ
p15NHVpmmbHVgoXpX7Diz3SEoIJDGDiv4asjjtW0AidPVp3qAyNXmKr/7PPLq6fJiRyogc97364i
8f3jr7+/drAKvwJxdEDOif+3v3xOLaM120aeSKM9lKAr6KVr6M5UmXGFOv7KVJ1zZ6jg4YC2oMj8
DtPjIk1DoUsFa1DDm+x9AcozbSIzxxJIT67ktc4bC9A0g9AA4gvO26G5VDhNWZfyJNShLB88JNBJ
BBoFVcdNuEYWei5ji236p7XZF195gYEABEJVsNYrmuTZFBMj1eHXUJ2I/0nxrwSMq90a19S5LQv0
1ZzDnxdvWeC08r5pdY93gSuOLesOdcvjzDUSPezpsOP+2jP7/UELKpI/0zjLd9WY2cFkjRmehojY
jfFqQLiCevHHLrliZHkHalLr1hhgJG/MS5ewQ29Y1yqb1hq3fzHULJ85CBkRMUCLHI+dxeEqC8KJ
VQbilEEWMQ05zXdypCDgpP5oxEM29jdWUYUb1ZpfWVdwUKf6JzNnZdo7XRhbQhgHkMfkKRfhJ1QH
i9RpCUsNPunLjrQPQVmt4XjOCN0gz/Hqd5738ys3s2zeeBbH4xw4iJ1ojcdI55eZsh4jPLZqp0tE
PcaRO+zBtnLFsgoiBGvZ+9mTP5q2xXk3RlnRQFNDnMzpq2FcOBlZieTWDCxOPK9D3jSfx9h+9gLo
Kqx8/px/vc7VLM4FNJBxLZHgPc3i0950LfldCzsfO/HZMbzKR80/f7VONQvRimHCCOPJ6Cf5WqvE
2iAWvksrWTXlPAg3TNiUjjyx2f/O0/97Hv6LvFTH/13S5p//jT8/oyWkpiTXiz/+8+lF1FT89/xv
/u/vvP0X/7ymz3XVVD/18m+9+Uf48L8Mp9/0tzd/2AhN9XhqX+rx7qWBCOcvA/gV57/5//vDv738
+sr9KF/+8cdz1Qo9f43QSvzxrx8dfvzjD/TPvFrG+fv/+uHNN45/dznWZJwa/e39P3r51uh//BGa
f0fNar4vkYnBoeFiWfuX+Sd+9HdoESAoBN0sXiCoRP7xN1HVOv/HH66DHwEQPmOv/v2jpmrnHznR
3yHlgtgHuTY0/JmAu/978G/W58/1+pto+bGiQjew+WZjwm9RMkZaGjwFUIXCC2iR/SbUKs0yBKav
U1adFDUEqDmX0WZyhyyBZF67eTU5/7L/2h46sucH/J9nwWwS7foWWhuCmUgUDONv3Xw0RCGl7+b7
pq7BVB/QadrQrDR2WQuwiiMbT8R+6Ro3g57afeHU/SEAmdCGVcrYA8QuL/u6K3+U0jZuS9LQo5UV
n/zcmuoEjQBqo5myDroEnjDu/FZfM1bUP9UwgRa1qK0s9UTpvnRd2fAYPBnGtm25ew8AfgAsd5N3
JOGDQove4HxW4SjNuJIZPQaDEKBV9ZAxiqNMuF+IG2XPloqMC4YuRRnTxi0UPmhkt4Kjp7rxvQkA
cbOOeUX2ptWE27Ysb4IqH3vIsXv2owQD54tFKdk1fS62ps2rgz1Ew0EN8yPBz022mZrAP/E8cECZ
YU+bGgRSjzntmoNHzfBL6Pc/u0jWbUy7Uu5N1B50WjgEzaZta4KJNhDlhVk5ZhXrXj03nPtpHZRZ
7Az57ZhPQRK5qFKlZBJ71D6/09pmKOfIKYXD56giAFsYVE7sNj7btgG7Mp1xBKFHt8kpaBgZ8R+1
8dwofhuGA/oAvbJ9MsrIAJCC+HEooaDT9gS59cK7odO15e5J7b/0WpsJqKjvxkw+yYB9kRotA4bN
89jnTeznNgKhFjpCoL9DUSP0NxMkY2PhDUM8BfX3PpJJ3oLNOgrQ7MGq8iulTRBPdWjswpxee9Kp
N95UJYXgl9Cf1p+CQo2fXd0eisjbCADiMjLtfe5gFvuNa4770i/QqhDSi9wn7oUQ5Eff67RjEYCv
beYlXD1ZjG3ysdg1ZWhcKaZJYoy9jPNqEkkZvlQjtCWc+tTaTbXXofetlWiDVG4YoyLoxSbn0JRz
sihu8Xgu+vwLbuzPuefTMoayb4e6Ew/3mels/DyzEsZ4f3D9pqAx4DHt3oTCI4qWYxAPdQB58GJi
9rNEtj+PjSwaY+6bcIGToX0jKdCJyeymPURgi0CdpUG1T9O0Kus25aNVzw9COITLx3yXeTy8b8yS
oopkB7HvFneTnXP0oHWYMNWz5zI3fdDRSJ3gnWdcRrXdbg0vCwhaP6lz2XvtHfUdEpujE27A19Vt
maGlHRc87zbCAWFN7X7ye3v84njesBv64UAjEXtj1Wwzz1cHDzIPN6GNLTY14L9sicMftXfn5WO2
C2rNdqT0o09dObUx0CLBmPKQ1keJn2xk0Sv0gRaOGxs8LLAiXf0wgaqLdS1PXVOgasWtcqt92V7U
zLJ+giqdHJiZJa0ZtHvUxsitmZsDVDNymViaNg34L9lJmkpe2G41JWEfOd/ATy9SQw6Xg21d2ahy
7IuG3/WIAxOUgcdD1ij/OjIzgkYKuS8FjpBgqNFMUUYkZtp8EHVrxIyr5ptHWMxKLykLrWJEbQAb
tcnURjc1+ET2XhfsjSxLVURuitEg2CWi2oSFjOKhvC0F/9kYeRU7RKFZC17ldSHeJ2b/wMYBBTuF
yCQfD/hNh2sE+I9Ul+lAQ3ZbMvWVOBgOr7sLyFd/slpMJIFgDJMdWhqHi3wMD6IVm7K8gljlaejZ
TTkOF00bbBySfx7LyosV77Ob0RoSyvInOpAo6fOwinkpP1MGqI5folIpXowcKtVxTv3iOhqmaV+O
akdBTZREUH9XkfnV9xW5xKOO3Tk0cbvewnYPtJFYNUu1aVzjZWdddZGwL0HJ2qQaheWyqHbZ1Dop
NyfoYvkFPB7F0Y7waw0Krcqg6WgbwCn7Od8ZrpX2YRGk5lSiXTwUe156IgE7VQzp8nxvmveGbuje
as0JpwG9cOoJxEeGSoUu2p3iNfruRu+LSdtHXxS7MShlCl4yqAShNyYszTw13IJeGsIHN1PbfC1U
83U0tErARzympUduWGj3sTN2Q+JQt9n3Pblz0AC5b91a3U4BuayKYgOlegHm6TC8B8D1kbNCXgVe
fRrML0Y1H4hZu2u07GIzHC8GM9hlVbdBDubaQHiI6juumci/ZZ2EWGRhi9j1CEK6cdxKv2U3btfq
C66whaLiyS57ij0H2VHZjWmRSf002tCSxhvxp1OOztNgWH5sVt7BV16RmE33JbIykbDCewp5vgmN
zIx1K8wv0r+s3ca4HXw+woFzeedZuz4SF77+2URD8xm7AwchHkM3kLmt0pqBTrdgzSFoPLLzmn5H
zAjUVbm6QTLwCKH7FL1jGaqtzgNU/dihkd6Q2l7RpKxzgsfM7C9nCoXYouQx741LfxCbzHV6tF6p
Ls1U210Urey3jVR20lTUe+A1OFoc7fIjaKJ3ITrWUV/Kmo2rxy1gkQW0zPUXZWaFHePOc3foVztA
HGGTA1UxL941yYIiqaJ+TGw69W4CwgMaV0WzB7UZpM+LHKxXTYhOGRGlOc0K0HcwAPAJaNybKtiF
Uj5C1Ki/Eqy8gyo5A4Gwc+nbjd41Y/UdtIJPoKxJVTeCuj2XBYi/immbk/pGBGWMLp3b0XBYSooS
HR7IfbOgcZPKs36iZHFwqhF6O9Bl2QR+58IWOsf9Fh1bGbfSrLBOSlU8EZbRQexBPaC3eG8RjTpT
o4LrSgb2J7+27W01ECQc6rJNq7ozryyctomP7h8DGLI7YipxlfUDkB1as7TJkI+dBlN+Vo6adnne
bnzoq2vSg00sD/Y2R+ZnssGP3AHcIhuGrht3Q6qQbvyWuqn0p+i28EkKCORWyKi78F1IS5tNFUdG
Me0ri+9sw/A3Ze9tp9yPjbqt4rKHVpavrD4uOnfcNSTbDbXYgqMWTGnF1KSuNh+lhzYfy1Y7uwrj
YnSsLWTrCba8vHFdep+1kxsjhLs2og5TSFqVoIoSJmZnkNSsNESB/AhH+FAnzZTpvZiQBQEXZOKb
+kTz0oq1FBVu8TJ1C+AdQlFuczcDXMa6zUJSbFqG+AHM+4eyoFniNDiNgYWJxww4OLcxP9XGcOV7
RRCjc+fGRg0W738VXUmSIcwqzMfKAluRGIIBbMVmue+dUWwI4pFr4iNqaoMbCphoSKN9COjuIegR
LPRASMQy6O4zgSuL9/ypw+vi0BidFwOOcYf82yaYWveSeBRcS0ageWznxDzIPKsT4OuiVJSN9UiI
qpOhqj9jz+yRKUrR6wH9sLpnL8z09JbmNNh7LstSf2zhctQGE3VV3U3IKzconicAsASbBhGWFUEz
1+Bzk0gQh8YnBKSQPcraJp4cCg5hfydI/rMyWusEsljcZJ241qU6oBAc925G40w2v8IeVHqhlrw1
eVlvrSHstqAyPaCf5sWfWr1p82hvT+0T13YIqEZWbwa8F7YA0+XfUBZ2t23nW1tRVjW6aKXf7X27
glyvNKenxgbzoZcP2Y4SR19SbYJPa0LApnu41RQK6yFS/rOT2c0OAhhmDFX3ABEk4FysNge4iEH0
J7PO0PHpRGK8VV391VN86FNZlNaT61VBjBICwGVuIcE+HQ575kMiK6IHbalPQTBeUToaG7dj6hOn
brcJwDf6o2XQV68rT1wZRTQlHbFYWgyk2jSSoExdNtMe1C6TiLWyXzTj0OMZo7q58PzqYuysn03o
PFv/Q9J1LMeNa9EvQhVJEAxbhs6tVpasDcqybBCMYAAB8Ovf6XmL2bjGstQigXtP3AZdwIh4niEe
4Xz8YvcavUG1qmTDHO+7lA6Hlv2jBrcGUi4fk8R9LMJL8m3swgMbhvfuvptEPcz4zdwj+FYv664N
g+9q7g6psNsVQ+I+xkwd1w2ypx1oa95E5554fjmztCvHdqyzIPbWfJUPkelx3HT0bzVFGNqXGS0f
cjp6CQnRrcmyqn1cU1pdiepUucRt/VQ3S5gHFZ5/5p5Rf/Gq8XFfwaniP/WVeL9TuWRhrEEGKf+x
1VDFjY173+r5e0rq51nQB38UPZ513z7yeOwzJP3i8lKTLKK4x9ARmj7nTkD9Z5rAnp3PzIliinnc
Er3dRL9upb+I6sxESg91jNlexcNYTEnnPWgY0UYz/uOpyFu/v3abVFmC9E7RTJjUcJ8LvZkinGD/
xL9BS9FWw9Vobj4pT0jeVmR9xd4Y4n6VaY5FVv+TseavfBD+M1t784PU8jYHgmoeAoW4ZhwGUfst
Jh5cKig5VdlHmpdulBqT16o+kW837mse0D+SrdN5joIAw3hgi1WRJ9UuwRFajN0wtekOJUuZpupf
hMqfOYS3bqwjmnVJ8l55RO4bqAtxaqhfoQ9FGeFbwTiyLofJ9sg/VbxYU81IhiCUIwtZEdVB0d4/
1RbzYT5Gm48MGA+7opfuEx2slwZF83qF8hhvnn5YPaF2oYH3Voy24DVO0J4jwTyW858lBEvU+7pA
QMqW6UgDYq/fNumbfKFUjZmejXfdVv+hHeTRIRVhX7k2Pgf6m/a/InAmFe2xO6gJgAHGMDZVaHZK
EXXdbtCPBHlKjStHsf3qt3mGwI5E4w0gZHoKI1MqpGh+JKZ+Qc5bdwx1Q7H8Gf9oOvfdVXgZMzH3
Pw2fXthod/FIcWOj8Fvgr6YCikdCmvBB1k/YDo61PhDkew/NMSLtVfbq6ECk/jbIpihZ5X9UU3Kg
1fqAPXXLt3b6O3Xpzs44LhfoQ5ttwuYWtrr0O8+dRUCWS7PQJW+iOd9WD0u2T6F1JhHLiIynC1Jj
bD4jSgWhn16yY7rLW6duw9LvWnyMLyoCetIF0UEnIQI4t+7YR93ZYxhhzMbsiVeE5RPx+Ifd5iq3
m5q9PB47vxwog9RiQeQNzDwUET4iOdEF/AWm5vRaa6yZDerH9gt3TxI7yXcjUPUwsijMl9A0r2kf
YSow9wUhEtrJnQmGqRTKh3fZdPwlTRWcNLyN2xJQ2XqxY6Beu0UvF89N1ZQjuFzumi6ungM+RmWz
VWaHVXLYm7Tpj0kbmkMaWQZzb0Ni/Ig+heAYdz+6X69j6vSlJci3KWYR4s31Y7NmECK9qGlLzsKP
piPzFowotN0FVTWUQrP2jNzTD8rWx0WNLm+186+dj+ykMVaXlVYYefEGZ+nkY92AXScpSWzSM1vH
06qFyZHSaY8IWQv3SNkGA6CXeufZZMyE8eU7d9i3g2GAXDby1p+wxkRTqhalS5Z+CYo7dWzxgWME
wN7qV8FHhG7SEG9VowrVph6kn/2X5WKf8jBDbobFCKrR+Qj2ixnEyG+r9qA2JsMOnd48H0MiTh1y
eAsRtgGadrvk3Y3uo7IY09o2Gg4Gc1gBoSmOR02+LOIMy04Fr4NbzkvQ9Ht4Fb3cTcgIdny4Bhve
SWiZTl4MPKe3dY0zhuBFWmOycyqSbzOOtGQaA1yqfXvV4meFZAv+5LUv0cbSH70aWc0qBkbiN8Gb
p1VYDAJctEiYzQCYuqPnp1cz4xqoKBoHiAqgMr7LC7OlTvc+nxsMb2F/GfzhE4TmunMVFMh+Ba99
7I90vzl1CXDZBHW6Zn3YBThH0och8rp8lt23bb1u1wM6Lj2BMaqOmxOZU5pJrfsMWturMuSPAGXE
yfxXt83Oa8RrrOrqHRrYpvBH4ucs6kwGFil48qxAQwdL35M1wmVvWnPHwLrMkYAVg63Iz+CTeg/t
31scWz8bupiWA5Sjok7OtIt2m/PTAvO8K1zYnLs27fJU1ph0hHjx1+DWDfYq26oq9ew/Y0qtMuUz
76yi5H1EjNLOSizFVFx4LQs0XchCquQxjqPPcbbPtXVH3PsPekF40Bzt2DgUKggPMyhOGECHDMK0
PNyaQxyZV95OaNyKI4usocB7vjsr8AMB/4p6RFmsuCbwjlfYZikGNGHFJR1F9ZuHqK/CQGzrnWyl
+CXgQC/MXDmcUL7YzXTGRLZ0mCsiJrN2e/ZnQX7ztq6um+tRullXp9F4cVFx8u4DHf2rBtw6i+5O
bMHfmFTVQxFNqx1vfjrbH7EE+oWYHfavdRfVCHCddPsOxvIAOKb/G1YLvj0uxnyA933X9uGuX0j/
KiexIpMjie+jpyxlCvubC+jyYJmN81FSf9/F9lV1QCj7eVo/8CMOx4GGn0B48d31AihDzKA4NANq
2dEYswumpPrbO/PcA4JAyiGurngl8NPatoCCCNRwADhh2dZXowBTeROWgUbHazFoa4DLAdhUEp9R
5fobxe8b+JR7DiiOdOB665766b7ppx/gMFXptw72BrasZYrFJme9DxDYNOvXiPMwa+zwyqbwGM39
cx2rpxYBJIfNxeMTWhiwT7nwo3P2kXAgNavUpKgM5fvJeqbQBhWxupPBszTJXe0i96HhvwYlrhrP
LyQb5FnzKjjH81Y9xdtyWmKWZqR2R7P1a36P7UndMKE6yGZIBCBAvLq+rPz1NK1LyfBav0HgHn8j
ancGRIVqKSyzDuBjeok8M91Mj5l966eDIuob3dJ5P+i9P+h4t3FcnEF6Mi0y8FUnv4Aev/XU/qsN
elWwX40PQ78WSQw/swqnC7iWuGC+svDotmmG/JwRxoh4xPWlyJhLoCgl6h7tAd7B5UCABMt0WrBf
OvM4dsN5nWu0gwjTYY8wyzHt1HA05tQ18sQqNKiFA3GZTr028+MNMxEO+0xwQE0NR9ohbYqY1Tkj
81as/vhFxn4sO2aPGGgJ6N4+POEnXB84dmc2A6ueAn5fhAzcV+0msKcMz+2CKA9reoL5fDRvsLzp
czpsJ7Hy5jwknXjAmDgDXG7eKgMQsWIIBkrhG3qdp/sk0JBL0yzTbt4QTbemX5tpxWNA2Z6P7GFM
wzUn43Z2TfC7ipfHwLl/KWZcLnVSbI13iloJzM1ZJPYDfP7Xc/9pnvzzAkAz9VSVs4Xvxk7QjM7/
Qh2nBQS6Y45tfS7o7D0vYXAbx215ldrHWU4WrQq/hePAsz4+GwIz+Ej7ny6JnhK2vDLMKlFkXIEP
AtsoqlvWLI5JUwxkuUaGe3sU3WBSgO4G72yflMM4XaZYhXvWLDjXDMHBMA8sH3lwEALjCh+2W9Pj
08ZdKneD8fIFpvp4UJd+NByKapNza3dtDMA8wuD5EiVEPYqK0HLk2Fq6rtK3dpJnDwJNoFtYXyBV
BtSFngzR6Zc2iB94uiKHDcg45icN4qU96GYY9orPpz6GMyO2gOsaHEiefoqjW+VHovRnT+z6GBlU
6VDbLBT0EcqR7pzqdNtFaJstxz4uJQbhgMy2DEywnUJ/mHNQGdGO4OsXyzTvQqqvc0qOWEwBrTD3
t6f1XzqhsBFhWk+4Jttjp8ReDVMh23g8JOuSG/qeVIH3D2Bag10haUpsfPJvoskvjuknm0Y/PE5Q
ouUz93U+rxgUGrk3LXkiTKg9rcfj0qAeVG1ru19VfLT1rY7jA9XDJYnmqGAA1pfF8zOCao+s82W/
V1UtisWXSKZp+xsObwGKzasOAVv5hQHxg/VcSG+fumkG0vTZ1wGatYDceFll6ZvC2p5VtD5HA7J6
Wjig6mQE+bAs4wX7xJ+opS9CgkXDx/qyRkmB2cxH6EUjapWBmF6eK39ZczBospycKngyTXlVVXNh
MM9Ug8EkpWv+u1tcVDq12nJMgxH+hGA5+KnE4Wbs9K5t2wIMM+H44jmtX8HTXqA5ugUwlf3FTvkM
jah/1YuR3QMbF1QExqyCiTNgxwETk71TmG4Ql15E/NmhW7PEgDkDBGIbzibbo21YumnP7/zA2LXk
eRXjYzx7f0IE45e27jog/OsB9ADcXmP4ouBqBCa54dTUe5YuOEeHmP0mofeAlprc8y9QKhZhl5Cj
HVtsI1MP1mdtvDQLuP1WlcObbrfPYOvdHgFPz0BkcQRoALfQqdAQiXh+QOed6rrHtB0OFHn+3NA4
T5bEKxtFD2nzJmtVAA57xlFI8nl0K2xq4rUP8O7Y2rZ5Ayt+GSTLj0xQiFQgwOwdiwC21LXerbop
kG8scC12T9jzcj75Fmsa4rlHUj82NdOFIuvL2oRjBvVLqXi3s+twIMpPcy9db24Z0Xclg3xoYZPa
ag6qQ2x/EkxrJ4FG4mUSOxx/8OtgEwVj4qkHNzdkT0hHHtzCdusmr2Nv00NowCCEZBBDBoRMZ7Ve
k2MzEVpEfHuQ3jrtBxviz6uFZ5KnadZidso64+06Nj7wZP7w0FOQ+Y6xnMzJqx5AOrowQlFrLbEI
zRF6ljpusjmd2KlCuu/kh+m7R0dRVrjH8gatqkP8qPR0WofgaQHNm+GmCcr5bsf3tzXJnY59LP3d
teHpg0qCW6MBZldrXWxYhNQqinBGe5ShCPSA7evgG4qqEIWSs3XiWBMD4FLoNwV8QCjJwJfQF45e
1MIu6akSDi97jLzZ0JNFE/pXrPTZxAcInmGvw3mjdZYI519oT/91cwCcwmIwaXsQIVG643rgYZEm
W3WEt63F5IPuKwSf62o/YDYMMwm/wW5KmvCQTtY/9hzzDTgnjlYJzPKi8Lu2eVzuDWbJWAdvYF3P
ogl2kfVzJB0+4qY8wBiR4CHp7GXQwjXASGJ0vcDBitffEW+PFQQ/btiXXe+pXwHTwQsT3eeqNvPI
PCtV0YUJCi6GqRb5InwGa+NqEGeokrpMnM+zOg2TJ1LLWwWPNnaFYClqGwaP3Cj3NaFJ8/esuHdO
SPcOmFYVmExJXpFYnqmskMoZmapYt+q5CW1d2Ij/Dkj44GMmMf0nfrN5inQkw/qqrA18PICSsKzr
txpXmwnq0osdYJiOHTBgXrbxzgPoEzZ6kD/dkKHFEqCosTfF22cokmFw0R4AjA5b0mL3QwPQoWVQ
GWxZ7dW/ItxLXrs+tpu9pa5pmlwvdsydEX80/a2jEVyybFYBpLIGpfmHhf+1060s3o1ue0oUUIG6
pqduSrdD6s8yq8b1mkQSM+pJNmgmpfOV1SgN1V3ZuXgpJGCtZzkEP4k/miuxdVP89y037ifd2mIN
56KdsJZuw4QTSZtHztsKR/maK0SJraT6o8zwIaJD79a9L2C0QQVp3vnBL56OVaFSc9xQU4VJzzfp
rsXHAM6hx3rnA/ZLV7ASHgEgEpJj2gzjvqc4xgQSEwtIDX51xDxPoyrJGD601n51YQjwGnKdSTUn
ufQlSkeea8OTU8h1moUbPTGFqdI4Ts/w/h22YbypDfzif/hqpxJAlCl7DEcGjkkjm6X3GCliBMUX
qTfiaE0lEDSZ6HfXm7SIDCqqso7378aTS84ZqXI4aM6SLVer+0MStX8Mo08ELnmwNMl0pdQ7CrJC
nmAjP29btYvoCDxjwEked6pIiHxfYh87G8qar+NMT/E4YceIiPrH+hiU5ZoSiFDiCkkSA/lcAtVn
ccMhwnXYAQbaiiLuJXA7WKd/+qaainkS045Cr/C6maqDumYa0iMCnmidpQg/P8pppB8hDHxR5qJV
7IUfID/vP2KiZW1U51Ps8KvUSd39qqEp/bAaqa6iGqKHKYTeYy/9EY9XR95DuK6eHI97NKUCXdzV
EfZsSyme5SFYHnq2VBehI/KYrsH8q60RbjgNNv3hSI9Jss2a5gLkwdvxLQF74UaNAnPVDPi+xqo7
gofkJYsrep4lTyioEx6+zisb9v5qY9DAcVPGTkHBw9oNfImL9s5jzU8YbSanPAakMwZzvx9qmmBH
TSuz13I1D5oift/Dw7jzqYxurerppwjuFK5n0M2FVsGsiyf2x1p5sdRf/wC/bXLHq10Lpqjz1GG0
/gMbxvqCT0tdln6gXx5COB63ddG7BRVrsFivGHZa+P0EMiv5CuefbJpt79yCjKjRsWeaaP+ni5hX
+j2kzspxhxFw3idRB+Afm+6Ft9FHypZ3iAcCMKp8F0oz7sZwDb9VOBxj7+ql9upCPAt4guqvmjnM
FvEjs91LTxCh0gEqtqyK91bFHiSf6s61Rs+89R3MdBBKZcvaev96YcStr0f8kKvll3RamwfnJWXc
IicsByMSjzveaozb3tusEmGK2RLEY46yzqHfmnND1jl39YhAWXich8Poo02yi7CWtB18EL47Ix1S
5CCJ0sdBzAUbcKHRe6LnYO4v2wz6FzKunzAY2xxAAKQyATQHuB6KGrTlF+IHSLHa1WCpm5cyaGr6
lDiAD3Laulwu9UFLsQKqQ+YR+MPoCOQ+KaF68LEQwAT6Wg3tmrlJ4ZvGKQ1iIJBzDWIukX+rcV5u
bvb95WDUsIGym2qgOP8ftlkxt1X4C0b9FQIRBRqBhX/WLs6Rwt8dkjvuUm0rEkJj0hfg2bAce0l7
Mgs4sXiKxaVbkHwJlRo5ro1LPsZp1WXPRjDWsSOnpokRyEmTbcnDjriHyaZLCWKgvyPHLttmzNFi
ixxc3th8Mr1MvcsiHfR/RKO6UpNxPcdm3nYqkO2+7Wl49tUqy2R23se2sR9cVl8xTY+jNOwCKAKX
/0hJ9NtJkZyntu9xzbn+CqQvAtXZyguxgl31OtqXoYk5fr2IkXqCiPSNmACZvoBq18uq1fBTOzcf
YIDsKLaEaMFdPZ3FpnHa9KQerorGXbZyrn/qpWpeWKT1pw1GVhWh0m7LgXQCtQ/MxlcUBvL41QaR
OUg9yQOwq7qIxfLctwg3ubspziNefFg63XBccFifUZ81XVIZQnfEGG92dO7stfF68lOhALScGi2+
PZl4BxkoA3rPsxSX8iKRz2e4fe6rYCzQmtmtZTtbfqtCVO10pAFD0SQwzyzwgm5QjmD9am9Ivz8F
i7oGGKlLbNrx++qL+2wYy6NpgNZ0EewwkxohZokgfQnj0X9BNk91ZEu3gK3C1oMunE3deqAoB926
DRKx1VAUG4jfrYJTB/W1EM41Rh0Zwhk+IMUb83BBqgNsRj8zkVPO1Kiunu9PZ5/Q6g38gYmLRBCJ
8ay6QaPl3SdCN4D2jMV67MVivmPdq1cfisvrMDiDDtkr9Gv4ffseyflG28ctleuvaXHt32VIY55N
CQXxRqHhAeLgVeunnJMe+W4kbXLfr4At9/pfxZx+4O3mlUBzbVlP0M2xLqqfkTS6ZrTtoBWxa/20
tgzL5dJ09aHWiPcBSN7wp8DgGJo9vNZe3fsXvFtzsSVenDUbwC+HHJUj1QtVuRQtfluzTfDdp+IX
WWJ37dMY6jCAJdkUTfLoVdO2kwud8s32eofOUn1OzEQwIlZVUa0cP3M718VIYvukJF/fCaK8n/CV
mjN2veibRQZkDEPkJgxMU+e/QSxQA37sQnarkuixiuePsEamQgWRb9FGlcTIk6SHSvvJswfYbNoT
L2hu1Zau165229fSaTC/zdb9Ygn/Z2EteroXQhZV1ZMbE1BF+pzUR9pM3YMaBlQwDZPIVy8CDogi
s0uHRQMXeidQ1j5w6OWa6hEdEgxCJFWhGy6IgSogdplzYvdGdPWu9nswCdsQP/jtLM8tW9LSjHwp
65nm6NWA8k0jsWn2EzxSdgUABOYM51YjEc0fBp9pE4rbKJX5EswCIXTjuGbTvKTfK7f8pRPB9GYE
YlyHcUz/CMnYv6Zt1ydLHb/NzI4GOSxRewC7kKJfVKj0AB7gPiElSfuE0L5KFkmv2p9uW+U7AUtX
VuSuK0yn5oFU83sNS3tOmjb+XWs75Pctp+QTkikK7g/2Qv2xA/y9AS1lrbo5OjT53E34M09FO0Nw
1Kc+CV43tkovg80qnDKNOSvA/ATNFRZdlVzlNoSHIaCmEHRd/vWhH+6cN+AwGYDX4QTEtxDDQXXo
eilverVR0ctuLnjQAiz1IeFD+ZN3w0ZbyQMBNDVlEGnGz8LH4TV3wbKrlzROS4RLseyuuj+u1dCr
0xotOK7DGZJoPDnLz5KsiGOKkIRxhrfA5CsQ8SOoPl2kAkK9LW3uorkRnRoaLeAqZmq32EkcXbrp
S7jyGhpYzVYwd0tYEqO8T65SV4JCAw83P9FJANTHXkvwBBVC2qcxefEdFTfW1Nuri9h8mSvTVvnC
wrsiD7nJrg2h4Fx7H2ZFRDksCrq8kACnh06c7AYBc6m/muqxl5QWKcdctyKyCSBbPx6adlJL5lsm
zh0DTA9imRSQxaGxUw/mQwZw+iuTenemD9on6fU/tI6SJ+fi7o9V0ITncXs/aUOgK3Pn/dTMBKBf
w83sGTTEO1B1mNpakD8YjhA1nk2YdPAK+Xy/VCGxeUxYdGT98oNuwydUIqafQATAOE39R0Ix9lHI
opxt6n/1GHR7Pc14WlFZMGdDhOA0QB8NEh/CdtePTL377Ro9bIoSoLJUvaSCQ3YIcth7q8EpI0ql
r91vSyywyhmgYxRxBKTgjpR/OxrMU9b6bHuREGzmjevsj6L3EBVk6HwD/K2ewf0AGd5QvSuWgXxI
jUO25a6CtqRdITSdMV8itewByTRxoVOi/zrGgzuzZYMwRzWtd/BmeC7JMEG744HIwdNexVAkQKcL
DRUqJU7R5pZvH9H4z4IksO5S6901XfgQ0wmLRkAEK0RCddk6RMP4HbelgTQtAse24LlcbYhLg0zY
e+ona2lBqDc+O4kRF3qgGj8cNHTFJkeKKRH5c2dT1disRrOJoRCDAwCK33uVAfXTL4EE/JkNZmZP
CQE1Nk9Ov5Fgid5CuTRoiVBgYFmFaBlnVbtlrrcHKNXnU6im/o8OMU9GbumwHs56j+7CBuf9mL5N
nY5+CMdoy0e3J0Plly2+YCG0nc8Y2iDfJ7OPBgoCBAijf/XsNYyUogP2UsUywJbs8Hx2CfuENklc
sGEMzz4ip4By1vcp0nZbBp9e+iRAOz8Nk0TlaAz5nWiH9tlbxq9khpTWbZjVYkHaEq90mg98sCBL
FnlBFXf8MoR38nLy7lw9+p8hw4LGHQtSzXa0NfWnmKOTbwashjKqL0yR6NeqVF2sDUJ6IOCyIRRf
Yjk6G7uXevIJlMKLHwAyB9j5WPfQNEELAO9ly1tg4nSuD1Iuw0O6yO332FXyjS3Kv+EcRHnJEEX+
N/rN0z+sTeZvyDnccUPq6V6DK/qD92z6bBbsSI3u+Uu0bBusYlP1ax5atgM5EFzjNXKYM5ZFP6J8
z//oGrY8235uoPhERg/IenaDmmdDpkLlH0NSezjo/G9Ldfc6B0abIkYBtcssPrlcwWfHoKmt2C1N
9Xo2cQhNtMSfpVMSvW7hFD13vLFTRuN+sCXCrBywFR8vHcMjkm1p2t5q3s7gyCewJQmg6teoweFV
aKCWWEmQfQalsJ3ANfTNNHu7hiOL14dpNYdwhPBr0JE6R+SQqA5usjN5gHVaFKsLvd1QD/HVqxqt
d+Ekmk8S8ubCoRRGEYSOH61sIXtLCTbHjAyd/xql22yyCKxC5inYOT1szCXVsXjxuE7KJZjC07pG
8xuH8OYM34vOwrFdPgEfNxBxaQhZKKSYRT9aAK6wpbxQ2fhZkkCLa/WEA26M5X403UsSLLeAEX7W
RtLSJnw7I+mi+1Abg21nGe7eHUCDcx3EhRFYKbGIInsQpMlvXY96yBeX3Mn6oD4gin0ufSvr3dBD
hNUA6XltWVjlmrGt4FGF7HzC2c1fiESm67yencSXdpULdnqD6LqaY55vcYW9b4NWtQOQROyrwJB8
Vj4hWTfT4C1MVQifBNonRDLyi1bp8OJG1v0MK0xOWeetaBtgPjjdGSKhMkz66M41oXeh2oT3RaFE
unUTh0TGT9w+8hh7qv1QAz+R3lc9m/UShh1uOKe9WyKYyOeJdDeaLv3jONn6g9Zi2c2DrmCH7uTN
YHA4gacHzhxMLckotrEc9ygCOhNPllj+k7JvWHxLTWyL2gWoeMTk9KEUMGtHI35ZhXK7eoySH3Ru
1b9CSIv/mh7UloDWJo822mM5Crtd2sJalKEnIHqgbo6/oqnFsx82DTwwTqZ1ltQDJrA6RtiW6DYC
bBZIMDEQ4jrE1eTgGegRGDD/5aV1+yRoYvdqquXnFjVd0Q/x9i1GOkC9EC7nmpj4MPd3PVW4CQcw
efUyTQAdehLfOGGk/tNBlfqKXB19WZU/ndxA1UkiiSCXtOaPxEJcs8V+WMCuYaGIR/o3Vrvlr6ls
fTahrv+YtRWlbSbIfULG0hzTiMTRPqcVwsgQlycyjVPlu5sow/8R+JD/p8AIlejMb79N5c8km2dM
d/YwG7ZkKJwY/kB7Pp8bXTdHLuNohoIP7x9u08RDSHu6Vr+TEYETVQpDbzonww6gHBp+ARXlOFVB
ReOlvM5wt+T9AvViE1l6NDCjfGFUr/6mEC++3UMMqz1y8djJS0QMw+sIbuFuPUqh2+vEq6gRO5Qt
PkkPNLZh4WL8ixTFDKACjUX53DRckUsiCzuh27qI0V6051E8YN1hR+KaKcCltS0lFo34xb9nL1A4
ygQ1/u85SMN35UfLwWqf5iKS1asvB6z2dmYAJu/h+uNQQVOmxIoPVIf2MR7i6MeGo5uKHo8sctqc
wVbATzjkA7DkAb9JCBv/kWQE7LH4VQtS0cBENI4SD7Rvt8XlXbJWP5L14YEOa/I/6s5sOW4jzcKv
4gdoeLAncDm1F9ciKVGkbhCkRGHfkdiefj7I7m4SXCrMuwlFuMNuuwAkMhOZ+Z/znY2OzJmyi5vt
tMgvlhbjhuUzqqqTklHJ6kam8b6aNk6clAwnVlW2PzxX9776gQWWznQpzPXCKX9WMOw2VoAATe8r
WkAdtOsx6Tn80Kdj36qvLv9lpIE2+Kbubk3fT9aRZQ9nuYmokUqV/qjapXrfEl24a/O+uxyJ7fhW
+F1/lzcxPpFKRZ9x1uuy2HfDALCxCfv1lEGIU8B0V6JEfIyHBhBd2eULJO752uI7GS6rrDAeDRZR
Zxk2h33EgZK/+FdEBlGVq4G/k55b7dLCaH5FI0IbBMxMlSmkw0VaKKhKNFjpeObRZElvXEugqkvO
TJRtFvj1nggYzqtrPefkanyqqORf2G6GLrNLO0o4MrNZ98F8oJRqpskXSe0zWcdUILADZlSF08Ys
KPZS6kGxybLoTLVkshtixTyrummnHMfdSeIP2S5qjJDNtE/BxRF9+G0UBfVK+iFVKtZHVywpzp0m
lI92oFo3VjOgMa3jAmuE6VeoroJ41RtIFiOjlAADUdU76MVWbcYQqRs/vEl75c5OWEA2VaKfCFcN
TvKwqr/2Y9BjzUjNKx9P0ElWmflKqE2/iSLQVf8ympZdtynCXT1q8dIoFXdTEHC3MWzOo8ICMW+k
feULRQWeVPPJmBCi16qskc2EUjY/fN9DPwoBOyIpEPjOws/obkLo1Xfmh2zNzmTc4DwGfzmkerH4
V4hyps/Vzt6Ssx1toyBAyVGzm/1XUwe2ExhJsOvR0x0iD+mwYg/xmpTCbhuy89hKTEF/mbT/Nhq/
cND+x708dzi/a19+YXm+LJ6ym6Z6emrOH4r/B0ZnBz/4//zbSvzK57ypnrIfwR83kwn5qcr+eMh+
/vG/GXWUH034448z/rZ+7pqefuwv/7MQf5IJZfJFFg6oLVDh//Y/42S2MUSDrEbUpwth4Iz+2/+M
IeJPknUs3MOWZYGCdDEm83meDNCK6f4JUMkGKqFrjrD+if15xvvQMDwYJBRPaWiGY2j2DDZGCbdv
8tEPlqy76i+xIeLLZtTshxa21iYx2moxNrF6xAM9Z4ESKkl+JtbLKSACT6Q+AzIofe0lvUl9LolZ
hMkLzTpLxGPlno3RtQlvtq2uav26xOKYcrbgu8lKi76U2Y0Zxqu2u5eUpnKh7tPqsdLLTaspHHLv
dGwoot/ju9zb8iqr2w0nBMvOpM4Qnenul1JjSYOmUol8kiFGSHk9leds21JHKtRyHRVb3XNR0lRH
sAbajDjy6nFn8AeDQAUC4nhcccPhywXi7kW6GFecJyyry2JtXCW3FVqrJYkV+2dd9A23+bErz6gQ
XT+idO65ssd5M0eZ3aVX3WGzQIcT/pK9tTfrXx9f8Teh9L/udufVw84AeTkymTSdaq/Fvl5vyvWm
WZWLeJFsEGft8r29SDc3H1/yVR9+2ZsmXMFzbASl044tB1cM9uE6uRyX5qY7wl168xJgl0yV8Wi4
6qzDarIdtUZnn9SLH+Nk7LJI9EN5iXkkuv/4aX7T0F814LNrzXpLYlWibCOu5V/gECp+Otvya7Xr
TxGC32UX/pN/ol9SkDNPgb1sfQ6ov/TRovv28V3MI1ym1+iq8BWo3+g2NPrZXZhJLasoSlgeKWtD
Wzm3lLJGgetwXdiLgNMr7On/kBD56pqz3ppqFcYznYp+bcRr5JvbrBk5KO/ZquZYBI884fTOXrYz
Wc6qO6VQMPMBwX/ZbWpnUstQF1uKXMHkqCf9FWZUbxMPAeeduWHs5FA3m2ws0vNUEDHkDvbwlWxN
uUPeV54WaS0vwVvolwp2gKchts1/1uuYHoGjWczPEPSmU9BZe2iWojH/hQrbDMJ6Kl210UCG3imV
7GjpeJh+Pb+yjkwZMwgLsluHChKXFTp/ICS9bBaVFIUEYo69lAE61tShcg6jI9x93PrTLPCs8eHc
8UyWqxOuNH0ZndmA4sCtjUKqcjub1WG81HNAFYvIzqwvFeD5yz4fxCkliIE9UGWLkBhFxGUf38K8
i1O9IINPJ9kSNB13oc5mKmrIHUwQV9vpknpdZPb6ad22+VrqoIIdPAYbQ7fj0xJ762rwdUEn7LFb
NZH3z3iPlkr6AunltkFz8MLnTT7m7NJ9agWbxuAERAnH8jQqynJvVs6Tgb5o1wScoxx5etYPz9/A
dFE+vyBWCCF0+DN7+tzII+TiARcdqI4XqVQ3oUT5JvQo3gWGUU2+yWFcmb7nIH6MBs66Q0Tuw9IZ
28JcSC3OjsCB5zww7snROe0wiPsDqfeKEd7qKqLFciw3gSasZZhSmfJEayxLrGYb1XN+xl1y4uYh
nlR/aFcNrsWrI80ywVeedUyAVswGKsdkuEY11bZmzWKNXqkpFa4nO3K1YIlzTlOhsbQQIwLYJdcZ
JjDc1nnLGVdoBr7gWNbJz7ygKh84gMrtjZt1I1NkX3qPR+5tGnov780gV3gCDhrTH3s+J1N9UNpS
bzdKaHT9ZuS47TrKknCXWXV6LawmLBeqyanGykDc/ANguuWsEmEMGnCQKjo4aZpqi04XSk705Dh+
DSm5hqt/eJeMJNvGeWSbvE4HjwZP8YziRAZLIzqR2TsmAO+sp5J4p1HrXPTsaJdKO2ib2NBIuRO+
uugajA5NZ9lrvMMuVX0dGgQ2NcLJinjb49w+QgOfs8CmL7gt4GRANif6ybFm8B1M0rWQ+Hp2mQfX
YGHHjrMgjEbfWCnRJ3Hki5Nc84wdm8EWN0uVriPf0XCO4oRCx9Yd+QrNX+l0Ow756sy5rjWdOr9s
rKI0mqbwVXvHnhKFee+Xm0bW1MIztOYfv5g3LiVUIjcEaUgCoceMWqg2FsdUjS927ug/qdXYIKis
xDqFonJswTsfRCaxHqYpWNNSqybwZf7hqsuyB6TgcaAc/Rgo9WybFOQbQO54QQ3Q+AoUxfgelQmU
nyauVnGEcNkqI2fZ9XGwFF2ZHxnXc24d711jE62bKo8O1mGe1NQZTGMisLydh6f/Z58Y5hVC0L3q
UzGIjEn+FoT5aRI07iZTKv2rNnRygSai2fQIn8luViRO0xaTcIp9d2VmdXFKccDZxIQ3Xpd8h9da
O1b7f/rOuGtjQrRabJhUfdZb0Qww0NB67WSLIDqcyDG9LNVd4qnDke4x/xxOLeTQORClMgXCZJwW
Bs/GbTN4DZZg293VCLnO0jjjVAO3ndwJ1S0s/CCN/91y0voJU66x0SMt3uWo4rKN1fqNWH784L+f
7PlcN93NFKrDXOwCV3VndzPYMo5rUNi7rO7Kb3nnxVdmb9VXBcL5eJWQ5dcuQrQXDcXbVvmZMbRQ
cJrE9qKfUOpNM0ZkGFiF5ezbTqnLLX7BfG1aRV0iuU/ceNM2rXEm2yp6oFpL8C8KJrXYIjUvkCXn
Vnrz8RO9+rhNT+QyHDQH1BiBHrMlTxNkZYvyd+qBgdigjBBLowpGcCwouKw0yTjU9YeVpej5psFQ
sGLJIbcf38TrOYB70B3QIhYrOxxWs3fsDXGPgdzblc6ATJRCI9tfaZ6EfMOO9KdpjM9eIGs7x2A9
yWzrqvOuW0aodTtVQe6Cx4S8lWCl6SLeIPJT1mWtmYsuV7+pXl0fmX3evDBoSq5rgln73c+f9WOj
LkYXUYKyU60Q6AYnxRzTjdpai1H7KEio12nZIJ2wo+QIdXa2o5hG0LR+c1k66zDJ7VmfZSTXmMNC
H0d1bpx0OIsXnkQEibIExVov7z9+mdPnft7Czy83e5l9E6Qq1Cd/bwM52pVqYO2laicbKhr5qrU8
4CYaUISPL/pGD2Kh6trQUzUL5eesF6cIRnwhY3/f+E67bmrlm8gi60LF53rkSm8+nkMcPKtBlz3Q
tIB99h7bQNcbJ9d4PLYkK8v0oFOL8F6MrXdipJ55Ay/7SIjD6xfI9Kc6XA5cuU4c9MtLxubgdF7J
wwXo5La07RcjzcWy6hxzE0uzPDLJTR/3ly+Qy03DEAYu+4x5WK5idBVOhsjf92MsH3hjyRpv0k0R
jkmJnN7I1k7lYfV2MNLkSnDkYV+3r86ugywuJgPKVL9XSs/aFzVW5KYl7WsEuJUVB7hKorc9dfxp
ARlCP1D7MT22/ppWGbNn1lVL46yTt8pUOFsdRjA+NW1w/L3jg+laBLqUnDEqloGOP/f6X1nm+F91
hOJof3VPO0kGBjPHf5l/j0vz2CGAMXWi2e1AYQT+aKhkCGjGbKXCPN1nY+y6TIh2vurMOt0FyAcn
QFO9NIeIs4isslZ6olh7t46GEw3pyAaLkos1ltocGEXvKp2KmU2g4TFHnXFSRt1wl4qoAg+jkqmE
NuQ09KLikJiO3APkiPdJNvSrhB3Yvhn89KD1nnHeDAawQgNrOyaK8gQIQbIMnUYcWVK8fu1MirpF
j2Mz4TKCX/bxzgzzatRVl1IchEP9YqRu11h3WXkRtsci+d641rRsYXnLbsCGdvnyWj3ygQqamL8P
QxGcl9K9E5qvIsm1u4VbJF/qMTmWAfzGZ/Y3JNtwNFywAMZnbzRM9Gb0G9ff+5H3s9AMf2c3xMdP
09XlqMp6JwUUQoTc8cppDHHm5YN3pIlfTyPcAt8AzlAwA7CaevnYeQgecURdtI+dvF1w0PagSCQV
9jDqa7uL/2bOvkDOPkeKvp6SwZDTuGRuE28k5gM5y8YMKZ4fIJbHV6MpYXk+9tBIEsrWR04qXs9Y
U8GAzDuezITQONtDDM0gB1idwb537BM/9yqwAqkgVK1OtjWtyUreQzVDtWpFbfZYSvobS9TpZIpZ
ywZMQvvOGtZmvUgtHxkGYlFnmQ2hsy99I1hDT6uW9PdxVw+p8li3ibZ2cm+8zCZpmd0K98ga4/Ub
RhPJ1M3OjfgeFPMv37CIFIo6sYPo1tErLF7KeC+TzjhvU6Cmk4Kr2fzTz+50QZN94pTYqc4h4l4V
oWrnIGyvhTJcKq5Zn2ZJcFd2hb3751eyYP66qsWnkIXMy0eLPSyzWTk9Wue6ax2H8Y7dCUbFUW2O
nG++0ZumJuSwhYNGDHmzqYjosc7sICDtk7xuT1rP+pKo04FbXeAJ4uOzKAI13Tcyp2KSd+GRvvzW
O6S0ZujsCjnz/H0O/+z7V2C952GLaJ/VPT5Ur8w3pceD9rkxCcLqI5fTX0+GpsailMMR5l/OHWed
l2mmpOSUR3tlNIJVZ4t+bYFKWLM7CXcpqp8LWbTRCfp6cG9IiJZ9O1hfcPmCspOg3xpVYuSTYfio
SrwQTZyLHV5Pb8Xq1lt3oVvsc4XlAoQyZ9uokb9VPMTu3qhgLuQM9sFqmysis6uvH3eYN2ZcHoyJ
llrldD41LxX4sRbUMqujPaVPLAO+ra3gw2Bx9jLQvjJAhS6Ro/REyzhwE9c9EX1H1oq/p9SX33EK
FiqLNgqZ6sSaftlra6VDhD6E8b73iMzrOeGG/9EbDrIc7day7OhSwWLE1q9H+mwJKEN6Zjl3cHiG
bVpV+VbkWrCQXTquqaqHqKXtDoyPZe0cxXDPFNMvVhBDwpNMY+MpqlBeeS26LakoSCeconsw+PVU
oLKt7VE9srF4q+vYJKio06TD2nu2FC6nWSVAf7TvKO1v0DJm67FEhAn4w1jptUc6Q5ENDx+/19ef
FSoOFksjyiQmcfDT//9sfJhahGOYw5J9aeOYVfNJjT6Ss4TPNz+yEH5jKHIObzHpcPAr3HnqYejX
Uouaih6kQP8PPdU/pQNBKjL6Hnpmlxy53jSxzHqLzpeZLmvzbIzJl4/m5hU5PDY9VgPltzJM4FCB
VVZHOuU0oF9dxeFTpTHJEEI+e2sKmpVG8cdo73Xg+CKQNksIuwSeJqJlNGfuhaJ3+YrR4x1ZZb/5
fBzpC7qMTXV/au9nr67xo7aIdAeaqObIc01T8tsud6vDxx3krbdGVYrFPP2SGW22uht8GXDQgX8j
6l3wWb7qnQ9Dq+wU2BZX5Mn9rTx5d53z9vUQDLBn4RjDmn10Lc1Oq07Snm0YrS2nJhPTlngdeZsL
pzlWjHzr7bHWoPTJyoo62Gy6jg1oDq7gaqLW0tMAEsuqsbJxB3wTi/twbpf9HYmm+foTjUo9jFGO
MoO96MtX51ICqrzMivZBocM+jXAawlmW8FcG5VyEqnX1ievZzIBcTuN0at5VygwEXBvEe6uAD0/l
C/RpxKvr3DrdtnnnHhl6b3zzdWPi7VNMZ1TMPxYGgEonLNkCcfCpLDtNRru+ZvXY2K7YK6qZr91B
yzl0dYMdp0fBkSXHG5May3KVjd50Bgzw/2XzRh4swaG3YxSlgFQ9afUXfVR9x/nb7D5u2LevRNcx
EY+xNp+NjoAathuXQbLX2shb+xB4dojnNcgvaXxkuL/1BSa02zRZkrProYL28qmGqO21umFpEahN
8BgbI7H0w+RIHqNyH9qICP0+c867HOoQS6L6zmrroxuv6SLz6Y7Pv8vakSNb8/dNPpt0CoMDC08b
or0KHx2YVj1sWa57ayMF/hKIFmeCSLUdfR8PcAb507eNgG4AMtwlg2z7cfMbk0Bqdj+kc1PhNdjv
clI1P8wxFUODIDUqu5A8BFC2Ish/IUDULkUugnGLwGkwd00Rmz8JPPLKLfiODihfZ93XDWglE9fU
jZ311TmeIzyKmuz1b5EiCEvrWuN2APmnLoaiwTfocOa3UONgCBZ6i93Qie/bJrvW9UpeSohYzoaa
Z/rkhVkH9KborXsEexCUK3in7B8njPR4rUstuciapF57LCqu8fEXB7yNcOeyDoDLIkZkCivfZHm6
KrHiBHCfOsh8xphB6rczRE6UI51+1SlGnW0qKrYJbIWk3iJ4L1j5WHgPKXDVDhe1muRHbozObZqG
fHHTXnaPTjEk546aBN9MZbSDZUHs+GlkA9BaYL+iSB/IPNVXflbaZ2qlFecADEE8GVGf3uk1syEM
hN7eUnnk3obexwozmAHSesdzH0p497eouy2x0qy0xRZWN8oNuHTIdDWZQho+mlS7T7Eh3OB7Cx2o
Sjbg4FJtwhvFygsFCsbgYHiQGFkSLbLOOqdAdOHfRa5E0dUWjUuCaZJpd2UTYp7R8fTYFxy5d48l
FuR1rHqgPzkvjqCqRcLYTa0uLtM+rIdFF/iYJTnkyZYYaiySUntTTBnf4fANOE38KAIdyJfN9+be
zEXnr1LMrfeu1tjihEq4maxkG4qLYhyCB8yEnruvQOfslQrEAuT7Vl6Mk7lu4aLxTIERhZW3Jd7c
+RHmac9LTHIEPzjfPJjxdnXjxZ0GpQQZhLbGfDA6UPsyMYVAR4O2UkJ3vEnNkCqq9HJQR3EjWgBC
QZt9TY2iz7cG3JwdqdH5dVfF9n4MgIonka2eE5VbXAs4QXA3MIjg227b9qrIxhLIQe3GsBJHqX1R
PeaUHXzs6GxUK/Vg8+pNwuV7cAQ29E8IaHanEv0UEtYu7ZJgSi8doGvlnbg07dQxt41J2AAu1xKW
Ta6rSUoPxtMWjB6hDuY4qs5Kl35xp3dF++jXceSiwhOQqOpKLe4NML5PU877jWGN8mFUQzCaXo0J
y2wGeA+234FnavzBWtagaR6tBu8q0KtSLZY60h4460OACrC3qhtZslNfOB6CxGUmLfuhhtpHwhBz
0APK8y5aK5pw7/QYOy3Acwzc0BEKiDHh9DtJlFCTRidksiPOtcc8IcZk69ZxMMVJ+dBU4tyMJphF
uiJXyrwNCQs8ycoh6pZJOKEpFQC7aIN1M/vudhyxLhww7RKXyAC3ydAT4yTg+5GjqCgHg74RG9ba
5LN8J4YUCHjgTrwO2EWgnvA1g/6RmRyGdRKE0oDjMeLkDyM7OZCBWR/yCPk0Sj/hY1erqx953aff
4Kmb+zR3STdRA+SdcGjbeo+a2rgd46z92XESjKQLZIC/1MJ4Ms7EmhMuR08BedkFibyvOhXbs4EC
5LsfGYTdYVV3ACgS+/Cji2Rz2w0JvnwoyKW58I1E95bcd5CuAnSnJufJWGn3jNTmFhNaepFgygWF
hjUFfWdK3kWkjgZ778KdtrtZ1R8Csyu+hHXR8UJx4hQbWaU6UGVM/KrH7mcxFv5wqDD9KagKoiaD
8tFa9PKwCA/M4FAQR8sYodmNg//Qcew2Lul6LVURrEBnbRT3eHqz4FEMWqcv1BbdCYhP8EsrIx5d
SDQddd46d7LulO2R8SWRCNExzPsclHd2DUaNQYcpvhtIdaZ8nwDCQOBtFRGF4fCbOlqm3OA48mt2
NNI397GoChXyU1euUgSoHY7eioPQpO2LCoFRmAeHIsB1lQITyfDnThwF7JNCrKhhKVdyNOwII/RY
XdehxEHptO5jR2N+8dP6LLXcb+wdo2hlS742y4bZHVVsJsmsUUfoFnTg+0K2BYkqMX1LTXwFL7uv
D+YyxQQwAsqQeriWcRh+iRLDv4+1Mrjl5yuQEabLexrjwTsZMWiIRagwWBac7OS/JkuDXGCOSr+m
SCO/yjopax4q6fFRDr1SrFxFwRPjZSxGFkFtYX01RsO6dgaZb5O+0M+SMobYJ3vFSheZbJRq7XQu
QB1wtrBf/YASO32iwSvk5imakYDwiAGjA9wQwQJrTAE8EcQbNHi2EDLli9jtQBCp2Bb3TZ1r923r
1/jDOwLobK1ItWXuKx1oI2ibC2EUkCoz2RWEXORNLyBB5g05uAxxDC12fp+WZX2JOa2RS2pGPeHe
AQfPS12JUxQsEzNjrZetdqcElnPuUH38u5T6jyT3/9/E9GQrPluwvVLTX0wxX3+c5tUTpxJPv2PI
/soa47/6SzbPMvJPdkECdbjKkv235vav2DBqc1MC2O+EUrRQ5IT9RzZPbBjVBjFpyvEzUX/m5/5W
zRviT5tzITJodX5R8Nd/opt/ucNWOK3A+DQJJV6utLs2hA0A9+vaFZAcSt/XtoEzqkeEcO/9+myH
K2wPMYBXKleUVO9T/B2LAZz3s3Y+/LUgf14teO+3Zxu9WpOEn2GEv8Z4cwny01nVrJo/+eOzsyID
n3yZkud6lSXR94KzVpAbpLV87s5nW2KjrcENeNx53XHiBg3lVEHEsvj4x19u1/77QmfbNNcaTU5p
Ev8al7+3lp2SPySZChwSVtCRstB7LT/bnXVcQRlHLqENEhl3F29EwlnJx/f/3o/T4Z8f9TiFS2JC
5HhXwDVgRJjmbd+ojLn/GF3e6DLvtc3smKwGSjUOiI6uRJtPQlyqnJYWBksnUI/0m2nY/Hfv+J/W
nwIAn999k/f9mCEmvPJFMZ4nzMG7yqq1ZW+FDW6wifytyUdFFfGR7eE7zTU/1UnQq/RNkjpXkWRJ
DqQX6IA5HOlL7/34bPgiDMmyzLLFlerb5MC1yTKvrG8fv4vfTfJWU83Gb0zGnhS1bK/qUuN7Q91g
zFnU7vXm1hm/UtNdlDhV48u4ZD2b2RCId4n84Xl70Wz4a+7+gMB55EF/a5beupnZeC9zrTZHu26v
pIdSgfih0T9ViASLzm2c3Jbx2Dvk+ijjotX3rXMnuniRMWSTsjzx1DNWP6u//6dkK8i/k1I4CFpU
UcqwVvJfU07ckWabmuetO53e1bNTCRUFRdoH7HEMBYKj8TgAfrFpEaM/paaidWTHkVukVICBy40i
WWyazUIk/ZLzWXBUxyQfvw9937qP2TwD7jxCVjikV2o6pQS4oLvLBaGqW82mhQg/0THswi+5gpIK
6GVB++TDUmgEIKCN9FC/9A3UVnsfxxuiLxaYCj9uIXxjb7eQ/rKFQBzGkLKL8KpMW2JMKkGpRr1z
ShN0Z1QsmkRddlWuk7pU3GgKR5FJ3QKNt6Lb1qnOarX8FRbuGRumO9cIr3WOKaUb3vW1/1WpyS8l
iY5IhJMOq2UVDKeOxjGmZHHXB/W+8YyvQIceWUitOpz2BDf138s2XQdJuXKD4FQqCKc8b1c5EWzR
8cJu+hvWBScwSbccSpwqgQ+mUj2ZWiwk2hJT/kXdyu1oaleRUn8Ps/I8K1BwG3q5c4GdBmFyFdou
1C+F8IiE2LQkue2UbpP08ZozE47oIcrhBTmxwuKEBK9t3ZacDLQXhpZdT7BCv40zfGPeAXLKJ2fB
2RyudalfWk1cHvSppBT0fb+YQoe2MtHTc7XOTJBKRs2GPTryzt+bqOYTez/y6R9wu0OA2+hhhY8/
XX/cnd756bmpIurIGnIxrh7Mjg4xNjZhRMX95357tvgy8zR27MIoDyXRGYvA9i4cJ7z++LffGQXq
bO5ulZrAF+rcB8wuNfRiKIFXEUEBl1GJ7fpz7T63kUGYHYTpD/Vh6NwraSYnkRofKcq81+6zGVlU
teaScVYC3FbkYkzyawn0dfW5xpku+mwSVazeUSLDr0kucrqlYsX46+tY3cbQfD/Zb2bzY49QrSht
rToQgXUYFQVgps0pw8f3/17j6C/vX2ICI5RyrA6d4HvjWn6141ws+NyaYi6KgcnGoSqGuUPSJ8gT
Q2Dv/tPnbnw2UFM3GEI1kNVBg18PpmE8YLoolp/5cXPuABKOkjRtx7STeJq5pNYFAy0VnxqrCFde
NnlkKFk+8RIOce/+GBPM+3moHlkLvf06KXq8/O1Er4bIzMPmkNbONqtQntYa3PTPtcpsnWVAJZzO
C0kNcL0NrIOR5If6mNj+vTufjVLP6ivClhxmmRLsHIEx1iryyDr++NanVfPrNQYq1pftkragiDoO
1g8ANOSCBOBNm8Q3ZRydQnT6hfLvhPpCe7AQUx4Rt7z3PLNRi0piGNV4aqwi/kV/WlICOqbnfu+3
Z4PWzYUfd2AfD3pVMNtT7F7kprn7uKneWY8hRX3ZVo0eOn5YkIrQNiJ7yFJLuR8FbtOk9RzEFT2c
JLoZ2bClfoFCglC9kligZWxp1ywZyssMue5mxBYKMcI2LhKUeYusIHRVQTa2gGrZnUH4+kmMFYFC
LSqDj+/7vUaZTQjwI0XfK2pzKBznye9JI5Btc+S3396Mmc5sM+bJFFkrjM4DMn1ll1oc/ElD3OIo
Q7WYVGeS1Ih1Uqj1/lPP4symiLHpUjeDiXEgqWihVWrMKSLn3Z/78dkcIXSCSCqp8KkdbI7gK9Es
aoe5+eNfn8brGyNtXjXXDOJFyMtqDog6Qoi0Vnpqdk26QseifeqDbk48ieffXBlZtenYcXUIlJwd
A5ImIk/Bj378AO/0o7nMwCuNAqKMUx9EM+ggm+qf9kCU0Mc/PtNr/ntbz0HZy3snC31IQ6DaB8yA
lE2anGyVLvyBM42VeFmM66hvifdwgvh8gA0EpssoqWdAIvr4Bt57utnUkYuEWdauqgNHw9d5UZ3K
zP31uZ+ezRuU6cyqSpvmkAvzR6GaP9W6/fnxT9vT7b3Vq2aDGxSvIb0p3TvKe7mnGmTDr8lc9qsK
MRc+wU6rAmw/IlvxzQ4Cc9WVoCBjJqsTpRkn0TqpBS4FtjU5bfJGpJlyDqnd23RumrO7GaiUeB7c
t7Thc+zF1XbU7WSdFeQXQqD7UrZeutJG6hPEievrVqEiEjiBtWBWB8uqNemO+nS9cvvO2OAXgLSg
luWVM1jFPiDMY9EQeHuBOJUCFPqfVaqPzl3sKmAuAljhBnk8N2ARmzvKmyjpS6tYAcoZ1oOj/sBr
Hy3VTmC1jpGfjJ1GeUjYBAjYFMLaFDQjcRv4WFt8t3372Ick8pRp+MmvjZi60rMlbt0pyKX7vDyA
G4xXBONhxG7SIzPdOx9mMRsPIOQcs43b4kDsMIXHcKqgqNkTAnbOHEjVJRGr8IKFFrHzGPPAP7Iw
fWeWErMJva0Cs8ZbWhyYygOS+jJCQNy03Pf6MbXFOwNNzKZwnVJojLyuOHiVd6akGnpLvdKOTLLT
iuuN4SBmU3iMOM6DQ1McOIqXQIcrCLGuUDg5UIa9Nijxkbfz3kPMVnyYb1Iqz1p9qIvyUlbedzXL
v3w8pN97A7NJvA/j1BlITz0QO2DcO5WRXmfqSMCtHR+TwL5397O5bhhLnJrhUBzUQD3riuFnFDvf
Pnf3s7muKgY96nzWSFUS6qekXEF4I8zx3GJzfOQdv9dAsylPGlTd1aGxD3qoEgxdKy3wuapYwrft
P3VCbs6l81KRYqgG3T7YEOgWvTl8jdzuiED3nca3Z/1/FHYZtgW/rSSVXMioOi/qz53so4t9OSPF
GJB9m+rXIUqWlbUNPrcZBv708nexLSiDRTbgIWmbfep2D77hfm7NMreX6n1vl1Wt2gcRuoBYPT9e
4FuIj/SV9xp7+ufPpujKVUZvQBd6KAONMBJyi5aDFhzR0r3347MpGp5CW1pJah8sJY9WVdJcILjM
j9z59MremMl+f/Cf33lfNrqsC/tQqm1xgZdZJfoGsr90NXJfXZOsHkHuw6dG7VwKD5ShEnVrWAen
L6HwRuSqwDFQLuAZZ5uPL/FeY81GrYJ5Cry8Zh26Ilx2dnmr6O7Tp356zt/wQziiRTXwkkslXvhq
Taa9Bab0c78+G68OVrA4aiU3PiBO0pzsBvrX5z4jc3lyHBCPA8C4OmQRREYNCHlQmHcf3/cMY/Cf
FbU1G7RI0pwABbl96KOzrBFbjL9kf2307IsXkPmLGC+0Vqq27dMn3XhMjG+qOZ4aNuJlYO38XXkS
jjFBk0fmvd/1sjd6tDX7sJn4KIY4SsXBIfrL7vulQxaoBkJzcPW96p1RqDDlJXKufdyCsapAQjM/
luaW0FU0qRQxSjs7Mrre6Y2vHI1RlI+2neQHFgcbMM0GwSaR/OSPz+aFzGzCgq1kfvAc61zk5Umn
K8dm4nfKaKalv5zRAmLkSU1y0oMjm+4HqXpyCjZ84HA+3BTjFBpUWsO+D4vHwGu/mFpxS4S0c90P
o7EsLCKUQarUizhGR9ba1K3yVgtXRqF3l61m+ld5zb9XN47Y5XlxH9akaae9/p1iw7lRlsknW2i2
Sugp/lvSq7IDGRm/dJ3YIpRJ45Efn/r3W/1sNtOMAHVKcj7SQ9kn50Q1o4hgY0fQa/qg+93nRq45
Wyd3VJBIQeqSg/D7B0lWit3dfjxu3+ma5my+AQdNYrjSpgcgfOvUjYB0Fsfa/bdN/I22mUvpwyYY
SwL3koOkZrkP+lG7KaA6nesK4aoFGcUku9YFgG5kdqvGV/oLSOnJ9SgxS9ZdkWw6+OorYuDtR9gn
7RkRAerGDzk6bNgJooXQvlh6r2+8pnvqKwMdZwdpb5Va7FrS8HMVedw4L8eAn4xeI7OWxm8IAcTz
wI7ic7O9OZuk4ItnRgK3/MAo2toiu0X2fGRCfu/FTv/82RcdwhA716SJD7GTPbmFe6fZR6bW9355
NuGoXY/fRubRAaSMD6TSrkgIqbef64+zCccSFY6M8f84O6/duJGu0T4RAbKYb0l2bkmtLPmGkG2Z
uRiL6en/1XOAg4HweQz4agCP0e5mqNq1w1pTdqkYddsYSWtEi2r/9LJeu6z+19v6z5//66qYUrOb
FZT6pXK3I85MohqSY/dSHSi5g1eh/Rx5X/1hXrf2DC41LmrL52R/uJZNCmNFk21HGKLIH7x4VgqU
aQb/maItScPaeOQ9Ddf06ep685pXGhuukJ7CFI/x2DK3h0lKHQbvbeJPbch9//yzBoiuv7t4X9Yi
plGA3lhleZlX/XtRs7Tq2p9e5t/cdfPLEkQ12rhSiIpLN9bUyudtnYm/u+dfEQeZXySOVsjiErfJ
uRbXVsa/WzfNLycUNCZ5itznum5ehyA1Z5PM5fNfXWzzy7JQssCkmHSqC0aT2Lq0f7mff6U+1nB2
jMmZi4s5lgKDS5UcGtW527/71l+WhSIuZMWBk0+v25skVm/k5V7/7qO/rAuybqui6qzqoq8F5kxV
NDsNtH70d5/+ZWFIGUVw5lEUSLDgmfd1cUtbr/+XH/4lQmhq4WhOq/LLUiavhpPSXj7T0v533/zL
Wxmvk2dOGK8ujAUU2wT+uMmgxF999lc6W2HROY3asbgYud9vxskj4vKRcP/dp38NDsg6MSudVRer
tV6rXH6XDUf9//5sULj/ey3+Zxz9X2txnDRFoZivuehC27EQn3ntbeeFtdZuvYNedkFWHfr5cF2j
YeVv0uEVR/lGLCJckjVCPxAxlnWf4E03lbnrKjqv+59m8cQnlCSGzdI+Cz7FoWHfdNSe3G9gVcvB
NM54HCKGGFCsvdacPh3WdpNhqWFAw71eWMAbae9rdRj17XWp7t2J0Y98x5+sPBbaBNmZ2TWGw6Tz
ba6vAJ7hhv8pCosAAb2et3z34p+694z6KLCsOw67ZzYDOt5/dvPBddKI1V/jZnkoxdo8vW4LtWqZ
s7J2/OutO+DPZdiAH5I1D3l1KPg9WvoZLw3390evGL3h3+EjDXLBuD+CMb/hr3m6teF7wIyhc4sU
bvX/LmOPIq8zGXghfpkPV/1jNd7y2/L4k377LReE3WzUm2NcWpHK9KhCLie79jjoWz9mlMjdXve4
xWUQayzvagNV9dy+xj6dls2rsA/FlJwVxxqjupo5nFe+Q0J+JSmrvTDeuh7/lLTf8QudYol4sJWh
o6ebNYG6P9wI5+xSQErREjtkUGnPDxNmF+ZV0PWm9tdLaMx6yKEMAqjqnIhvPgzv+OADfVpOEGyi
MqV9sImKBqw/2F/15hXODUmAQF/1qP3LpMJXPlo6Ue6FV5NfgGgxpBDb35Le+cPrcN2R/keo/JW0
lKT9iCCNY4Q7TE/uICYqUGrYmDW3MuvSAfIkLrj/fvV+s5WLL3uAV3dON9ITcinS5Iyb9dlKnD9M
sf7uo7/sAW3RMk+i+oJ5rNQ6QDhxA2t2p7/84l/2gEbNvoNhnHO0Vr9VEwbJofpDDta4fsP/dQO+
bAEtRWvbnszsInn20zkNjW468oKlysbXtr1GPH1xj3V8GNM9I0q3xvDy37fjd7f+y/5QzoMs5zyG
fmqWv6h5aZfY75unyvGKX2Zm+7ceooU/7EW/+5lf+5m7JbacZnWyC4yx9jT5WHpkHyPqxQLBFKU2
30gvz8IEBVF49TGjvuwM/9Bcp0ElL/4hcxPjD9vLb37411ZnnAMlg62VvOhowG6Yhyhvh94r3zJY
6ayaS7JRedn/3bNjXL/Ev3Yb3GA4hpdcXux5+mhL761i6Oq/b+BvNrKvcIiSSaaKobj8YiCMZH12
r/h+LDFXRchBLzp/r/nlEglD1H93BPvKY0aLtMTeXJQXFHdMkekF1cbyLwuNxtflAWoqdualvBRT
/S7xUVW6+PbfV+o3y8M/T+W/boKZdr3mWaq8tMXyYjjjN/Kdf3iYfvfRX9aGRWnFkFsivwyu/hL3
+Wvb2X9Kg/3us7+sDXXed4MOqhAntv4aFyjQ2z/hk77gRP9/3vTrULoRe7UqfSu7dK6oYKrpmMns
ynrqkS5u0lwwuK1Jj+pyrbUCmfJyf53nZ9DMrvIoVZmxq+tUBGWuVZG2tONmYjh5kyV+G5FUMPZd
lViBNSbOtuBHRJMwZBGlcRv/KQK9XoT/sXB+7aft+mWcjMZPL2qWTNAWW3Q7Aeq8EDVvMMt74pmF
hgr+o/eM2I7UEwi1JucVpgXOocs1oloZJGJX79eLKJ6a6pjPGr8I6SCGN4Mh7GpTuNWGaC3trM01
dBi9OLxGW5n5rSoeVM9IJLjrtWdefvypq7dR/WFf+M2t16/v/L+eWKdy9cbO+XUEvtmyY6D5v98E
AWvhNxfuy4rUAXmZyI7ml9Jo0sclaxjGpPb6bDmTtx+ROG4AqHSbwqjwjU9lspMayDbKzJ65Mzwd
f4/KQU6unQx9e4hFSJtF9VKIlHyF1ltJIOGCRPBcutupy0h6IxYMRjfHmaXSlXVqGm/n2i5QttIa
1jb2sJejYH6xcQYDhs9UnKZB9mGXVOKodw2RSJ/LcZvSc8gdsrRnr/Yf9FKP7Nm4SwcYNebMvCKS
SDsY1qVEFtp0gcsUO3oPhsMDKccGUWtmnrXUN4nkF6xoCmWUNVnrdgEpvTFLLfulqSn/8PBcfo71
2HymTd7frfjgggxixcZf+RK0cNtQpwz1GndZsuENYRR/diXJZU/gU5n1c0wT/9Zp5vJgQkOL8CXc
AwP/nqfmAsVS00I0uB0ep3Q+0mcH3FqK/EowTnZF235kXjcGzTRaN55VfUIKSV7SNX3366Z8bREO
nyywRrsJsNzW1pnF1iuQNoE0p/FO6uWwm4ZZ7YEEO1FJg0q4Gpl7tLAiRfRWEKlOqwYXJnsps665
zTVckhqIhxfORK4kPd04H1ZrWAyQd/ds1+GgpdZ+aa1kw2fLwNCHBQ2EMvgLVKWnGmhP3tQFAAs3
uYuLPrvLGrD0CbOqgcryb9OMfHwpWEYWYBf7sVpE1GnGGBY4Sh+13OU9baxfNA5ZO08k8o6PpdOj
055VSUN1kcx0CY6J4lKN2XJYVhBIVJMd7TsiXRGZUjVR0mfD3jRaLUhWU22zyhVRn6TjPimkccgt
g7uDiwyTO0jJgy5Ld+eY1fyuAxKN/NbyD7mc9d3g04NVLiYy8jrDqN059kXzlPyeysTEjUVD0LZW
TX6MHagK9HcTlbnL8lTKcmWkVkvJ7+MMRaZXOl4fdKyttI+hrlWDTwcSpmSGcA1XOYGP3LgM7TJf
zz576H03WMnn4MQ1hrjS/G4lFooBs4jr78Wo8q2v2R2Gel3f1bHwoiv28xYpYx7V/SKeKxueSthr
8fDBcLJ7kMzdbvqlXMI8hfPLoWTsf+mWzRNa68XRY97uI+twsVkLp0t1tRsuhlbsYB6I7egkObY/
bKVkcDGD2Y1fBqOah/1a9s2hk7X6iO3OPjZw7JOgLpuZN2KwjpOLyrgbOfAqjlRmC1VEvNmtGfoi
PXTdlEbVjLW9zdyVURnfRyecyqP0V/O91zPzxoAFUgUGRPSj4sUk9CyxGWvLcJ/2jb9J2E12+uT1
yIgGt3oxRmmebc3qdnU2WlTMysUNfLc0P+3Cw9CRm7ra0mDSnzpFuobEaWbcpqkPeH00JHrCRp+L
E7PWWBWZ5TEOnhLyzmv1ArAfbqmAufrqZYI2tKuYqHke+hFPoW22NaCK1Js3vlHB8qjbzEAaD4EW
kITgbNZ21fqIhNkJwaWsP3t7ZWLFK5vFAZE068vVG8oQgudVUJ4dT2P7EVaNkNlpEkUf+Dz8AKQS
Xz/IVi9IJ0hqFd30q+k0Fo9cGTPdZsJU997aO5tRCKhspV+iNLXaSaM6Ic1gjivkTunK6GCsmlt8
xuMOxIa5sRvFdBX0jipaEyGPeSZWahb8GplCOOp6swmMCWhGt6TmuVr74dT2IKmvGCkZ1J4+bFar
1iL4fMkGl4O610kQRjP0jE0/0NVWjECRMmnG5LA7ujIKt/7Mh2H9gLXSB/ayxkE1ZaHCDxTXSOFW
eW4mUdfBtNJUJnng52AqNHef90pErpZM0eL4KPUye7KCeHQE5kxqad9R6apdLxLxoKfOgkPTm6yI
2QJm6ZpBbE0bRzJ2e9iFwuw2ylZIsOFFb0ojXUNjTIhf+0mETTqUgZf5aRdZeT84twZc9av7cPg2
TIN6Bak1nRNacfetq+ZmA3u3eMTiG9+nQzaSNcHIEthN6UVK+Ck6U/g0S2BJfQ6qnJpNo7U2fWUl
6uvMMT7MxR6+Lzi4Q08a7e2A7ZRQPamO1jxLWMMzGQRDuiE+yzHo7bZBaGk6dzh1+zkonJrwZqEu
L2ORHNNuRMQrRmuj+5V81tpO7lPLzm6bxah+AatnTG+e77w+Jm7JevOOX2WiM5ynzzhelvuRJudw
aPzxe5Vb3naFTvZqYbg8TKox31VllDxdKkEVCIaGuXInSHL9m5HlP/TKvUvzygrz3sDPVVtrYC1j
y/yrmrZZGT9Ogg2gsmBveL1co9G3IS94XsOTN6tIKftjtRYrEBVfyBNzuS0lNQwv1daIAc7qhja5
4a6vpj5wK0PtO2ban0pTYGJlYALwZWpvOpOIri007LAljZnpENuhcl2U1xoO1oo/T8yPRsKNQaxs
MJAeTmwU90QxP3Tp4MO2a4e/52s3zMt3h4qe2KgEiE+oOtPhIrZ+Wx6WtMsgIF5/RzIk2y41jJ2X
jM27rnty51mDe9tp8bj1i0Z/mBzAqpTrIM5YsUkvr16Yu2xCnM55Hru8lHrzJBsfPwDcxZLoSmnZ
HpeJSKNWjfohXnVJ++bSbZUCsChy39kupvfejepHrbRktywi3pR1weZFxA47KtOi0vQUj/xcHWWB
ATNYF4Y9hJiHrVuolLm42ho2NVz27SiTz9HHpJ24WWmhUAa8gkZGAz6j9Kx7QtXSsERVVpQaPoyq
xil2vV8vO5YgMndWr+86YO1hfp3IzAxtPZrG6HphMzEr2nSJfxjL1jzTsfZgZaUXWBnQx9XS4sBk
bJn+hvbzGs/eMp6rAjcWExBMd0gQPFucH2qRDFGfdnmg6YUKM+QEO82MrUMj0wkLFW9ypXJEnOwf
x6oWIHqko51KzX9L19w5yMzSzlUzPSf6KEKI63yd1jDfHT9PotwqfnXL6O6LoX5xGzNBPm4oEqYF
XSFAU7RnTNTaB3lPPXRRWB872wUZs6A9tjs/ytNlC75CvcPGoTpsGfI202xj79Vt/OyoqTuvbJrR
darTl8sjS8gUDdo8Prernv7wMoBuiz2vB9Em7db0WKt5T+sAWerMK9H72c4se38n8dqHjNZraaDN
pjjLaYS6Kl18uubIfLDfDaFvGo+YoQkPfSZim951znXlJqcmdwqyjtI85kQkMhg6CSXK7uZPvyqx
M039kl4vGaiAQLMQhRosCyghyskljkH4IDVvCdVkl7dtL/ozAD9i3sQY1ZXg5T3VXafg7CHf/pEK
3dg6Y5ec8LLfESmKp3wcX8Y+j8OJZn9854keLZqoHvICjpyiSwRqt+nfdXGnPnULjWniZ78cv9E3
ZpOJ59WptRGAkgUjPBHGPnXWhn7+3L0pa4NGZuBEeoSdeTnDoXWcELhve92p26BW4xKwQsLTYaYq
0qdW1zYsoPK9QI82hk5RFJGOGZEVsGCKOve9rcr626VN3NO61Nk3y6nzHaPNTrBWVRm5WbrsZ6/6
ReaeU43q01PBanuCv6Jv58HRoziWn6XtDiHNF/DE7DK9XUzBmw+4O2zE2NFraizbLrfXsEUWwNhD
0QUAWsu9YZoshlZqUaudVEnOa/2RxuuCXNrL8S2Crso2CNNZPFNfdFu/060Bu86crZS5kSGnzVuF
6emcS4OYkNCFgdziR92O67ZZ6nYjiqTmidJX+rdGa2WeXOrEFJ0vTkC8qiD3qmaTXCd6a3eZN1pW
fFrgqAHfdstGkZbdztJth0D1WvWEk7ti8KEin873/gk8ZjxkcaIFucjd7dw1zg4+RHVoSwjSia0k
BngULOYwNe+tU5vfGgxLIdxp0FPkxFFXZ/Oeibo+0sZJ7aom7s94xJJ9Pq7yRs0Q4rthLEIjXnpU
evMQ5o7yb9VoWs9dPTRne+gQn9MAEPgDj1TCGEXgpSxv+tAiBOlTWNc1m0yuLR2rVJ3cFsq87u6x
F1JrcA+O2cgXb2pWogVHP+t8BWyxmUPTOXGws3RpOMuyuzXSZODcSsWstdCPQJVLI1y3KY2IqnjM
F74B+XKIjHSOZ9w7zX8F2MbpdR7le9UPlglgO/Fe2sEd8mBeDCa7bX246eJpvSsJOcKyca1fK9mE
FY9Yh6renOP+aVx0EXr67PxM4sLYG33jgRCnP8Wb3ZSGhHTeZrbzVqvJC3Fu6YHla78s4P2wPh2s
M3OMFptZMLShzEo/+Qm7Xopc/JRYyjkttQ73t/YRdZem3PPz1u0EXorS0OAcdWnQzNJI8b1GiN5J
Br06zgkcanLjblp7XwtsSw57O+t/0VgAx80ea4BPMOrb1f85xWm2QWPUoElgx+77CqVv03ChVK/f
cv5daX5nkLLoWnu7FKxQnuqXu1Gxui1A2cIJNNcDByjYUkLLwjRP543SpiySOjeIWQe0g+WwUnta
xRbxA3MXllffyOtJxBbK33Sz1GFkes7G1LLuWHvuGvjGYj+WcOYbViGOdos2ytDj6Xto+jrdxIw1
0OczurwJjvkoMUPrAQdNHfdMzZyaqLTQoxVvOxiGhTCVx0r4ZvuSzzPdGizkwZhmv5JkGcIRVmKQ
Tp4RMZtUQv4ScpdLNe7q0TE2U848sBSoKBN4Vrej6LKeJbn5ldZx9lYWWXJio3Sf63YoDpotrod0
SGEGMIHdmsRxaGkdZ8ZV1cg3vOW29ss4NMvV2qFHWm5jPnU36+O6JzbAB+HR/BivGL4btdQBA0bT
PZVZLn6davt+FOvPpTWdSNMprFWNv15Qi02bUVY/qjLT7hG6aZumq51nb63ifUPQfWrJ+QbeyhFi
ruIl8OaVqAMS3NbKmYxiRNZ+qpoyuVlLK74fO9nhWGHqoSI8IbaHxnajasN8MJBXbC26mg5Ju3YM
Adrj81JC4zZQrW9Ha+w2Tju9TZbDMF0vSTF1rkd50u33AxtUoEFjOMUUEoJscd1bZ6Kuqlronb2u
5HmYcd/CSl0UoWUy7mGlQjiorJ7nQsqd0ZGocpIxexMVl0m6tnsh52FBNFDfYsh0AdtA9d44dr+V
XfXQjdadGBd/Ny9piQ8hy297hvACt57EBQfGpfYq3QlsbbaOep2qPmoTIH3s61q6HVrvxaldI1zd
7M1TdSj0fIj0Yf3k3PVWpvF70ZfVL69KkFcqN8rcWY/UrMQSONjew9KZv+lxbR88hr83RbtkoSkq
D3SZJp+oQSfRQPpm26OC29TpPDIKNGbnxdYYPtJ4lRNnaEH/5x+LSIuATIXNO+V/xq6L0WItscUP
nF6V2WdH0lv3qAkaMiSr3GSQ2HhXB2cOSqKijUoBWID1s5860YljLVmtLDntl7lVD8Y6a9sy+97o
nEI9Gil3aGIuHIrcPcftMXSvUCJV1q95mtxZ1ciT3PUTZzJnfh163f1Z9GS+eOca7wGQWXMSuSYe
UitjqtJU1QvUTOsSD50euGY7B2PT5Zs06ehtLwznSLrEuM1sjsW17sZ0HPlvvVpvzdQ6xRbVey8u
66iYRbItamc5xWmRRRNwlueKJMONTmj6M1c52SMNXNU4LH4wpP1NUefPXDNE5FbzsxyMliSSrzZT
hd5sqYeXZfAeCcguEAQ4LBviI/PLp6GS+YEWXjestEmOQWxDVVxjtpp5IvewmLecVZB4Ju1NxfoS
TzmU8mktDx1oWri3upvfqEzrzxqTPGQZ5HwZSm/5hmHgGmR0RjjkGRzJuYva2t5mvX+GFwh1Umru
MR/RGdmmDfZPLc6W8EnfJGlGittX6Yvhp5Gee+ehFOZmGJw3gMfPlmXPLyaP6z4z6u7sVKnzRII/
22K9HHbOkImgq2KP22lHsVK7uveqnypRRhZ07lTzGOr1MXVKZzvJQd9btemEHAbaIFmcOQkmSdNJ
YFc0Yk+Nea+ZWqBLz9uYMut2GliU45W/uJ84xUd1lSXYtMlM6qlv7auugUbSVfbW8mQTum2Vbkri
oAi0phvJAVuU0YJtbFPfOSpBlVeldkR2OL9dBbRSFwP9geaRo970Ud31KbBAY9pKZvDOKi+0+1W0
+bOZc9W50/7JE7Ld4G8jCtDEnesZnBRtm9fLq6CASU6QRAM/7KEmn11bfUiEf8e6hcODzfOmXa0T
mNGza2TGuUlaWirk2AWcwLW72Fw+xgVlX9UQpNiuPob1XJU7zSpGIoD1h3PNPdHj9+h2yg+bIXcD
6KNmRDUJluLc/TC6FnDetRlRz27HmQY/ihwruVHjfi6rkzBjqAQJnMrKBdbS+EEr3HM7MSIkenXu
0FqGHY9J0Pfi3APihP039ptiNH6YbG3t3ISc93ICxlHjbKC+jeRQTGJQlDv3lu1zVF+rZa9XXfbq
uGSt81amdw0HisO01OIESs5GCe45ITZ25s+a9Oiu4uj0VHKFsWtNe2eQ63SN9jlthXfxZF+ztOje
scWXF2qohLIZhia1hZFt2dOjAojsFsHHIUvreZOmgtW24GnW7am/p600/2GgwrUa/Zkngi1Qy7Iw
tgc3MIS+nwbYWJBqiPX2zlgCZ00+ejM+tmV921ZOHlTafMrWe1whkavPuyxFCTq6Ez0etpZE4P67
Lej7fSvWKnQ1P1hbeY373mgKfjQz6Ufjwkq/VA/jGh89Tyv2LvxRshCKLAjS9Nb0TwMb3DB424WO
4ESu42blmQ8ARd7ljXnuNCmObqWeKZleIOqcjHi+73vuvrRiZgQKG+BkuU77cZwuCQ1QQZ1nKlrs
TF6Kwq+3SMvHRy9xyINn61siRbPNtI+uyT9Wk2y+BeMgdGzKIS3oViY13WzruZ3z3a7WY72M4z5N
4xwiKo9KSpjW1oFfNi9K5U8lla5ucJ9LS0ZtnxC3avLdLdrPpC/pn2aziGVpXGcxzxkbveZmxg3o
ygcKK+FarfeiQ0ciRFdFg6CEBoQ0oREofZk19Ssfzb3p0PPa+DMHoO6BdEGxA5/sRd4qUyzWCHnS
9lxO+hDJ1djPdL+GRRGju4S7e5POunbrpnx9Y8JNn+unlv5llp6qCG2Z+o/roKd0D3HNYG2S/oTW
sQ5WGbatvQFo9GirRYYqi4FF+ZBoOzJJU9rssyKhJxafM5lHWQayVMNri3h5Y6UxTIM+PRf4JF19
fWOWSt9MBmESMZ7az0nvh9ityD4t803T0LJrzN87a9gTSGqB4CCPQeyH0/njcR1SRfar23uz3Mkm
e8/b7Mz5/ATsk6d3SJun2DBPrfvTtsVrrXdHU0+ibr4jNIiKjGSI4xfZKc8HeoFJyHOumfQJPKns
s1fpyB/9xHLhG8W2M7O3KR7ckzV749EbyPSJpDVvKlE/kMG1AxrVnwry6kE3rcd+6Ab6Uhl+1oxJ
A047vWeC1aU1h5uioQhqDxdrqY99nbyT8ayDzP/wZU0CrAlTmuXboDOqs95ypO4ywziknRjCybwp
4i6JRqiuVA3EndBosk86o7uuTegyFBMa/vpa+XofALHdLbSzSGhWEE5dbONWA2dWCuu4rsk2SR5B
mZwM7WJMnGtn7xvL/U1sfk592QQ0UxPtqXW4md2SnGs5fyaWr3ZpzRKxWNqvwtT2mCbbA5MpB448
8kB/V06BRZXfp7guteOIbM3eMRSTk75eE7eL6AYrqWOXdkEgbyI5VeVzo/kkmF3PTFgy3dmng83t
vvVi+tlrFKSobZr3qRif4+ur6vglsGLbNfa1gW8zTbSRfp7GJy07xtlnwdi61qrbpeOIXrVEEBz3
iyey+p9aqTV7jVnS1klFVBbNvT5z/BV2GRQZw5kpFpKNOTrvJMSdSDTGr770HxyaBg0JEi5JyyEk
qdluzLiudgiWs3HmxKPqSJu7nvRj8boYmRdaZXUj/TNd43qoj+Om6HlntbFPAnexH7QrLrxsPhXx
ny4gm7k4Y4hkJZ1xi069R7e2Go3q2uA2wWg7p1LpEGM5XK2gkBnMqU4jl2hECe/q2alQ+gnhcYNL
WEfzUeqP1+1MtPNJ6Z28m535gQGZTWoOO9dSr66fuYF0B/8nfM+d7rDhIQZCHaP/SCrDjaZp+cyL
PtCxkv7QvbqAy82Y2gIATSsvXpc86C1H7saULqXIGUJ7vB29Ot8scb6vGi0G4iPTGzsT+c4Xw8vU
d264OPKGymbJMkRxxBzBmcQE1GRn4FnTAqfYW1dqFSrpQI0b+TupLnJjToqanXw7aZw26jUzcOpR
QkFPF9ae6lGbiyfdNrk+/S3A7k0WN98Gns+wb4cnr8/tTSrVyozp+q01/O9lVnwTfv+dyuK60TzR
hIacZcQGgxc6rx/VKs65/tOwOpc0qZ3vLXqpz2oqygCjmx1q0reesdY1G7NPjwZMvEh6lDJyzWwf
lta2o2ao91U2cHRKs5GCM3nxOKdYpBlt+TObOztsSv21GbUh0nLdCtulqkJ7pSWtNdmgXCGbB5Vy
cEo4q3GWXLpXToEPMeyoXdGYNHa6c8GqhDjAi7UuzNyxCXULE66jxhe71vpbPc5iFLQGDai2RLE6
F/NjabXFSzrmJIattH/0XFJxaZpMN9T7nI2GS+3RVaN739TqvU2thfjDM8AcpPV6meshvuFoYz1W
WqY/sROYD25SE6S5831MsQDOT+eRDleEKICJ3/R1bHcuPimuNWt5rE/mQ9vIafNPqOpjtzQj5nvU
uWELPBuZpIewX+onc6mtjW3nD7V3ZZaDoQ04lchoNZR/PzmrdxKtZCWBP4X4PPtggFXuKoLk0Fkn
AAYGxSv6DsSOysJCwdlO9mtbPS1tNrBym+N92dkt0SEKaF9B6Utrkt9JCWVB629GQoOT07iozZhW
2OOxKqICdjqzR828X6d6uxo8vUuaaxunM5M3Vmww0qr/Nq0QN4N6oJDiM7Ab2XYtNrqTtCd8r9ZB
m4XYZKpaQvALp7ISfShz4d+WiS/IBMaKURMG5p5Sw5JnIdYMKgksSrdY7oVyqf0XOmN2ppHDZrRz
NsoYUl6Zm3e0I8z3aatde270X+bA/SqkbT5ZGE5w+A6UGzu1RnOlvbYztYFpKDtOE5TmJz9+dB2L
tN3IwtmEvB6QzzOVLxH5Be0ZVgaJpZnJZh6gnOiwt8u9EqrdGyM5A7KLjh1lnree5pSLiCSsOyTx
xJPsen4iIostPup7K3vCIb4caxsEdznZ02VyrykHjGthH5eSQErLXiYFD3Ndev9eTNMT2QU96Cie
W6znsdqvY+bfzquXnMUwVNt4LukimKZuN2bteu+JSbQEbtCxGjOLb+YBQxWOLPOjzaw1WmNfnLNc
0JI/4NUkE3/dFOw03Q0ZRxFMFMaOWi+uWruprFNmxRlpWDTr7eRUP+PeAgg0VgYBIt0jgr7wVY+/
g40vDo5vi8PQ9uthEso6A5H+P87OazluZEvX7zL3mAASiQQQMTMXZVmGVfQieYOgKCnhvX/6+Yq9
z9ktdp/NMxOh6GiJlFiFSrPW+t3sYAcYZ+8D2+rMN5dyGVbm/KT6Fs+mtC2uJ9WYd27Rpq8yEfZ+
HHK60zAov0lvsL8DkimYL0G2icHvlpC6uCuYmMpVRKLDNZNPvRy1Fqfcq/0FATMZE2TFMDVC90qU
GDFVoGDhuoxcRHNJ0+zqLmWcN/XeFuzZ/lZnpnXT86HsRJu3h5rq5iGhkr/zq7j+oXtxiWIIIntl
ZmZ7Adtg4VsQW6IWwow1VMZqNrrwZmRo9ksaYba1ZsatyzEohn7ZBwmD7zTw81URJykmMZXBJL/t
Avo5jhlI1fEm7iAjkGJSuPu5T+LTWLrzj0t4CHukxsOzL7u32qzoL4rcv0omk5MxiYqt1oH8yarv
jr2W2QbWonc3922z9GwWPChTFk7Mox3nRYswvK5rL98kJKEPK6vAZHcBLisRZxXtGG4n7NoxzA9V
s5qaqD4O9hjetLm2jm6jjVUWucU6lu2G5GggO4ah3rbifcLIsV1Yb9XovXWkSzA2ZnAddd3FZCCb
LYMBtRCvSpG7uPDyYvoZpDBCExDdS/iCfusNd9hd0use3CqNG4xl5LASohnBazh4gaGZ8TENUGbP
AvAZAxZe9Stm5RI825xilw8TMpz03hyw1ltA0fxNRGr4VfhYysdxwIBNeM5NW7sc9NWof41KJndR
Szam29nAfkEw7P2QrZfWBUiOZcebTFLmaq77YyobdDfTcEiVXe9SJSFMjImqvs0Fl4+ffg+1q5vL
5Ca9MkQ1LIeKsIvBl8FV4ibrAW77OhingqmSgVqgGDz07V54Ahd7SkpuTv/ir9+bwX3qx+XjXE8a
cQZTjWKdNZl6l3pgtGTwr+thTPckUEY4Cbf1RliJdcyd1lyKATjITSHvBEy730zD1ycH46CFrkaL
aXdUL8F+3XNnk+DUVPWL0dYV6aC0KRyM4ez8lFnao2xj2BLHfQgJK3JvB4tCTQ+6TRYl0MlNASNv
0zUivG+aEnZAZMAT8PluOjbO+wtne0OexbwhhdoE9tbFrkSqugo9R6yNpKJfdwv7kHtB+BYnIJFm
mH7TRW4sco4DY4kfmBOtKiuvXl2tim8DD2btOiNXBNJiPNVg/0w9jBoCDvJkW4XN25DUGjy0fo08
d9wim25ukmpoltTh4kpgWnlKpbKf3KRtrmQ0ZUBxNvOpsaTcJ+uAJqe2NmYRtKRFpJA8nHRYZnMJ
UU2HgOIWFW1VTK/CmdR2ModgA5Tj0T977tqNJ3uVx1YCER/QeCavY+N7BqDx4LfXzZwoVPcARDrA
fdka7HZRgd78IJy4Zx5d+csOzs8iIu+dv+uFWzsYmXaZOrnWrtNni5aEs62wJSszyp2VavwnJ/LY
DlzS6Uto1/W5GL131Zr1UQyak6HJTa4XkT5y8PfrUDH4bB9M/J/u5VQyL6iJzgw6N13I0E0OE4Oy
Yy4u0ZV5byyZ9vzKMpXhQdVmx2GIK2rcGDvOYWjvB6iZgOvO8OSMQQzKaQJy4A6OFjlhWmPnRXM9
i2RaWYGgHQzY/yrFgU9gSnV2ZP3CHnB3c0msMm1bdjVmjfmSeEG/n8IBTNmFttS02nyMawMSZ1Le
UZOVy2kQGc8vNM6D04wr4XruCnKaRVGoIGqVGSR51VGvF5LmWje8/Rg2Zy3n104PM1wgZbM36nxN
ulSxbr2apq0s/RN8f4IaXUpqA4h7Gaj0R+iV3rb3mVyFoZld2WYPNUJ1zUFxFxXAbYM4EEoWH8tR
iruIYI7dWIzBlgyt5yBoxXYME+M4hp14I/CR31btdEzc3tmFKLS30ozCXVIX9bYsen2XjAwHFv3g
GKeo6oel7O3+vc3iqaCzlff+KCqshvsZak0YlVs3mMHy6/7dszv4w7T8NzqNpxJ42bOOjnbj5eQA
S1WEbe0lPJ9ylTVd/ZaQ2c1H2NFMEKn8nnRWfkgbqW6w6ISTnxjPnZ7SY1uBTQopsnUVMHUiRavd
m+j2toz+ptMcG91KZ3m+bOd2frZ1CFgw1OJoyTnE4zcW22rI6s1Q23KHG6dYDVwQL9GQbyC7Lfq6
6JmfhEsZQbUwzO6OaTqz8MaW5HPW1TkYrWQdCSX0AlTbXfFR1cs2CzkTLXEGBfqhAe3Wso/6TRlW
kICzHWj4avCmkPiYJt+XM95H4WD2D306VWujn6KHaIYv5mrRvRM8CuHXmOt9NZXO2p0CfqsjYAgK
iWLhjPKJv9rsHS7eK0yd30MIlDzPtt+qIErfZizxHgeZtBsOhuBYd314yGF+4jVh+2s1o3iYrKR9
syBXvBqy8RQ7pwlWWW8+dbyrLU9X3gW6qO+JFazCRVl30boq5moVjM1Kj0a1nsh4OVg9LmOiFdM9
GskJ+zhpr9wpzW9rq4QFlZTQ4UXlxWfte84VTmgU4LXV7WEvjHezUxWreJxIGxOVf92ATH2jX6bN
DKVN6ZU2ZrIC6C03JYjuld+J9hiTr3qmjX507Wza4qPq4Bysu+qoreGxnGluSWirlr3tvfWRIw41
VthQYZgugz4m4JEQIhEa3mGf8+rExbsX6Jh5QMSQFZ8GZheqHH6ZYgb/SbJu4lAlDI2GNefAp9HA
qM/8LtzA3maFE+9k6Zeo2sANg4XQ2q6WUSMItsky/jglgutqcnRy5dnKPRlh/moME/TPGXu6K+VH
xTGLJshRHiJHt2xi4OUyB4R1bu1ERTdWUABzuVF9OzXz+BC5+NOVQHao7YDNwywZSDI1XtPRi5fQ
sZwrpwQ/SS62kVsME/Uh9ZxwBTJqr2zN4YDfaF+doC4/TuSfbWtZprscy8xln89ouGfnxYG/coiy
3n52PDgpcdiHG38MnlQ6fo/w7VslWSbXsCLQARYsqTqwg7si8a5M5zTMsC5UVL4aKotOlVfnd06t
uCi9egWDxZojA8kgMXnIdSGmAmAsVGqc55T8oEza30sO5CW3+6/YU5vW2erq1rSb9iRIOTsphIlz
p/Q6cCEmejr0r810+t5YVr6yyp6JbxN73F1dzm3L8C7NXPqcPLO9d7/ChI2sPihV4SzVerLNZjMS
GIlPQTevWwf+Z+NDxENk9dw3RbqkBcBvxwxcYwXfV90rjsCzIJ7rpoIG8RJHxfxLTEX+IEzYGG7b
WXewOxIOoi5n6G64C0P38TfHaFB8Qvm7JP0Z0wq+PQRNQ1wFnVHuDZ82cJ07Ir1t0xFCEYPbCuwv
cKvvvkAaC2enXJcwsa4scFgo2hE+2YXUMINTawkFlutjKOR2QpYKzmWUNyHzud3oi+hqKgKWc2g1
RyzB3zzYucsu0+MuTQdxCbwLwN61Hu472HdbGF/cWEMarH0IiQ+VWaQrSvvpqgxiwrsYuB/DyNRL
uBOMfXq6HAWosvjwpw0MZhNW3ZJJaVpUym3AuM21DIaJyWz452GkHB907G99KHc/KpBWmvIZupPo
k3XTR/lTpWQBIMLMFYpuAtDvqErw6cfI0XXO8l84Da31IqXPuE6mhggIJJfESpGTe2vPeti2qn5u
6Sx+NYz0T52Mo3ilVe/9cnMPuloHh8cLy2RfR/79yNF5NNHjUFpF+f2QCYELvs+Uso2n7z781H1h
ICosE8aJvYMoJ4j7+LGHSMWAqh8ObV1CjAj8Qm1Ejc2WRUQQbwkesDH59XUDf5XRPJn1iGndO9fM
oJgYvVjEI+w+ihZzW4rqmWFkuGWayj+qIZLPYf8DZ5Hsu2+O7YmePHjMmHNt/Wou9sWcjFxtEU1K
yVqtIzVd0SGJpWVn9d7v8mjV0Sg9zdFMiEPTXzKsLCw1Q6X3qkiafV8PSALcGG7HKJx+6yWZPuVB
7r/1PVO+WjXB2s3G+ipMKGyKvhiJsADx2M9DL64QbvTUsYrSxqdlCyc4lWNCCDHjYq96qR05r0eO
xYWKo/HoRsgVKY5UeOVQSRCbANppWxHMo9Bpf7bCGKOlbIrimfF1djc20ECKyAgOFSZIa5KzAOos
Hd23xGcdxw5yJdaiKGcyehS77X0wsVTduVZ4H5pVsDVz0iyTzHqBWNNdIvPkk2fXwRW82WKbD4G1
a0sXRpfUdrwotJL3tvaq4wSDjm1QJ8uKLcWsx/HZ9SBcYaCY7BsEjQ0YCX9jv8enQEJGpWnOnlof
3wFi6tTEPMcj79Tv7OEsqkC/ar6+jL2eLjnmHi3KADOPKer2VubF6waj4HXpk/iNA6Vepg5TDo0/
G75WHL/M7+8dCO4rXDTBFXVUfW8IzqA1iIcrDX17aRlTd+itGQ17NCS73PeaTTT74y/XCdgPPpfp
lpuoXJLumAC2DmRqGE2PMqWJZ71GlMMR3UQpoxs9fWs8BPDMi99ns+vWvQ3T0rQJN1zi3m5cSVW9
hqICxoRwtIbIIyhAUz2gFCGFg7kpQg+3Gn8MzlwuNBsWBnEfruIhCrcVu/BkxjOao85sn4GQ03WR
oAudaV535uSpfVp6McyCIH9NkvSlt0wGnyHHiXSRdgTF9GIYxYxARjowxBtjWcLvvUvQMSCkT9nO
k+M6CWwSImuU7tgOsvL+UJz+j8LRHoqMX/9x+TvvRTkhSQrb//qP3363/Vmc3rKfzedv+u3vNP/1
8WX9s7gElv32m3XOVGq6JbBkuvvZdOkf//4/vvP/94v/SDp7mMqf//lvEJrz9vKvkeyX/x6Chjzu
/+Yz/SU67R5w52+j0/hb/4xO84VJ2hlhFbbvSb7yz+g0EGvpSejbjAMvCRT5JYrtP//N9v5dWcJm
dma7RPU6F53t/4lOs/9dMB1hXOLY6Ih8LDQ/ni7v/uYPjSIP7v8Z4/3JMw4QiZfm8+qka/voEcxP
imwHXosm4UHfkNAy3YTOmC57J6sXTjcYp6CbC7BHzsXaa+0FGbcl6Dkxu1dkA7VH1aQhKVep9BZo
uYfrksW/onImyCnw3XBrCNymvxARfohE/6m9/HjBZKNJ6ZqOqVzT+iR+rcuQmLq21jdISYxbKCUM
3kTSbdJa6KXqsudqlEx+cx/tk8FcYVvhuPOF5P93FfflNcDgFzwxfvHxfRgD/kkp2UKYasmYTG+M
WMlzMLviLeutagfxF9yS0rtZyaoNv/1pZf3js/tzWNyH1Pn3t84HJHyLd375n8tK+rNAM4zGptKi
KW7CJo/UuUUQ9eJkSpwmUURbvKTc41yW+gGj24uEoi8ssfDL2fMgvpO2ucnInb4V7RCQmZnofC3c
2voiLO93XfjlyWAbTk67ayrpO4xdfn+JWWA3U1fm6U3rT/lxkEhWQr9pcCaB2VZdmRU5vMgFnZPd
h+NXfk0fn/2nB+R7riuUZK+5ZMX//tMbs45t12/ymzCqT7FZhg8yYbraYVp3bQCD73EmZExKokAA
zdmqdw0UipWfRvE+mUJr9cXndfk8fns5tulKEztI11XCRvD2+8uZY5cWpy2iG9oFtlRf2sP7jBLg
ZPpjk21CQyNMoRx9LPxKgHCh0VsIp5yO2ihyfZ3kIoNl0E/to/n1J/XXjcR0AD64bQqudFd9dp13
jNiJ8N3wzlVpFkAFxXzyBtG8WFYfbT9G617HWM2eZXtI49jYF1aRfPGI/rJciJL0LsvFUyxn9Vkk
r7msUilxi9RjII4ykS3hEhG8Xi4rk2jX1PSZ/7m59PY4gdtfbGMO0U+fj28pk5RliEPKF58dH1Wb
EhzAuripBxzcF2mo2kcv9cyTixhs6bY2x9u/XhKfpO/sD4hutq0897I3fPXZozhMcH7IvC6+daK0
XnahljaFRgGJsijgQloEc3FylOidrfY6ddt6mZJGdVPnnbF2y6x8mXMfPLt2icRofKhJI8yE0J2L
65ZMjtskbMfDALUy0NH89LG/k6IzH/71u/iIO/jzwpaOdF0OPuVYnivEZ1dbF1oEKPrUndHBlke/
FtXBkRVspkbeT22aLkptJQhFegjUTIiT9y6pHmtrLl8mehVYjE3r7FQk4xVTZcZyzK3CVT8oJuV+
dl3E+XOMlYS36K1kfjVHomkpk8kmJqzlwQvt4WcC0/rGsPzhvYhVsfNVNN+NiMd/QFTGD9G8SCUS
GpbXbBbiW0KZxSQ+cA4Isscr06t5hV5lE0teQdmgfdxUQ4+Z4sAQC7KFfw4ggEBuwGCxnRxv3Suj
tFiYfrYtBjx2PH+K3lDTyBr1btpKpGRJtI3GmJ8Qm8ON5wLYz3P5ZLS2e4wvIbq903XEhHMgz85Z
yDlmnjL7CzB34y0D9b5tAHTWKpudg9e2VrdNaoSG4PEQOUSb/Ap9I390pV3sdFsKpsZjXzwCkZuH
mLnMse3i+d0LhfUSZYG786RTYWeEIDKvHBF9sYo/7xvpYExocbwze7EIjfhcM/hDPsWQbs9g0NbJ
GDv3dnRy6xRLJ1v7fTy+/+v19vnn2TaHlPBsy/E9xf9/+nkZvHiGVUFzBp1gCfkpTn9w/YsdqFP5
IvPG+eJg+JSVwTa17cupSFFE2q2kNvv95G5dK+sIoB/OlDxcpdgJ1/uURBl0aOzQgkjHlRNFyNJM
t4fq71WrEQ2OgYjgCwuXDweSP281Xgl3qiRyxHIROn2OVwqA2TB998ZzaOJg1HqNvyk7ZGN9oEPy
yTklrwHRgvWQZMmxzYcIAkkEX6cvXKBxZE7zHPfPXvRVyNBfT26qT+UQ4EsxysfzySyCpAhdUgeZ
Z1cN0dYa+3ovhR0iCSrUi1XADZX+ZC10MUdX/3o1/LUMsm1OHhsJC7HDlvh8cVlOpz1UhhKpaek+
ln2f0obmRb6o8ZJ/Zx5qnSQd3I0NaWyp8flazKSkDbR1QH5JaJarKR+GqzGciitPu+34RYl6WRyf
PjIWjrItWylTYC79++KpzAZwsRLybNpD+9hxBCzzquteGW/Ux/ASpurOSdijZ7AcmD6p+v7FA7oU
WZ9ewOXZ2K7FDrXpLn5/AabCtRXqFZVp4RvfmiljtkqO3soSGi/Luo22bmVF17o2Qoib8aSfeh3E
GCNxoD5i1fE/S0P42E2/vZ5PnjKwGrI+GUJ5BnF6hii+Jxr91xfv+VJL/eU9s2/pCywqwM+LwrP6
uPa0B6O6niJz6c1tR9LqWOxydGDHTqf6GCdYUucm7ssM150rDTdn5/Z5sgshc3VL8qvbHwWiyLXl
d/4Xi/bvXh5L1aTkohg0P9/7ZOrMfq+gqrBJ2sd6qKvthF45W2T1iDfMFw/jb1YgPAbCuqEbUl19
LjwNpx1F7iEnQe/CWRmVTf/EpC48eFkzvpNO32IOgU50YRuM2Kkw+7XEpv5IJfjoMa3GsVVzgWjU
1Cv4AYQGWLpGnmyS3H6RLV6ZU9h/5Rj+4R316SOkSZaWTVX2NwXp7PjO4IjGOlcdsd6LGLhoWUMe
OgI98pJyXyFoKmu7PbgwHx9cKX/4JS1OB2/lVzuoYS+odTBKTPKFaoz0oafOePzi0V5aiM8vUnD/
0SlDMufV/r63Zm+26KV4kU1l9pgegOqecjfJN9JKu61OS383+X7wQOCwdYKuNUD8iVZZgbmX00c/
HQK8vvLV+dsHR0nGxehQSFsfX/9TO8rPRM1VgZ41s+McmsZqH/EtpgiMCvceP/boQFoaI2wRz/DM
0+K1b3tuNQM+jGfG9r3RdvYxLtr20WHc+S7D8H/12D5mHbYUVCmfvYUwoiD0FT43TetgnYDY0hsn
Dr75Qwkzs2lg+cRleoVPRHEwfRO+dslJPitvZ5VzezZ0+IXH0V86eIpwzmg6aXm5Xz/3qRoqOOZW
g3X2y8E5yDwqX/qgpMZMQ5hOkytqxp08zC9Wz+Xk/bx6XI8wBtpC5cvPHbzfWV164eSfde7r76JD
pup0RFNzjTRrQ8zDbQyF7lD7pXtrixn53Ucr/794FZ7tKJ9nICV5m7+vYT8ZRm2M6CwTeJ8pemav
gY2hwnWsLH1BC76b1Ry8IQpCfX/587xrvzK9/pv2k+mVZXE9MQHzLedS9P1p0RI73Ln2KOazYOJ9
KApaGGv25HsSSevkBkMB9J6e5oFYYPQxNMoksG3/9YP4KFJ+/zh4DZIGRnJZ039+KvPcwSphD0nz
PFJSIDVUZvmC66d10sAN6SKAvoopUJKoTT4Bfsuwsu7HvCp+Fl0UzislnfKFXJW2wsK9bh8TOJA7
o5fi1sVi6uBcClMd9cWutlQDLDHAkEknkA+Y+Gm0QftjCkqXiE7HcylnP4YyOIJzpv3rN8pj/WsN
LXmbfOIWS89Wn0dWad5DNu2Gf5wRKdPuk3TLaAsbyL1F22iRwG04q0JXbzGkkTsaE++WtE/ngIUy
Ja925DYyxXSsc3GvIyXXo4HzReHjs5Q6zoweWg4/EdvZJzCB59runUM4zgMceIIpUJo1T1yMF4U8
E/Q/5iHjaNvnagbYX/U+AjXYaRWwRyixThHjdIfMvcJGRyBcj2cFFHgZnYyJw/jKKGznQBOWoG3t
mbTPxqFv42rfNUjC/KR11ok55M9Vpl0AmDBfI80s8E2tk1tHjpqFb7G2EqiNreVbUHJ5+gYf1U4h
M9ljWlE9TH7Z/ZpbjOiAxiFh9EJfh9w7Wz8VM8QnA2eH3jC+A7KYpItc+gKb31OLokmpF2Xh9Kj7
c3sbw2G+DlJv3FKNsVSot7zbfsiLnccQ8bby0fxnJQr+OQn2UrvfTDSxaMPlVpsaUwSj7KL3QqGo
++j9+7ml07JKb481ULwnXibaOoyPxiwONwmMij0KzBExtai2IujHwzwIwGrqktu46wfIXtX0M3fD
5BTFDHqyPKBVztLhUNlVQ7yFNL55+fAznxP/RPwLoePGFGCoFOA1FtrZW5Z0/p5qy9h0bYJRSWyF
Z8+HG54B5QP1d9GEPM+5sdK4XwFYHqPEwF9r6KxiB9+0fcwqu7/DrIYbiNHzk2ulFXB7Y40E02GH
sPj4JmmmOPWEtXNfWwm2Ah1iITcmpUQOiJfr0U//uKvwPBPwo1vOzBZlhwHv7SWMK2eXMRe4IYvD
3NoOuP6icqBoh07SZQv/UhZGoShwYcHcrOoqHsPHhwajTCwDxvHf4ySR1/RZ7jZvwPS63s8BIple
XE0DGtuhObSlLl7toL9Oe8uFXuWhhnDyYMkFpxiEONkiwNFzlZqB3jpyah9KjJkgwjrOMXIab18n
5Nq3yJ4XiagaUGqZJYeP2whVXwRDt5oxKDJy+4EJWXltTQmOzNIz9mVapGQKSnmKRFQsJ0kA31BU
xU2OVexOO0a/ikaQzT63MJqLhnLl9rrdQsZz8d7w0VrbWeNfV7l/12Otcsz9aryqYbysIoOk1YCV
jBJDQ5QqZWi9QKpE3mVO+Ch0GdSbVYt6aymlGcIjcekapsgIVxbA61KUtfzWVBHgGgCdQVQLlqC+
dwhViQobtHqJGOPJalzBURq8ZTpN7trRdd+GLnwOGm2tvVxmQNepe5MCVi7LGuHvx6kYss0euYY2
zEx5YVHerWBHZks249vM4XyqTM7Spulf7ToEaRzzon+vvQZ+8mVmEreICmHE96gd295+g4HdPFL2
to+yNtkYA7Y0i7FKWYSmlKgkpiJ8S2pOPyMGZOZ9MplFb7q1KlQYc8AMaJpqfQxQi2wVk5zHCnPX
tQ/LbjNeZMdNZzY38YCRyyRbfTayVu8AFdHiO3l2MID8BeRYA7m8J0FtF66cpzWodIxpuld982Iz
OAWlCmnHXI6XKHbGtdtOd/jAk3pjqvIFbhQHYTtqjpSSdY28VzFttx1umaaOq5ewAuRefPRAH08v
nZTCgRLiezxn70EVFZBtiLnZIgDEiJMR1jUueek7kkTn2Xaa4Qe8h+J6NCLvrLLCuIf1Pu2bQTib
emzsnek2ww5SGLyroG3Wc5SVG5Tz2DaRBogxVVziUlBXSxWn7aPrTQMc4pmSeQ7pwD6OsmkU7SME
PQSLOPiIq5AI6VsRo6WputHZc+WIJ5Vxqvt28SAi83oeuWXnnHybRWm0zkJEKAS7AltHw5r32VQV
W5TrybHxsGGJ9MRPmyarfJIGkpkRqs7A+yyw6utaNMij/5y1svxZtgGDd7eEfYi40HwpVHSXD2KC
2gnNHibPwdO2vlJJKjd1OnvXre3ZO2kJ58rDf2wpeihgF+vAIirb+0kghPRrz1kLAOzrLMxulBri
Q9+1zq13qTb9zuWT+5hd4a5tlUsqQneLDmIYsv5emDbz0NlfU5TOP3FQnK/7KS3+GCbEl+IojgwJ
Vy92lxEf1TbtbVp3WxvDEqInyjwNP1oZoXmkuU3Bov0Gc9ECxV0Va+42I3zGGuuoDCfGj0MPB3OA
vJUNhfmQAcpsvbaa3nPqvhXDZe2u4hmvpcXstc0jwiBwps6volUZWD+kOTbfZFEa0LVjSH52YIkl
VoE03U087YUvSYqs3QxZRE1aYVAl13WEuduMUAyvwuRkjZ2N/C7B7nyEjYIdBjy/bPhZEGJ1bcF7
2SfKRoRWMWZMXRndi8RU6Eq7i4NmH2wgmgd3qTG2B+G2xTklLnxtyaC6eDyx66H9mY+MmdMzTgN4
zIeT1b9ijNNgL8QQ5KPcwzkmuq3sJPs5BzbY3SUeK28SvWgMpVaFI4OFl9DjWQMvZyFiGGpyqtyz
C9i0yCV8otYfpqd0Moz9XObNhZdUnwgMiba0NcXONXO5tM3K47+F6iBVjAVqOrthas0G/xZ0WNd5
oLzX/ccNWcUzQQCywobazmtmiwLFb9PF7PK587nNihnPT7scEL1c9rKgaNNVYd91l/l/7iPnxOtp
zVi816sk5Ul1nsfwK6YFtNlmnn8/2YM6dIhIt5RB1qNp4GaVwElg2Tkeg8PIBertY+8218WlKr5A
hYNW6tVMR4O3n4Te7Sgs9oyfmuKlpKygiahr7u4KBUSMRLvh5MEfhD8ZhoqO8lJHIk4uX2Dc8iUE
szE7QHndXdzwpzPcp4N2p+ZZN5oV6HvIL301yz1D6HAfxZZ69/EYO9V+goWuBydkB+GiOcA9FPA1
5qb6LmXFj0vxhQE1mpHPgKc/6NIzzl4RqU1lzyOib2vOd0UwcfoKw8XIs8fkAmFBryZ5IyEQG+up
QkF8igP4PFGUjHdDHp2TwK7mZd9fqI6R4/b3jI6bH2Zn9M+tcKIj5p2I91VFNeGZ4+zuPqY8+GCJ
HziOG88mVS+0uMpubu2urH4WtRggmIRhildoST+OGLaDANy0EYYhIoJbKDbQwGccS6rxhZMH6Wyv
HEZV+JtgAuCRrFGX5iusW22jMQyHwziLx8Yr5R20wJspdh7dVPmPkz16O87RHlrwwIu3TIOqK2eX
FcTDBqG5EBQa60nFxoq1DjOOekUbS5URhlgWAh0I8tWF7ZZ3TmAmOyay07pq0PamhnJeQrccjlbi
yU1o98PGdgN1IDN3L2Mnp4iIsCJxwzfAWiq3EEuX84QkYCmgtUKEBblP2qnayhBTrRTTfxe9iV2/
j1558fzQaob5lxv1d/idFQzJtA1OOb71+aodbfmDtRf4O+xhuvi6CBOvXiryjK/cDEVarkrnBKe/
/JX7pRo2xhSFWNn6Mv6WTublBgC8QYAz2vWz14eNccSltsf4LBZZdXQRir0iWnRXpdX4ejGO0zZt
Um8ZID1aIP84Z569n4as2wtvGE+Dwh5LxGl1HQfmzypqaIfiOEpv09zj8uYeSN44Ee0JYe3oZ0sV
cZitVeeI44Qtp78YSt99a3pqeXxYmrDZJ3kun1KNqToeut147pvG726QPoaVDyUyrZItAXbmkwVf
mH/PGwEuXWgTqKHmaIszar5OMQe5xQ4iWCLKkOAAKR3AbNq5s3T83jr9UT+kqmq8BdkOwbmM7O6c
1XzpA2aqDJRvXY8FUKXoY8U0UkVngcH+FlnP1hFZwdb5+LbYtKJphZtQsTN1TCllhxasg4/ao7wc
tXFGl/LxrU1AvZVOHfsdwM9b+bi0bGSNzWao7PaG8A9vVZuZdeLSBFdQDKWyLKpeorge3jnPB9jX
tHJcw/zE4NI166ykKMCf+ZuJPBPbb4XobknYWPkCD4tQFH+M1C/E+uTkftSSaX5pCHLdxQdbFc4B
D4hkleJOEUN7jYqn9tLw6mxgLpuFzvAeRB5nnZws+nT0wiDFHY5tnM2X2V+bSI6dsVTtJT+79FsY
ff9N3Xktx61kXfqJ0JEwmQnclmfRFD1F3SAkSoL3Hk8/H0r/TEiURoyOmJu56og+57CqYDJ37r3W
t9oEp5E73uGjbE6Go9snW+JKUl7Aaxj61s+vUZQNf9AIyvMq6XDVhnChtJQTrL7AS9wjmAPsKgjB
b9BlFz5K3Jy+qGmESweNX45r1SETvKp2jTePhykLf3S9i5KxGqcLtoPboQK70Zt1fpGFnn9gddBP
wUDwSBh1bFL8xBXlbnAwEj89Gr0XQ0WgtjLcNHhoisy65p0l0cLz+nEdO615X7Rd+8Rt5/pRbYJt
HcNg2yYwo2D1ZXeZ48/z2p5tcSxDYzd0EvxM28D4ywk/b4P0y7kTYg6Sw3iDrNoSib/xZk4RrpkE
3zzDna8ntzLBRAQi/JpH+ChWDS5eZsHLxdHu8ojlTX9LL9i+HA0blueERPLnjcU38mSOJq1DnahD
xo7O6STtN/Sg5H1Skpi+3No5FoITTCJ84tYdzvZD02ZfNYX3A4zfYhsN2YuRhhxXUfpCZ4nNbOuY
sXrMRGJecP6DVTMLmh8JUNoCDdQN2GOk6VQID0bUstmyDvJ8BH6ErTXh1JANjHHPT3Cc0NQLYCJg
fofcvTpvFD93VBtIz7pipnZRLR2LEOv/BZ3yCXtk8RQa0VdtO/IUV/Ad2AGdaeNaHMnRmXZXQwOW
xmQ6ctdNdf2GF829b8IqsVkauGBO5RnfG02HdZ0OM0aMgPbw3eAk5U0wYYYy1BxOqzkGtohTXQCO
aFogsosAo8yq8asJho6+lqBMnDo/3WFKACRBGNHBCVNx4Ro63Q7umJzmOq4DEG7R53ODJkgBrK0I
8gESMFd6emZz5n5qhe/I71P7ybTli5MuXL0E/eNno0lA4LR2iLOIvLHLNHDzb+no+7fnx70KwOAW
1BYB5S5vd5IizqYbYt+1Y/qYLP1roQoyfCyzwg2FvJNVJKBbUg0GqxFxsM1TpQz8CIYNh/XncmRa
WEg1jpI17yNgl6GN5mKVzu2TWvrGexFb9eLsJAwFDzMdkLy+i5yJAl4aQw1zOk0ZU8wcuzPMTi3Y
wTpAlD36FcWOgDG1a0m05En3rewz0L0eOKwdns6rm8Oc9GBJ+RDVkXvTN5R8u3OX8HxEotNRRfhe
U/PWt0v5VC/l5Pl4x35Es7AdeAuxgpV3cAnwgbNL+lfwtt27gRnj03xeiGvBj8798DJuC3A+4Qgs
qWPOd3TghV4CtSlvRgvYEe5X/i8IjhV0x6+4D/ytHVXiVog6JMbVSF5lNNUX0eggepbyhuaYcU/6
DYeXpdNX2vPw1po5RCGetex6kGX9mjo1+lvQK/gsu/H+3Nn2oOdcqmzgUDNmu6GSzkULWOSUL/sO
bA2Q2UtDElFU8ZISbHtUTYA3fZiMdV36wdYolhZR0xfNfQKD6SZlYn7Xez2o7rHrbzrmwHsXhou7
KrX8Yls6vRTLxod9orsJPWxus4hxqfSxoC2C+0HUo7OTNr6rFc5dH3M2FfSYCSjYcHwOWTuFzCBs
703PEz0bhGR9rjuYyoLsqam4Me3ZxFbaQsX3hE9VZLo7ozH0nSYh2F3Jiqq8d6cS+ogjwxsZIYJx
xmbR7QfgEhqM35zi2zTaShapaUOHDFxs4qXdNxMfrHPsJiCi7Djx8NZJ1CHJuVdx3ufhTbNH6Xlp
BOhK8KwpnXIflgFQ4UX+uozp/rAB30k/GG5AL497OkiaBgbQ3PPzhFzQ3BWeQ+MAmsQR8EK9z+nD
XnR56R7cSpYXFXDvC68atmXuiytT9OFjn5RfUGiHVxQ1FGYyTq4gzR0wtlpfm9Jpn9JlyuqW2kGm
jbcfvFZ4bXJCADE4To+J5Y2PsCOTG8+jOFCA/fYyBume9b21Kxz3RnOwvvIKw/rGMxW99ujoLs9P
/b/74n82xdG+ujQ0NHwfVB7v9IJRTS5E5xvuqdRs9LAJaYiL5SwiNO2mxGFV+PcH/qlQRH/omgqR
pA3b39LvtAHUcX2MkdE4TYTwbVOaVclqjIT3zbQmcZrKwrk3isW/F7jeNUi7BYrCl1sNVVsfVaS8
539/oXPf//cRCF+IcdQyN0Rx/D4gy4ocNpt2xk2Ele1O+6H3Vs80DgXw0F3bND/Svvf2ge3is5pH
0O9DcDe1bvnDcwigRa4oOoAmJXhDQ8Tbsan9S5GTYoEKxX1yeIoO3dBFHwxuztFNv39r4t1MoU0b
/Zn+Q4Ekepw8rWvZJ8wOyXZuyvZgVCENiQRTbDX4nxE9t7dBHsOOxKPeb/08N6507KfrrmCYuKQA
zPDYwEkEsIRua9HWhyHAJ3teiFz08nf/vtCm88foj6+MjEd4TI89772kqHCSHNtGKE860SnU6sbe
9aGT7COEsTs6lfKyHSjb3GCSryMAnV0SDK+klXDc+p9mBazwaQo/iFU6q1H+uJQsRaZGT823W8Qk
v8zhkDqXWM1q5zSETfxMwJ+/j52oe2o08ALIW9ZdNsabuCZVoPCVd9TMD8ibQNR2bXazOrrLDmsj
Mtr4tmreOhTAGzIl8o80Db9n7iwiEldwpFF8R1tiw3k3L1z0WEMAruiUnEcH5+ZKNCXla0T9uOKb
4WoG7H9h1+mXPIqTDa4UWnjLoOjfd/LPRcPlQi3vCo+grd+ra9jMWckEk7TzpFBg2/3m4cZEnRhk
N/4yivj35/0p5uDzEKl66FoQnLvvFAe4uxG6k496sgs/FnSo3ujz5/uijB2Eq668HCB1XwDh6+nu
s9v8+9P/orZyBfNZng5LeJ6j3omJIpyPc5rzqo2+CaW4VbRKJ+XedF5Kd7Ttj7Sukys3cyJgeChX
E1lVdzL0sOHlmfE2FuWji5H0DpnLR1fmL98NKYF2XelSKWJfePfdQC+5BYhMFCO6TR+Zf35z5wiC
2IDdtDdlfqwL4e6HDLhqFPYvfd+jZLEM115HXu5//6m4rhDR7VM1+Lf/vnJ/KuSY77uCn7UIm/X7
KXs3gpxJy2Q+EcyIvwrpU3IWuzpOaGEcLZL4sgNTAkW8rHzvo9f6Tw2Yi0nE4UyqXKRy9rvX2k9l
rgZdkccZRPg5cTyVr+eimkEDGUtRUl2LUDwPeRrTCGpL+9Yui/B7ItIC3XEW7f59Mf7y0pjIU7gO
i3ZPiWV1/GWVqYuwkGJo1ClK0cSdVZRnuSxD4/IVaGLzgU7nLy8N24NG2LFs7Ug8fv+8ieLXQTEu
T6TdxAdJDg0PRFQ8ZGnBKCezcUfVRHSkrusdpSP16t8/9yxcf7eqsp9KwbMpvGXp+v3zjdoUnipd
eUoM2V1gMgsOuZvmb9UCGzdjuTGnRSDImPe5n9382prcx8YjiDBOBnUIiLX5wJjxl3eFZq6k0apM
tO6mencHbOxJpV0qdaJvp57quAjQIttxsCsRFdHMUPqH4zBTCGvWMn8yDl2VtHszDHM44xaGWlDE
0ddBBMPbOC+Sh39fsb/csGWBd3g2LNb393VIiWvdCGztnhwzWfretcMYq8uGt3gZ1CZmMr6dC+bz
1jKOM+OJf3+BvwhSqIPQ+koTqS0t0XdikHYsHC8iAvPk9vF03wRLYEic4AuckstCtu1lFgA7MSGn
H6JxTPeJonX7wXPzl3IM/4rJYu9YDuFm73VS6JkLNbP/3nqyOyIYzZnJje0eACgjUWOeP7njAJSp
pvXDQNIZd1Z0l6iku7SLkEiItE7A+1jNly7A3o2nO4I4bHYnZdBSqYhnJlZM0yb896X7U0xFc5Fv
rBxeF3Q07x4tQCGcJsHJ3jbLdkTXSt91loWsqlTLyWQZ/XXyw4rq/GffvWMMRhQt58Xxg9Lx93cs
jDkBz/BpbkfOmHslu/LJxJR6MQDuvWtyk4MiSkcyiXBFVGtKrwR4TE/Lm9qwuJ3CEPO2Eae6WSVB
+jw5zgMW1nFVyrCpVmdpwFlYgLmeHuBAx4SxTLl22CNh7IyP1djRxLcL7UBph9Hpx9XlINCrbTqc
CNFqCPLsmYShlNGXSXNeCJoK1TzNl3Qm2hVz2+4+nL3i9WdX5OcMuownczMnkXWoi2g6eUE+vP37
Zv3lRfOofpWWaOkJsnh3s7JeJbUzcrOcaFBXMhfJgcSH/lPoWCYs2KS/CYvQ3M1TmcGia/IPhLB/
+3jKN0RdyK540d+VcYGX0oAahui2MULjCOIq+dnrweFUH8qhgAwMWbLaoc1/KxPb+mBTdv78fG9R
buKttJHj2u6ya/+yEU2978F1CdJb1l6einNXsfIo90iZpIdhuk75eu42EU9p3hC4kP8wa5fchLxK
OYcXi46mRJRKMJoriV0hXgGxT9eYeM+JRl1N1sSB3vFDGi2YtasLIxrpElci2gddxD8yyRDp1uB/
innFOlA/+MY4vcy0UgjpIoHOBAzs0QGL5MiXMrLFV1EQhLhC2s9Ln88t3utzm76rfTGuc4ytT+eO
/tkPQ1IewqsqyD6Foq+eWjhqR0X/5PKnklAtcofCatC5RYt29r9/tlyLa6QW2fsf5+leNnY+1DK5
NbCHAsWneLstTTu4YEhGvgTRI19z7Pjsv1O4NabA+flw/b+2H19Hb3XRFD/a9/7j/39NyizJ/3eT
8uWX+UsSNu2Xd85m/qOfHmVX/wevASspFRopBJgq/rdH2VH/QTRooZJULissrp//41GW8j90TvAZ
YGxUy37Jn/sfj7Ij/iMVhSeDIlZojGLOf+NRfre9LK4fSyJbXDYZ5KLW8s9/eWXzEPRo25I5UxDx
BpB49JPvZgmzHoqhYV2CFJc3LGZR9MHTvMhgf9lffn7u8uU1Xg6No/X3z40wcfiDLxD7KeC5AjnT
DtYUHdshVcdf7sftzz/6q7X3XXl8/ijSajD6MDnGJfBuK8tmNDldS1hfXw76mNrdswd9aWfNMzYR
y/hgEXx3Mvn5aTgfPY4GvIPvj/xDRWsqbkcMS7qnqaBN+Ml0STdQ0qNdOQzDGpACm4EqHv7rn8n5
nYMA3S/2RPlOeBwNpr2kEXInXSJSw0aJH53Kpm0Uz+a2SZvig83mL5cVHAgF5bLSW5i2f7+DNZKn
0E/QQGRhmo2wRUj/3AT13N8p8DTeDgxe+1Hc+LJ//vrUKI45wsGrhaaYp/a9QYBOCrjBWg876S6x
tmUbHqo4Vh+Uy++fTT5FW9LjbONgMqIP8fsvC53GyDngjQuVKWfklo7RS1zCbF1RE4mLf9+2v30Y
Xncabpwn/2wRtSENcF/hHRI+DVIVjk+BBVDDjqzXf3/QX64dhmmHuZWNs9A9n2F+edNLO87zCJ7K
zvD0CY9ODfXPGz94KP76IY5cVhSOxSwov186njU6Ck1LZI3tvNkO1OZg9t0PXui/XTJO/1wt1isE
1+8+xA79VAVEWe9MV/X7cp5hyHnFVYpyevfva7Y8w788b8jBltMcrUUFDYHa+93qqKxpAEOYMufY
Irn4YAl898dtWoKs+YL+Cgcj7v27Pz7Q3CJaIkt2WIwbfHSR8Ot7W8Vme1dkRFkdxpb29Dqf/Vji
byf46JlhkT/e//s3vtsBlq/BeeHs+uMXIo78/ZYZ4KDcGW7crhVDwhmo8CuYBhEoBAIdErc86Dy0
P489bIj/7tE/fzILsgUcwwSS8b6PIOfJTuu5S3eIANL9hCZnN8Uk19U8XI///Y9k2WD/Xdzw5rly
/eXhRwWT2+i3CAELiWYygqZ+46TYXaDemPezlXX3SeV2H7QF/nZll1dasUJSEDvLVvHLh/qxJeBm
18QMRyZ4qk637UsP8fYiVy3ZL2NgdQRO9IX9/b/8sRbWNM4hdO+4n2zv7z7XEkWeiDLbQf9pHwyl
mTiFef7apEO1H5oONbOVOi///tB3b74tEaXRxaQDYtv0X+zln//yY53BcnTumdmumkympK07pBt7
iOz+g7fm3cv/83Oof/Bb8OZTBP3+OWHke0NDpB2B34F/LZPeuS0tLRlCEgL+75/0/v4BiFF0xSm5
uZY8ocsO+OtPCsltwtdBGkK7bj9Hp3//dYqBd1soeV6crFmMkbMqzDLe8lt/+QC7cwiSZWy079tQ
6q2Y5vzYh4nAlYMNG9Jx0sP5ZcAH70sXsYWSJncRs7HAmvlqMANSjFJo9ZyUHXIvdTlF3mqMA++T
00oHdUrYzCDtC10scXcekQiZJISJhONKv0KH6I4p6PdgbbvjCAnPbkg8s/voucTcq9elkWeHeCCz
ct0ktX3s5rqR1xg0DI79SLmQsEcMFzNDDS860MDzo9IK74kupRvbSOPVHyfnxoxb+UYYgf4mepHf
gYToQDGiBniNEhm06AltAK6AuyTnO6nZb4cmIuiQ6CKSN32naw567Mx50xaj8tYisFr+o8bwbkLg
GxrHRzKc5rB27J0mU7QEb7UEaiVjVBzsANnF1jbbCGaMSYbAARAgpFgj8TQmQkAU29GtRrWWZsD1
p3wfnUN+ZlJrz5i+IpawPoWpDXNnys0sXWF/JLjJCazqGLO2L/nvrcTv2XVFSdpS0EYrTWviUxD5
TUYknUjvKq1K1I4VqSCBJGaI6Y6c/YPfqsBeVe6CJ6yJZWZWxhyiO9Dhh8RIoVOQujbo5tFPIHjk
EU36jTdh+lmlNVm0EKtVPB58/gFTC6/19qkNhJ4CJUsvdGBAiatUayS7IXXLbz4QhBPTcUGW8oTH
88JIyvS6hG9m30L9HW5RukHXHgJ0HlddNOcjSz8Co9Uw1Xl+cNzO/DZHqmjA0wLMHSfL/myZ0QBZ
L2T+AFKOoTza/zwEFwyQodzAHiN7CYw62ONEEgqFvqofSJRybXJQFXP4+z5JaiLnyJb6AdaAdMTU
d/N8HfZJ++rrqLAudBGU8S3q5/GyclLP2CM5oNiz5Ji9UvWZ9r4gwbjZoZ83mkMakJkN5zbMMLKo
hm842kO9nWyyRhdmqa/3md0ibg26isiYdiZ4uEhUWm3qojIEsYHSQomVVd0bIFoT7DTTmXw92r11
WSor1LvS7BKTnkAn7vg6MXIU0XTgRPyOlvfQVCZkczWTnlFXjP7hTpf0MEeteD5zGq9rejbTZ8D1
Jc3PQI/N1vHztrlK/Kkt90ZUESNhEE26xwmmm01myqbYBky0s52NXNG/gCnOs2+ZcxPcEQXiO5uJ
xuGRKzHF24Qy9ZJIsSVfu+hIWnVDmT6ZvidBNeWNyI++OfHILUJnuZ4LZoxw7byBNcUONchSUnig
dxJj1q8MlAogOdqmQqCJCtanvHds+BNOgywCV0xJbMws2uBrXQPe3WRVKh3iLIkgWFcpaTx70uHb
/NFzig7Rc5m07taZe/SDonXNYRPWUOJXYaqHT9Au9LyWdti9mKQIyifULfo5irBn7RI7mb4ZXist
oodF61w0NPga6CJj0awI8WiOY6WlJLkaLIIPw7W9CESKJKbQqn4hyjpNNj1ggm+RL3N7M8lUEdGV
2GiVDaYwINWrzpkRiJrpKUxLOLFuOs8vDvX/VV4JYlRlboUuhDzE2uBxReDsBpEV7TpXVbqvp8kI
t7IvJgS7ynCCnVeG3Y+hHw1zDVowufEtiW9DNun8vaxy/jXH6uRzaZKDvXaLnOegbGwiOrRuwy+9
Fxb3vY7AT5sQ7nHLFrQqLxO10BcKQsEmJPGqJianxLO9x78CEDnwPaNHRR5lnGWJ+PRWyiSYdzWX
AG2ODQjfQ+aOpr+lvY2QHL2ISNeJpfKLdjg/b01WIQqZEbIFSddbGwvEOwhH0PjdJg0z39paoePf
KqdJ38BgkhAwaf61SsSMhKs5wXqNY6K12ata+b0TytBXgZQ8/qDrPG9LZLryoJrPZb/lhoT8/1Me
kQ9e96TMpUOnQDBGPWhlk91AHczKS+QeybTJAxJ4xqMwebo2TtmZDyqNrc9wVF8zbZgPZdD0RwW6
FxQHVpu17FqDxp5HV79vo6+wW79xUhiILvHFKcOVu8rxa+3tOSX+qqC+ANRX3aPMITSwSAW5ThQu
zPGW5gepxD5gVh27hMgoYEDXDYVCscoJSrxEE9mXew8q9ALg6Y8+UtWrjmKMVaHYdtL7khM+h0nN
2+ZZ9g2bGU6+AnEzt/qb7Jr5YbCSH5ard+xgBztyH9KqK9AfiE/YnjZ4pD+Brz4gkLmXQVGsRdU0
JMXH8TX5uxgtZhL/3BQGDrJhFrbqqgrr6XJaEpKKiPdqYotba2nA7Bjao7M4KBUx44x4izVUhPqq
JvLoGT1duHGS7BbvXrBFdOivkqbG/tVHiE7IFgHxS5wcqQLNMZ64P10e7Ixyni5MBEenMNP91TCV
c7NtQla9dRMvQaFC8sKTVVN9tyuz/KaarBu3Mbj0x5qO6THTk7tqMs526N/Tad8oE1MKbIK3Zi6s
md/OM7YC/mw9zJHf3juZTRUbedNjROAnlMeSRlTMD9njthR708vjk1NhdHQa87OX+PqKOX5/Ahcc
BWv6HtGnoAwQ4prMB08VTGWDamrIovXQts63SmU0LqDR+OKxxikKMslJ0PUP/fTFlwDeJ3mvOjBL
CV42MCcNWTbWQ+sKkjaa0bqHWSMhwvhTdaF6W9/raLARCTdqg1xh2gpInCBGxWYe2ZIgFRS0pk2y
BbdIHOqvPoVsvGae5E9rN1kE+3Nfi61MbIyOOf9jbFCtWp/txhZXmAUIiKT1nh0q3YD3LobmFtmR
BdW6BZ6sZvtrzOhjeG6zabC3gIpqqMRdkcbrUmBKna1mPE7j/L2QutsWg9Fe+5z/caRk8qUPRPQN
k4D83vRuSyhlQlXRhcXzyKjzbnRphiyvCI9bLCBB9ER85szJbPwpou8uvMERP9wg+jySWX5nEZIH
qGo6UBulW9MwjR8GyOqrwvOrJerzU+hW9QsMCBIUu/ZoVkw9Vwk2KZanYK5vhiS/iAkiW2NZqe6q
dgA57nZQ6YfAy0BWuz/6kYlzNZF+7uMp2CatnrcocJsNusmZdGDsZY+J5xC8i3NrazvQ1yPkDGvB
jP47HCXCC0vCGk1RWXywmd+raDh4Yj65BkFvK4w7+ljJosZH4Sv1vQmnnD0UMBHDCGAmX2D8pf0S
KzxsAwAxKwVmdjep3tsOg0DXY9m7wWfs7ViRRVh6lpJYVRPH4IKmuQDZZhNNLcfy6M8Zr6xZjruK
6IxN3ylvk3S+xBzSCAvTja/WXjg++51KHsqiwYEYlN50rATSdM8XWCoGP3+1YdE/tijjrtyY2FPG
Z+o27vC25uSs3KOxJSaSgzxA9Kg1yeSmtD1FMwRWpAk8VJk7JFcOe9lK12V3LBn67cHPDxs1E2oy
TjZLimx55cBSyYMBEzchGmTr9v205jeHu5GcYMIXmoZipQXz2uhsjSx+4uSRdfkRrklzogKs1zLL
mrVfSgIH/AxuJJW10awn4mhvY5wKz07ZjPbKTqKKFGKVQiIuMeggGcbCP/VTuc1SdvPdPFvBiS7r
TDKZPWV65cU9nhmrmFg1KPCOA3dpF3pmaKypAEveo0nv2p6m6arOUzixw2yF6Voqw58hDA8hBwqy
6u9iSTV+wIYu3zKz6KPLjNRU+8JWbKPXOLzalji1qh+u7MxVuFBgp1GumLm9pS1bNVu3Kig+3ISt
LioM89EJDYKjXKpaTl9hEKyxM8wDPikxZ7s5qjCvYhK1pgX6C/WS39DFKm5PpH0UFK6ZIgR7QLew
mESIwPDcOnxUaNi7u0o4JYQm43tZCjBHE9RZu/HEuumksbPtIuNrBO2TR4HzvSq8jgg5DFP3wGSb
bRE14jQ48Wtnmw6pHckpwsGJbyY02ZypydY6cElSG4h96Va1WxIGgnq+w3XDhky8L9XWagq88XVO
OtTNiO3y/ThMyW5kk03XiOTzVe+SmJJVnF7zyDCwSy8LraLdEQamvshD8zqf45fAQIMbBrhocjve
KoqeYxqW+lqLKrjqjbx7wGrp5ntnnjvGp1kIdhgZd5/UOTlSqozWaHuj5hbwQ3kVdU6y5eWxbkEE
kByuSjxju1oEqOSRi1xFTqNumPuVoOfrQ29Q0s1xIGaiJIPgluMU2GAiZlc0Z6oDaVoTvt0hjU8x
wVZ12RR7W0/mG1Dy6VnaSciRxOJoJDElLFh9DJqsT3pDF6jccQWemQGICsA9kD/42gxfd7OXZM5q
AB5ir4IUgteWdyG/oCTUe7uuSHQtZMGsPQ6v6th9s+bAI8/Su3byKbNWY9oHCfEcUX/QkfGSTxhz
ItPob1zfFbe4e/Ntg1Qddf34VY1VdipNmZ3Qm4zfeLKe6bPhJyJpqcCMq8OrfiBxF1oAkJqwv2dq
caGHiKz2qQi4tkR+iAszD6Z1lBev6CGWfZOUVTN18XGGpjnf+ZrmElPIGUhe4HqctTu1xmFWrPM8
s14oHqLHNu0A7dfo8cdVaLRBuY1rPx32XjMGj25GmOfyYgdklPnIB5ay/jM7I1lTOYYfl7WUSiqj
wNCgzVMzOI0i9y/cWlWfhrIS4Toe2/wJ5o7gshL2sGZa6z+Q4tRjUlY+onGdabUtTQDgoU0yIa4a
48nMJzGuMKi40brPsnozdOLTYlh5SAtVj+sh7b9MDdbNjnI/SEi4wN0ZY/6CORHlEBMYFg/lzkVo
GvVkx0Fi9KktCz1Wi1OZ/Udl4hEYxfA96qPogIXqpVmIv8DxfQJyRdmzkSYaJXpOzfG99OrFWh7C
kL+us7Ecn0RdE6Ii8fXTBc5fibJ0XtrAw69mY1pDshq6X/U4+QSvKSLiVnO7QO7LWk67oBcojHSe
CRKLWZM3blR8VzGZMKUZGNcE/7rZEfeqcVely5kBg8v0SqZQRhVOEXHjky3f7+mq5dk2Gyb5FIVG
w3GC6u6zcANnE2dT+t1qcBuTIj89D7IXD7ZZLnHrBtF7aHm8lPBEtK1YaIp+LwwTx/Qc5y5ByzHx
sGVrE95tk3gXhjMRYzq34IF3LmrhMp6NTZkb0A68OdQUn1wOvCZNO8EXGBvLwzPG3V9nkXAvUcdb
486Rs21tkr4HPTt1qn3u3IBSH2WkOjaNVi9OmBDyFHaV6lmx3a7egg+Q3M9gzPNNP8MP0bjKgh0P
SDrAq82ya4uAS2MFGjInkxIczZfOpqJcR2Vd3PrQwkdmQpYpKJ5MM95k8zT1m8GcxVvUsKhvkAMq
1PhoCgasl132GHsipQgthdXhlCcRbaMwXQRbVg+4DJqU2vthjGGWWpilCE4te0SMKHPMH4YrQNjP
TQvGQDa6UivwuiFhvEkqcNSNfdxQ31F/barKKfb0E5IlNDJWYptqXf7wmd/SReuzlOBWmk3XGADc
q3iaFGq4WLOqu5Aabj17TswN8jnz1sCpRtQiYeNkK1U1RwlqubG98sYAFD/Bf3To6PRyGrRiDieh
3ztExSQcUbDlzPa6xv1BVp7TzZ/o1vQE9A1Ni/XN7shs8+XY73SCWoh/TxJgxwY+74sRvQgnmTGk
cq89Tc7YMIcMPjDTLHEFaYTlfPK7tQP/GLRWW9kLYH0K8gtsosCdZnINOqpHU14VCFI9mlC6uwvY
qgy6MCMHPIeldiSMVKcJNWiqjcsqnXS81XVblqs6LOrHNG2ISVWjQZtKk//3tV94aqvOiTh40Pfr
6WfbaSQ3XqHKk4gFmyY6YVYkZXsEn1QRrYpNgkCdoGOvzz5j+axYQMc+69dj38kfdhnIT5XnkAXZ
lB4Bj2Yqew1OoOjk2rbFdO1g4TaRttgVGENNcjXRkMFX/qL6UYQWpabfN8GrtFr3R2OP85KOk487
2yB8dh3DxJr2k5eEHPymRjkgBxkHYtKzqnJbqIGOLb6/lgAA6FzRDlKC/QnKDx7nUhlCHlSV19SI
mCdgLAiHfkMiuulKtpXZLh0wuhp+OQf9lrZWfwqmaXTXhuuNZKl7huFuKnQhdKtlNuIypSritc/h
FezR73jVRd5VATHw1Ip3ISky9gVSynReBX2Y7yXaa9gVY4VMxyyMRN9qGdv12qCzlW5xVzGRgouw
hDlYoRKr1FbTZ60j+cRv9h4id4JKV1l2oNZj5NX1Me96fhZy/4mNU5eJc0msUgKlLWmdT6IKOdUj
zLa+CAkiepNq1eONw3b4YI4Y+lcFoW9Y0glIbU81EQj52mSVf2jMqsg3jeWI4A0OUABFBNn0cF31
CUd8mtEdUYr5TGIBLexa0ZQfPXkFkNi017EIER7hL02JHk9MmySqsCij605m4gYfPjn3c9mCdflB
mWo07lqAJWkIhvZHbVa3QaKgWl16uI8yNk3E7EOxFT3uTaKvJFNEwqoTrqta4/AqjOBQFDLFrtED
tJnWQ4JE+NZlN0bYSNed43SZcGa3BMKrTbqoWreTNyfYDTuSxHAAUtxvckHsBQ4nYWMiLpose8Hg
jFe+WNKZ9kFS9XrdeWPqb5gYNuZa0dUryWMTbr9Jkqqj5Ga1hozR4lEHYpFG+tggFDbJU1lC7lKG
xbF/mWG8qLZ+lQbjp76szJngyMSN6Tty1tzg1KQ/bRlDHG5p4vYghmq/rL2N4/RqH9qDXby0TjxQ
gOA1iXj+49zCyS+KkAyQIZzx4eHp3lalWRZf2Eg6+xKMavGtN8lyoa0ScVCbBoOZCw1hWe/sJuB8
P5aUtahQGxdwdJ3YwQvNg9q/STo3o9otJo/YU1uQVik5+JBSnjDGp0/QB9X3xGnAP2jiIeW2HDPb
e4VVxBw1qcyGAks6OYFF/KLwqPK4e4lj+iNrnMwO+kf2xWhjGHELx2aaZvvYZ74D4Ukvxy3GHAvk
2A18t6V5JZ1HW5Y4cEmsGL+3vRT3Ja7AYtVHE8goP/XHFwshnnOJEQuJnG+OREU7MZ0bVrVQHw1p
j3ob9b3u0W6iBr3tkiK4p+uLHXEVjo1h7ETpWwR7BW7g8UwhyiQwpSD2pif0ZfjkY0wKrhzZO92t
Q1Mh2SvtG/+LufPYkRzIrugXcUBvtkmmzyzfVd21IarLkAwGTTDov14nRyMIEiBA2gmzmcG0ya6k
efHuvefC9DFc2jDa2l8+gN1gSuNSMn12ZhgEtm4mgh8xoelUG5YbEVikkPfFhoyh7yYj14l5wn6n
wHf5QUk5ry6ZsSfLRww3ewEHq3HqEJhE5hR1LNNsrg5tX9Ommc5VWx9w5s8/zN2Fy0uGEp3HYpqd
+b2oszbdZq1lzgm2jrrZlsBNHJQxbKRQAqvAkV82SNuFSWehjowlpnFrp74RFEjmTzVgJgpewvVG
/yA7BEEBinHXkVtVbf6N8edWgtc4+hk4NAZndwms59WFyUYvCIifNSNdv29qn8B3T9Gc3ttrFdCK
GOAYTayGdP+G6jFRHP2pLxOa0yN11hYdtRttrs5D5bbuM52ZQRlbZjV8RRnuovOKcFZsFopQH1pn
nHgBA4J9djkNf3h23ojrkq/Zj2MC3dtg0m2NJ2oX/SdaHy1+W6+j6M/i4Jh8qNGAnpfIVv6pDX21
niMYdtlhXDhEXgYjd8ud7M0m2jtOMDS8V+Q60dJDxMG7V2Uhn+csGK2ddhYTnoaN+T667YQ4TQMT
ikQ6fLEk4wi+dvka7ueODQk8LGr07tJ8yDjLc6WNsSdXulfzevXcWHN136867e4YxAgmQzCiiZmK
55Bkl7n402Voaa6KsQp5fwqnMFqOrpxltxYBYXMTcpblnlQi/WR2Gc4ViLoW1o7MllPYdfm4mzM3
f85UxKs5qk0GSKOvWI8rw214HTCebmuVlb+UFpTIgFPsmFIGk2abuc4l6xyL5XOJ6eyrzWa9xFlO
J3ZM1sgrmsT1U6M+80wt7TuOxWgiJrvanhvdcnYwZKsfk6L1PAn7yJNclvQs7TrbHKsEumplHctF
SLnDd11RTUg6us02/PJqPID35KP6bRas3sWpBVO/6MdgJg1BfDSeGwWrLigK1TzXgyWnbQc7DvVj
SZ0hbqKpW2Nl19nvqg5vDdUVGjWF0oE1nskUcc4OWEG4cNO8UnIuH7SkO84T79G8tlbSQTZ7r6qB
4cWkiyTfAqEyuf4Ax1eSmy4tpruMXD1DMEls89wTZgCc4a7+t7eaHk1A/G+RpGY39JR9DnOwgWig
TLoZg+rULyimiWM681+3WsUZGa9EQdOlea5guXDLT7P6Qw494AQ9srhmLpzyXxap4/ouypGtoe2V
y56vBNkm5aL1txarwyCJDL0eil76KPlp4y2w4tbI2A5VFWQXesIYqbHIaLFhGu4wqHt5m5+os3aq
/UopkADxAy5jPwMJAVW3Wqz9J7PlCK15J+LAh13ybk8V+i+iB3t21j0sUhA4DbIxg1x/NfiuzVMk
3HA6uSkn0OMaBoyHGfGgbkvCfQi3mjowccp1dnNjCvajrt+w7pvNABqAqUGJbfOe4o2t507a2owQ
HA6TnOpvU9vYDHN8lpQuqVxAwmhbajiAUjWHycsYkTsKQy8pB2hGlGXgGxuBzTQHWipcdqkeU/au
QbmlW5zdawA3yl3KraTp0oh5yJm/U5XePNVlvWanCqH77xJlc7ltIkD+MY6v2wDGGqba4nz2rWvB
y7HdYS2FYNbx7n2y/akOAWExuiXGomqfJLmTR5si4mHO2791pgc5tlyRxMeV9Uczur105EmfHJMi
zYO/emEZa+zrBm+s1WuSXpRV/9Qx4SCYpZXxvS5+7R7InXlHWSv7laGk9BLJa71KaA9If7mNvZQJ
P+vbiXQteTjcQN5D3Dupu2zD0l7SwzCP0B8kvvLqyJq+YVsYEnbQh5Lr7S1Ae6cDWrNF2uLpALXV
mxIuQSWtvHwuyEwh8FNNNYGW8b2128GN8+TH1Ptp/+jhU7+ktH+3l4EkYhaD8vA40Bl2Md8gld57
Xc5Wn/Slo9Kjal00BDWZ0bizYT76z57oovuBprRpK21XP4HOWkBdtLIl7y5bmEIIja2Dbu1PL6Vl
LtM+N3vPO3WGG6YHA3NgRPBo4iMy3ixwNR24PDuC7w75Y2ud2vtSAdLYrRlH+btR0o2awLMl045C
4oi4SIEUbgdjtti5Ll7YgGaoqWCQaRfsgyHV6r1VJa6MuKpZSQAcYqPzG0OAfp/zMRhifo7I9SJo
bsyKQdGblwr3k9YK8bLy7dFZUy624V48n3t2C8swuFtkBjIi8peGlS6jNF4ZL62GfQFV3TlSIxf4
VIJ5rIC2zjJRLIGyHPxVoVsKhFIQawCGKgA4nhTNR0alaHOoMfxE8SLbQexH3qTqZEuDvfhKT653
WrPcNd9TK9fWxci9wVtY2aVg5t0WTONrsNpsiS+YfeYZVZJ6iNcgr5hEaPfN5l5uKFvTbjwFFQcw
yy6q6ZyvSxVtRoiKww6EHyBQMGX2eJpLznnbYFjz6eDzThsrfDau/Z0CK4B3kztlu/EA5oojfb4T
zdRhKD4dOaGMksnx8BDPfuefJ4a1r9KbZJcUChTtRhK6DB4Heve8ZzCCk9wsFIlStDD75feIQcJB
j+AgdgLDaX/3neF8oXCyhOnAiakDHpWBmtxZdQN4wTXw48LzplM3d/bwNNnj/AftL5dbKHC0Oepx
VOzwzdz90WVpGHfcUvKXnkfzV+7503vQF7SFc/hirAVs9BcvE3SyyQkA5UyeVz2OxPRvtF81IRDA
CsmTgJzOAt8I7WxT2Nb843fixvmk51EfRebZ07aeEcSvggM7v7CRJM+RNtx3xjAWDg0UyOrCrpPB
CbMNnA9u5uo32RH+q4F6iSe6C+lEhW0z52gRnRrMuITgXWwtfuD+ZQkMEe6AQ1o0JzohIRSsYlD2
4GGwHHXmApJCFEU6i2mL1zz/VLlCdLcHMRCK9ly5bVn7U5bl2DrRBJb6OJwwI8W+YTs1M3XAY5iM
VBYczCyjhZgjGC+6IldzdMFO7VtJVgL0PjA0p7/ZNGimghIM49bHT/jle2R/NY8WOuR7cipbCHsa
PgWurg9dWYqqMXJ1amNAbO1grk6eWg6Smtr1rPOmpKA77BknDApEUUmXkYqTxaYOCZk+oJp5lanL
yn5qm3PGjv1W9D26T5FBkjmu3Kg+8+2LKDbyjPd2Ccvtqyg1ZL/GYqYF9FmvbSyLCCJQwLraiOuC
/WBcjEzh8SpVxadmmmOHtfI9nYVrMffWdpHikR/43ccckCXV3zVqZiztob33e3P14wD7YcgfX0or
sQQovI07lYre+y5E0AdFoS4TRS4qMUOZf4YB9emM00P5FuiFKb+TmnpRLZA1Y9EJ+wruy/ikw0z9
whQBoC91S/ljuXhldr0K2dRNs8dXpr1luSOoGdn3OHBZRPOxqKMBQ1VusAToAkyD4T/MIxNgQr31
9D6wj7DjkMnpqW8n6W2aIKREdGkcu6X3pvJAeHHgeRiz2r/rES9fuYxxxUxioq3ZyGaV0W+ec8hi
l4WK506ZGWMV6CmDRA7liO039YMT9TObKxneRhqJZ3CjfHP8nXL6b+AL4Y64Cab6PoeNOeMOK7nA
bEqZdoXvLp/QALzHwCmdP8qT6DXCSBl+Ipas9+U6t+42y+oPVprBsZwGIlRjHnofk+9m3wFL0Hrj
Nb17SQdzMJNWSvvJnAOZ39etMtgdDtxciWDj9klOuHSSjuA4R86s8j894K/GQxc5vbUpLbxQB1ek
/k8IUZi6dNi5O6AILRaodWwYwxa7uPpzwaZe82igrbUyrPQ0FEOp3n3t0BVvpoIMbdaW5CBFo5HO
qzLV08ZS0O8e1WqYwf0MYpBfo/mMm9RLSc9XIBztC8pJsCZWqaH6tgRjuVddSN7M8a13DUvPNbGm
gAXbYCpmyOjWvvixuYVHSo4DSAzYY/p2h6srNI4dFZx8x7pgPUMXNvsk2EvmQXD8HuO2YrV19WBN
ESmoiyi2RWBfckGlym6JcvuhqSzzJ7LKPuKButDya2e6uZKohX+TQQb58aqy/AWvmMc77Dv9xets
wE5hkGDY9ET+boXBq1XjN+hF9wKu0sXyqb3M+epcKdRlva2gf4pCmMWnClVRbqsqL+kGd5u5jGUV
FX/RR6n3HaaBNoMmYwLeBHLEepVH80LB7aL6pBomcVW4ngQuU7MpftmDnzMd6Nxb90GbZ/Yn9oJx
2BYs6NY3/sQFurs5c8xJm4C1J8oIQP51qvHlNE1YYViB7rMDxhp6iSFlv1BpWunFPfDvYBk4Uh0N
ajQKZlb/GqTnqfIyjhrAaTvlAJKL+M9GuzQCb40u54ZgwYcAh2yTD7FnsrzHp5D6b4RlK3qkTVeF
F6OWaLGmKpkk4V9FG9vuvDWurKWCwZhhYnwJ0RGvc953lJ9SvZzHUvMgPGglQyaosbN3fZZFTUJN
DJ6Ekk1Pc+fVsu+4jgLWva4PQm8j2jSnZ9qusWLZFKmrt7yzU8xP08J+umXlyyYNrFHGvPeuZLCu
hzHKzO51NKFD3jPgkI8SvMiqT7ECHj1VncXnMuhlzovrIgsWiLFVNnObcjBrwjXxsjFD3yxla29D
juzhpYJjnh1w6TX1xYCjzSbF0/QwgxExeloBhh7PIJNSSJSm9U0DxF8UmhlEL+Y+eG5kNDPekfTY
8tjbodMJNx77aSk8hgijbjBZ4MHSn7mrRH8CVaU1SNV5AtSWdXP9ySgydrtu9sQfRStCuRtAdXeH
mesDIi5WkaRHgmJjb8zdh7nWhEctvpNgO2HWqc4RLToVTrhpYvvvuzN8nGbqpt8FsM3hutR2Mxww
+0F4qqc1xWaK7de090tper8Fxec/mou4ihWMwDnJGlveRMmR4ky+M43GY/I67HhWGUo+tdyJ8Bex
1E7JvBKvvVA/K964eudunyKyfEsqxNMzxScjxsxF18tVSM57x1T4kLz4N/ohdxSWmliAEKfqwuWQ
+VHNWegmMHGCMM6xP+cm7xAT0d+oWl4fxUgX+50L1k5wqE37N4xsHQZVUSKHkxsusgN4s5CtLPXd
mMhCUQ1/vQEiPdaltfXxUuQQQNlz1OMJNqcfUliN3qQPq93eWr9n6qyDR1wpFVuJ1XU+U9a+YmsK
1zVZ79T8gNlkZFRXt7xXFZpDrcI5ZisOkBz0cLvu3GAMfueFg0VBVJgBdqoE7cUe2m/HEzlb3W7T
PB/6JG+1L8+tKIzwgJqgZyxdylR/K6e1JSSexeuPPd87gJesHAX9FI67/kXcVN0rYXxmE042S3eA
bGpO9wzwKty5uqAs2Bz7MYT0MdKn4SxsMTdVzuH7fjB736HIrzXNpHf8oD9VKUnKN801gKs6GLPF
+G2ti0baUDkXD6oWbsY+Tqm6Cg4+6nHpEq8pGRiSFf6ycbeSbM6Zjhu/vDYcJdm2qMooH1s7XQqO
XQ4Lm8ZujepN65WletyqTH8YAk3voWzTRr+SL8+sS2SLhQhg1M7AAa0GPvBXAf8JlUDkbK8thqeK
nbI9ubQVZ1Nd1496aqzhbcicwK6JariwVTc4l3soslkG9q1vwrGsmDOApMZkSyXNDisTiXcxxqmo
fht2n/cy4fmR6gSAczu8cLWaI0hBU0b9CPxstqs7l6SBhBwtse8Y+bBkWHzYFY5JVBhddxTgHLPT
IgO8F0vbdiwUUN3Dr6YA9/tGqYBpHOloN8ZHAtMLZhOVlrl1v05U8uDn0Ovwp+lLy762ZhGGSboW
AYhfnN0Y2hk4MxRbWYq1X850X2dleXabTFPcMkYSYAcmdiPtEkoS8nLfutDj71iJdc0FgdEr3vwA
08u5aHK93E+6wV9XV1ET3d5T9qVaTSjdGqLrsQB9pjY+G02exJEQcGmAph04rSLzFYxc+DaoXoeO
a+Lt25gcYT5l3+Lyg8Cm2IyxqAUn7nJi7Uf+j/NAg3RgBAfmuCzAb+Qh5Kf7HkqnO+/TidGyfY5E
wZ7oKEgiePUB1cKuOorui4b7p5R4DJdz2Fq4+Fdv7IbH0TQHm8WPV8mgfx1ZjDjoOVUp2uWz0g1H
tR0PIt/sT1AEcu6Fae7Zac0GfusscawV/vYOfFFuYVIoFi23Y7X42DbbNo2YOXPlod5T850pnnU2
6h2vzqyDxCxFXi06aWYqQZZ93o9ZVGwn09H+U5qmueg2CJKho4/Yubz5QTq2yYN95LNFz45fpNOh
QwWhmSRQGUtMSLncWJMO933jiFdVDoi2hZmZj5OzVj8FCRZ6r8TkffMSGl3mRxW+BdDm3yMstcOm
xfz7IoYw2s+mtXaHyjbKd6tT3hvFKdFvOnnzkfBKRZ3nriOwz/6qp055S+rHInFSNBC8a7Tof0+C
/p8y7/+7QPt9+10/9933d3/9aP979P32933+R133/5fqbdJo/3Oq/fLR6P/a1M0v//c8O+iff/i3
4kQa+CLXcTxyjf/q3DbNf0D8Q32kio3Y5A0j9q/Obdv+h0cwmR5uer2wRkTEw/6VZ7ecf0Qo6UTG
gCjfIvLh/yXPbvn/pNn8Z2jTIN1HoJ707n+La5U5PI9uMORRreRIfCfPGNAQK99rN1/3xUrUZMMI
YRyLyRiuDosmmYh6VeNxZR0/x96MQQeyyCJ+PO0WNrauTtEPEOH7dOVa5XHFEPk4o7gktFG6x3xG
Jd+MWdf/bhdpQcMvGkRzMLcjLkZlL5usmmUdAy2VkEC74M1su+lklsJPHB51d0oo/0AfgcWZgTc6
+aI2wqaVNn6oYitarde2MTgSeSsG4tmdBc0SuLBR5enzyqzJ/jFRBkryFxOy18rGGW2uv0qjCp/W
GeN9rCIxXclFovPl9VQ/GpVha05oKElRWdKWUY3SMzbCBiu/AfCnL5bIuyNaPZ60AodwEgqmBL9i
McFaPnxbwmnmWRv6hr+ZmJsecOoPz9LRxSvOFPXOmXw6y0jpM5XUAaf7dXib/wkdHp2Ko3eoBt5/
BujYI2/jkRoLo/G3/DBshZl+za+4pJu/Tunb1G76Xb932YBKYjna37HGcInsIISOoVU9BRQ57Mlf
tjt5I9XgTRa+OpQaGGnBsuqpxsrEAJC1uLeKSuAKMjE7gCq2QbKuM58/KM4tMH70FTbRvC3MM1uH
oduN49g+sw8GDGIRQnlXw1pdqTk09nla+O9MvWIX5b3g3apFDDvZiF0p3xkVJhDvUUt6O6svHAXh
BMGPY8andIZBLErtGLtdm3hjWTwNvGDLOOwtv+TtO98yUqFl7QYTkqiehrDeDe5LGERXO6dxBr9f
iY13iR6qAuUxi3K6CWp/2PhTqM0481X/Qn8BXnI5RRRQpOEB74D7CmMuwymu5w9BwO8aMV882HTC
aJh65qlnbLyEujtyAgjPfl2uV8Vy5pWSE/GpeLMgtrZWmjhaVRcWbcYXoEq1NVx3WrB5Ub2H3RS/
cWYa0WnpUbZpAg//ypyz+GbowPu3eQWdpQ/mpOGAM+I6alPyJQOWvSCrrv7AW43+L7RvSUPGxo6M
SPBixh+2Ki8/9sVs/IjIj748DaJ3CFzYkrBQ2GZMFGy/oS2q6C3XFzL2ZCLZ6a6PAgQ7VzMSu9zj
e8GtHwEg5f4SNIIW0/vCPPnbHNr0QtbCvGevZTyzWXBQZZ3iIZOe2tIkUL6llqNe1jJgaIHpHZqH
OrOdZG6i+okGqf5xDerw2Vha8yPkSqYO1TTpJOoUQmkro1OKinqpqioDkkcYrmpM/57HnzeA1h76
QxXN02lFFolXhJ9fzdT6SQnO+Y6803w7+pIoY8Urb64Rkn/gcax6Sop+CgCa6em6mDbtBD1WoVs0
+3EJJT7pYoraD6sKbv6xxm0YkOyIS0yXmLNZiB352927Xrr2hzU2/utAcwVuTHd9SkvL2HrkvRLb
ROHmYLTW2zDKswOWcayLmdU9qDQYtzdl6ebu9P6gTEz8fG+FzwIt/xThkdpNLuL4GFTUR2Rm+AwV
TO3QxaIt3NvwVbea/rEZFC9pu9DHyjWW59UW0/cyU7X8jOYdHJ3KWV/CoQp/4Tj8pYJgG4ke8tVF
jWt2Xc0uaJN8mg3e+Pwt/czGd0DZol0Qxgm+nmB+6HuWdssY4o30jS9sPA9pteTPJJ6mcqNtWHwT
BRFrgiuavVNKd+O2DCbrKeg17sbaYeKf3HM7ZvadPfRuEpiL2o2Z0PcCc85jbRM90m0Q7HGJF9+w
TMYHwmXtlbWmfQAttPwWPa6xwh/t9gUDTUSArcqLrXAQ0MytmjuLkpW113FIxjTOMd80m3ZSFjJr
XpVxr+r8KAvY8kXH+xYnhWq/cQL8WecgeAH82rsYd+vxKKww3bKwxT6Fumy+gCLsjmNg9TtNz/02
T83iQMmecelMuTwAoQaO5ZP2Byub6Qt+oPnFlGlBs3Y2fGjZtruaN9Yd3V7Z1laam3waM2qsANw9
OQqfKiGQkxxdJ6Ee667AD/fMMtva1EJ09449QLMtAmztQTOtP3VrjxcC/Tx5aQFqt+oW3bVp07wq
D/8261AjjgbmZDCC1gde1+hY0we3t9vR/ZNzOPllT74+ZZILDbnNDF/yspwecpXrIyNtj4dvMPY8
ec0dtQDmXeuX2R4EFG5jxc7dwZGos7OFILgfS9kfhtZbDre4EAmjuQOcHBZvlourdFSdemZd5326
Q26N3G+F/VK5pZ3APGP1fDudXJx1dK+mqtbv0dVBBDw8au5Yr/QJeD8jMad0/NPMjrEnf2K/B7Jf
CfZOhbvp7cr9zS+p0LEALtO4V3rLfWOSNS5L2DR4RqQ+LI3r7tIKWaZ3vbhZ8ambnRy2YqVFdprb
/MHqDfndN5j6kSwC9t9EAINNz0NKxRMTUcgxpyqfKGGKzkgrfGIxrMdpWbsHK7fMUzh19tExOvk8
tbNz9d3GPaFDBuQyFtVuXEfQ8BT1C9x1Kib2rZmvNKZwhHgyiXH+1WO3PDlTwJW6iIF+KzUa1iMO
Cs/btEWYvwpE1xMQGvY4lHaxDySuFs9uxeMeiYqmtNrObrv3zoGlp1L7BKRM3QkinOdBhKxnqhQB
ZpYOPxftdw+BWNS4CbwmvffqPj8J3fV/G6egnmZgiOGcI79r10Sf6IXxlunJxWbppndqKLuEwtvi
CYpF+YPLXJBjAGy0xHZnDKfBPiLMY5QHfy+S7Lyy/mpoB1joDSnGKMX6QfDGyl3jNatE8JnDUWs2
nRlVHx1W9G1gLAB10gaBGIMFrSumcer70n+cSUIi+lORe3QzWqAUAZ4DgjWukwEvl7VtQt88W4OK
jpLpjSALhHgqQMc9iQtnO5ZOeDQ6O/+r28XAQGxW+LfDyjy31SKog8GQzwa1cl5zPAJ77CFUEWVL
dpUySA+BRLdmf+9cZyvSxz4fNai0LBAxMOmpJHws2ainfsv963lGAt+DzXaVi+VlSGt1olg3vDid
NT+1kkmj5WWMb5hgoUfn272jl/mRV1t9XHjjPLJZ5NmaQpUCql6RyRXlYJ2oZsF8UbvdtG+7MHi2
vEm8VpEsd2XfcFGTy9GnyQ6NYjvLmTd37QmZpK3bK5CdWP7IBaONlPo9l+mY9GuZneaBeW1j07C5
47AfHl0yDy9LOwTvOUSFl7Xp+2fNqfng+HX/6c4gYNDf5mO7CINbXDofq6fkLvQCagrDabuyk92U
bIkTQzk52eG5q57dXk8HE3/cKQdkwEY9cOZdH1H6FbBNPGJAma4zuysVE24bD3A7yW4DR9kS6Ojp
I8hN8SUXa3wsjTT9s1RVlDS2G17xbCisNHRPXhrehveG0VtEDFP3ofA7/NuFoMB0gw8UYxG12+lz
aRPcp0apLWNGRGcPJ5Plq1oDGn9GoxBiY6sh2GMB4zBej+Tn2TOZeC5GRuteDekxF/l0h+bTPLTj
iOHCQ6GZfWVdI1x3+MvceaauBgcK5wffvhuDzN4p8P4ufnOqzmyLAFrSTLQQRgRXD+j7Hlj6m6+p
rh1Sm1mZbTXC6W+D0vGdMyz+A7nyNJltOR7WZShoISV+ufWRSlGoHWd5Hb0yOBsRjwiO/XLCnLtE
CcV1GfkF0ZzBpEpsZDZPezkuS9yyhn9dW1vt8pKyLeI4vE96ZlRjm5eW9VhFExhRGKZxTYvKQaDE
PZqdmxU0F+Jus8KMqLsz5mcpQ++dFE4Tu2shtlHkiyvu/minLbc4DpUtdiINm3uWE/LY1CZ/QgHh
+DAGHne6GqbtVGCl5QlrzF9eSWsDVznSEm4csbWHIbqEUpv7kGDLye/WyI0BGNJJ50+xsXozRQ9t
ioXUpp0yNQ9NPo0PLC2CO6ozKOULkeC3Wen5uw6qQEs/ZFWebhTfvw6bH3wddmMcPG6ul74X09cc
3jyQeOYeHYgQsRRu9B0Mhd73w+C/zrgOL045UyCJRe6TnqzyKcVCdU+Ihe/bdOXF77Cs4kmRVAry
yt9VqZX9kkbWf49Zkz3yHsDZN636Oo+1/ksywT1xV3g/cgY7EjK7PyorVJ8SNxKpD+gXiRncCKTQ
k4LXSBvo+Rl6LJlptJSb0KhZYfMjlpNX34FYJaeSGat7NsBe3mN24HQzGdx/OKfqWK9RthuYzvAf
3Yo/kHf8z9Er6j+ek3VkYn1vO2qMJUsVGtfF6sc7Aa/8NdASmZvsnrWxXGJpg48fOzYHbkATmAB7
8NuowFn1QYUNf3jdzfZZRZRP9YFhYCX0QspAafH+ZfACLbcFXW0HSvfyr9DjAt/wpRUbPHYRu6oW
H6xjNP1ONn31C72U+t0ojX6ljR0g8ot+YceLERk+weLHFPDkHPt6b/jh2Dr3G7gIw71bFvUXv5aG
MYmPb4OjIT2ngUUgyMoa82Kv3u3ESB4SFz7mekv7JEgKJsBwrvpXp+JslQ2G6ChsyHHmect8zpuV
BXbZ0vPTdg5lp4bKpifMJizJOtNot1EdsFrIZizOTp/bd7ixratdcrZuTCP4WdzBv2I3mE+4ysNz
r4zy1OZrlXAamh4knoAPlYVE2TCAZm3YnW1fuFsyxYrnJgAWtDnpJN6qm1PTuuN9X1TqMNi++rC9
IdiRpAQkwgmMBHQdbde18d75ux0q2UA/YA6wU3o4M3WlkS64YqRjjmMHuNPsM+6R1nuKzOgzvIfj
gb7awRmhMdj6Bde521PLyzIUpf2ZijXzgu12xgzeCBUDBo2uk93VJzvAHUxFly0Z/aHPQGPiapHi
6HGw3XjdzH2EzfCd/Dx+5FWvGTbM0XlJI60p3KrKZwgnbqK8iMyJZ427Fc3o1SEJ/9NGM/dfFuR3
C00xMZwlbtHQq94n2kggO5Hu2Ri6rc6+VYkkZA0ek56SF7QnAZHgdm1Fa0QhxlitEHCoKZvNNRzj
oV1YSxP5Kc82H2Xvzuawi4rIeeXoT6FekRmH2Zxf0BvW57BWLjSZQe/qsVbXusTr4HvTQAhRoOfe
TkvHMaIANctIuzKGjHGGL+kOh/VAY2e3kC8R3Z/AA9SwdfH4/MnZwKKVGOZvW2qCV3Xv9Zs5nAEk
qKD+Pej0mSpS5iBlLVc6vVC1Cm3z9sZTfeBmI+lG56YuY79fcmRAy1j/BkH5S5tlszWc2cp3vT8Y
j9BUjGvT6PZtdCz9LYza/crL24dWoyYL1ZjpzqynZbsQLYtNYgWstQE3Lu2ybqo6Os2WzrFnVgv+
hX/+uwkRt+fKX+rDzDP9QMrJuIIUIi2dsQziRYwzc7Eb/x0VJsUWQGKPYgb6VMeu2jcokLuM6mmA
sr7cCzEMV8167G5kdz0nzmSSnUw5F7OYUK5mpTShQIemah800iR2oirUPLF96zR6DpWEJJir594p
sz952fSnWfVjwh1RP8kxiL4CQheojfhML4RaEPa6FgR4UIAnwbYuQ36/shkL0jG4R7mz90Du8RCU
gdqarfWW3Qx8qVvLv6E9HcjmpPwQGnKVu3kZU4LOuelc2oXnwcGsmfsFhKUpnm+PuR0TanjsKSKf
tvbsqK8hr/ogIfM5oQ64E/VzLBnEYZ11lhiWlRVYoTqD7G5qRoeKAyGWJGN+KhQeaewIDl91ahAe
EQAoN10pZtLbDZkGigq7HIObhQ7HhoQ3bZd1vwN+LhbrrAGZKh1yhw2gU/mbsC0gwTn17FcngAnW
T1uU8m0y0yBu8AiF2yIrjX7TQVb69gMk1Q3HVXWlqDh8cAZdWElpFAMlz3CNf7MaxATlh0BFF2FP
/CtKn/Yk1rd8wDl36PhWmjinKrAog1s8LrREoaTxfGV+Uen4QICKC6EbrReHA+1O16P/K0tRHS0k
oLNnldWpZYCk5DVncG15p9y1iihTVLgGXRFr4Y27f2PuvHYcR9M0fSuNOWcvvUhgZ4Clp7zCR5wQ
YTLoneh19fswq2a6KtEGs9iDQVZ3VSgVEvnzN595TQXWXLbUup6eMbwANg78fSmAQG9Sv2ojjUNr
UrKHYq4iEHBU3EZ30Dvozrks7+VYKtAzgeyBp2s+XfIRdaJBn7qvqiSBWjLjBhIZ2Oc3sEDdxZBa
f0BJQ7Shhw6nUTM56McoMQJ01KS9TgWKfnQ/Dg8TPR5fHq/JsZzMAtkZPWVocjOxzaW8XRpJHS9z
0o486bqtbJBQlZeNHaog7Tj3lz6+6Qgtgy4EF4alBq5919mnwSY6tYC4yVYzbiih99QuOwHuFGgY
QNOWZnACw7uoIVpGzI1Y2tzu6Rb3YANSjMyKShC+u2ttnsR+EL/FiDcWsth/lTn150gRFoh7Ayud
y6EyIzbGEX6gEkLer0FVdsjaLLF2ezPmpDmX4G0tRP2Er4n6rtuJQ5KS1DYzm/5U3AHI1F9vqQBV
B5fOV+jyCU29HDl3BGMOCs/otaV0uVhs8JKFShbIK2lajF3cNFQPcbI+o9y2MjeHUtneimR4yja9
4vMMMGpJAOyLUD+BU6FfBBJAvxKH453VWcjCrkdhowVKgkgPh8TyQdJHOSZpivIMmyz/LJRKZTMA
H/F2UzYktxGyXNZtTFVPHVByWKZ8ftRVCihxKk2nWMMfLlapyuRK+g3dyLvp/cOwNwTMeEzSKt1X
RmkbCyQ4ZfYm92n6ZUZwTFDPMw6ZHsXUBbDss/KhLXE3jBCJy0hwV95ltjbR4dUWJF0w9QZAhUyU
XHtqsSmjxtM31WMnj/MW40ZYprPQlkhsleoKDOjaEEN3hkK6zvrrFUwEe0BUYMM0xRmcXuT99oRp
APVoW05WZXSKg6vaFM7w9/aDZCQhGZyc0wQHH8KzbXFvzPgEYCDwg7WNAs1TEFH5sahIF2hDYJy0
E+KCKA9ljN5rVLl4yRItfbtu4tv9Jq7i+wGbZBBjKGUsrS7AM0O1bRlEpO0yGVdU0ZwR6MnlFHDQ
gmrRkMxJQQVxMzwAltggYVWUO0yYKBANVwnx/fyGEbNx7WHXwxqstL6H0i9TgzI3MvoDJbICUSOc
gddXgZnm5lcmFc1RSYFrEc4hph+jWgeoB72WaBy2FA7qYw0A9UkyclNaXSHNQOt0aC3VWDw1qVw9
JqCDT3Nz40SEJG96OnAtKu2DIL0bQMEDVTEjb4Rk/LJopCm9nHUwNX7S7SocDywp0WUwgdm9zqng
aBu1uy8xGT6SEoBAjAcQ7bKKTsJUaiRCWe4myAwdEHEo3wtNBCNyo5xlyddM9WjolNtRb+sLETFM
hCSP97qRksF2mxqeD3Tgu0aEfGDjMlEjXAOiHRGuBumiVpexkMVvL3FusFYmxzC76p14AUp6Pwls
fIU0Gg+FCA8oMPSG+ulVEADvZrUUQEDTRdocWtraSm92T8tmM+3pL9KsEDq1oBmjASF76Sqk8J3r
pNb4SZCEZ34iseGGDfsrkV6jABEvZ5FDXMc60OulBPrDNVOkdziww9NMacBR5o2yS4aq/gSQOHgy
UHdw5UPZEp2DtgbPqY6EFxvFgAC5YBtueL2BvyUki2tPltuVkw1inDAoAc80OKDG83uzv8bgyaU+
4j7rCs2WtBOid23WRYamv4kkaq06mU4GcJso5sreCyI5PtYKuSL6ITLvWH1W+3C8dnj+ClqTP9Tq
NZJsVTDNzz5aRpHdRkem4jrihxeA30LPQqnYwFb5QliUJjTm0p71tXMWLYrxPGbQPd2ia6s5oI8a
+TUWkPEOPkykvZh9wqbc3Ay6/5mIuE+3FgHAsQi3Gp0XOCOYL6awnRJEypC/cCWmn+BWmVH+yK9J
kt3R86hP/bXEQ08F6Q/dWIwrmkBFNv8Q5/qKmbrZgyMq8isYnWxFmtCXvXLVSS1tPmdxNYxPZkrt
Tp8apWK3NUDwHLemAubmtLkThEFEbYWo1u03Ut0CHdmogNqN+Cr5GHtndNbQ+7SBZqsBw0vrUqSR
VpldE4dzIkSgmvRB3t+wuv6c+qVTnWoa5RCtt+v22i7lhZyJGroOFssmTK+fq42R3XZ0N5q7a1Nk
Xzf4Kj6s1uvZuEGVsOJbQIxwna3lSnaIbwHKixPqIh41CY4zg24eugzLPByVRi1eVPGW9UFnKFPp
oGVG3wduI8LAnVE2AFfpo908oQRNZEHSI4PM9ZEiOnpmFs1MamqgXrL9pOjdaEVAZHfYH2V35PUt
GKwrNuRX9LE8NZKhXCmq8k6hQnEGLANdBbeNYwylYLcRIaSCywGxd9UphLezMG7VJje/qwF17z6e
00PfrHpkG0POfHRWNs8x5Ql2hNwovgexLF9RtN6gGpgNvFqos+IOuYnnRy+38kGsDfJnbIKwZawV
DKOUvOCgpFQh74AoKne0ijf3a//rPFHuhEeKEzmU8GV+NspUPc66cWPhxdWF8lu2nepG9qNEHrZp
kciBZggN/Tdpflwox4LiX65bOd/Qtd1UoqfqVD3mOCfqUoycvCaWi9UDZHHM7qbMFsHNxnBbbTHv
0XLK6eG2FGQqbCzNhugesHFDmq8gfoDDoCnkCozrCr2ttDR6QHxtFup9J9tCq/WPhg7XH5nRtg+p
EUmeSbVAtyHJrQrEsjlt4eohqVaIxeDR6Zpc8IYLVVJFf4xuOF86udiXxwLiyeNQqpR7uCAaCcKc
jaCWC/ROUimSnR4CCojVST3IDUJqFWBrpoRBuyvpZ2VxNjNSRiDj0V+KJsJFKe6MrdQmMQsMzzcU
esq5ak4Dft2aK0uIVNIuL0bB/Qkd+W+haB7qkn9+Bcb8ERfzH/6P+vhe/uh+fdP/QPSMuVldVpAe
/scImvsfVf6eD38JO1Rqvrr/5aTv9TL07+lfLkP19V7/EV3zXx/3O8JGVrF4ACWDnqmER4IC9uZ3
hI2s/FUltlGw5PlpJYFi8H8ibLS/Ivsv4rmp8TerCvN/IWxk7a8bifI9DeHVsUzCnuo//jdDH/+o
f7dPAJP0p5//aKeg/mLz8hvAxkDb/ReADRYu6ga4hHLIwnTXbrujcBICqk4OjpTGgX4OP6pH46i7
G6BiXmdvgmUr3V8VSzpFl/Q4ekjWHJZnpOHc2Svd7IQw2xahQQeJwX3+XoQVJTbw2ETeoeoPu8yN
ndmjF+NFdu7IDqJO2zHM3TFQbdR8trMj+wCQ76Kt7LY+pTB7sSEw7ajO24I77hQnCYVgsQH5B2lw
DRe390Rf3bZ+7pNCuYJXB7Cd7+Ot4pA/Hjs/na3hIDlN2HgId3rlMT5SoZc8xekDWgaHCacnarf7
/LAJ2qO83Zx0vz0uh8TRQzC+2+KYhlB0PbDifuHR6w6GrbGtL9FZOBb3+dY81gcioW0fXF2w29xn
YgNdP2j+xkbaaKUaWOUhORWGFU2WTlj+GJFsTNb8AT02VN3czfhYxeusH6HbOZH3QBHJlnzdSV3Z
jb7h3vGOJtB/XobqSgGf4LQ+0XWgWth+ea54jvbzNvXp9rmC3XFng49DvDd5bXhzFf+6GxzJvwaE
7TtkaD2Mrh1lm+/BZHsbPw8lfzpXwchvTXflJfFuvnkZAF2GhpdcJmdj5365Bd+R+9C5bRCkDqGB
HVlQW7fZ1vCUb2mbn/Mv+dN86wMY8X7nYEr2YMf25PTWxh5dbdvtJ08/Ya/tRdboggMNRK90kmDY
by7RadkvDkQfT3SAQFito5+yO3Ffft2eYBuDvkKkVpYpI9nXo+hQPz4qR/PQhfl981i5bTh/4zht
a+HGIb/y0nOyG306Cb4WEjG74HK97KAe4I76cAwRBkWoNb1HlCS88m2mnfqKnXu3/FxtU0dzMj91
xGc1aLbybnoWwtJZHJmLNdz+E9wOf8RAvSt3SjgEYFvIrYyjeiedmYl+5KYe4hSsE5HXvoZd8Sid
KQM18HCt7EJhwk87S9+qvuClp/w+O2R7eUs1/1DvjLvssGEFXPdZmGyrrbrr/oU7prL5swT635b6
L8rkUz1QJqtpGyEe4tIJpB3mNE5kdwGdCavhGq7O93fvp96GVVmETXhzKAq7i907wgOaeVbnlu/J
GQaXDdzd6T1qTTYsO+sJaqw3WJMt27JLzzoNYJWHrDAvD6Rg01vZZ+puXGaRnTig4Bx0vb3cRV7G
UZjl/U6FgOzn9swfzl3bcEp/DuqLtpMCwUV60499+Fk/SnxUN1uts7sft4/ycQz6Xe7njxRr5gCZ
kFMTIE5r57U97u5QAraFJ8TweK0PotfE08Nip4bUtZz60XiND3IoHeN0bzCXDvqJCRniu/Rwu9Pu
Nm7n4dN5KDdBHI7beF/skNHyOk89ab6C6grvjix4dpZ0mH3NRv3ERV7bJkuzgZfx+vdgFfb7a2F9
VuwKE2thsTSHtG3bO4r19Z3x+5PDmuS9kW3YmY2etcMnuV2obad9Fox+xsZqHNug92ZH88awaCzJ
mVxEnuzUI8xeApP5KOziZ2ac09jvIHzC1EZfxlov7os9fK/6PJSDsKv2N290BheKjktB7UybgZ/y
483rPcM17tSNVfgm00H2ZV9zNk7qICLtFm5lU+QPsV/ert9bHJaP+KTT9qmsmK/M3NpLXJZA2Aa1
q/pxILqzg0qILTsoPNipU9i6ixybrdrSLndFW7FSDwVza7Ku3uIPHDWdi4CzNVjfMSfC6LDrW7NT
hWgyOdSYzDDjXW0g3rVBZm8eNq+xc2X6pS9XPl1zlFDgBBKYxhm3hsCoE91twsGi7ekLQcOHJNvm
MXaG31DE//DEBMz6Z3eEv62jX1wRQBjmsoKDzqF19cONo6y2O1+w0FgNgHQKPBOgCt7VMWzugKEk
0dsnPAn67AzOxKuCc4+vqje4gE5ZOZP11Fr4ZLil9UUJwB4sGsh25KMCY22cxi+2SzDs4LSz5EZv
XbID3zY7b4av+6PH0WwB9/Ro4nIqIgtAf85ap816SPIXTuxyhRyuI7+t+5J3DY1txEZ19Qy28shF
HsMS3zAOCNcP7AKdOSba5RENU/4rYdNsXRT73MG9zjvDH1zFMuz1JWbQ+zqfKZE7NT+L9jXM71Q+
qHXrAHEZV+ZrspAiNTe7fjg6HmHGZOmd324kI1Cggs5mACrVIetjVmYhv3UwbDr1Vvs0cHcy0wcV
JG45PzJoHOKKx+7FnbM2vPo9e+DzGVfZutqRq7ui33s3xlNy0C7gDxJSjrzl8xhu5pRwLh4jl7yA
S1q+eSw2nBh7+UCLK75H9y957HYtc0f1KeEycoUj2HpY8pxTCxo4cU7F48SVwTE94Aa0/9n4QMnz
bDES4GfRHZ2FhbPY1De4+t/GbLBYYH7sxZwd1Pc4GDUmMjq5bJwaUxkNTY6gdSrXrsnvSU7Nl1Tc
A+0TOvYWuAonCtfbWUOl3ht2S8BOwNNbmC0MEO8QrHXqoRDB4FUh1i+HabswHMjFegbPnnjCj/xm
n4Tdtl0nqqP7wml90htnCah1M2ENl36ZTwPfvicJ5B4WJlxlf+dclMnlJuwKNFh+jgXkIS66YFTW
Qe65eFRumD0yB4fiAfO4MWG5nADfMV8P9KDnVE6dyDUDYccetBPOUwBSinm8fpdKlLeukdjJ3OTn
xJQ4KtA74QE1PspTQliwXXLwuBtW3jolqj17U1CsM5ndRWSKJWwekXv1e4aYuMOGumwjKPdye0nC
2tWBt/hsV0FHSZajLvM3zG/VR+ejYOaJnMrthxlq4dWTWbOyn/hTILCK15maHg1f3o6eEFy9ILKn
nRl2QeKvywHMGGs3sSBEcxwshCEJoS5btC0EYF4/VbZhc7/uVYU/MKSUqH7e6mClTsWIKkyDqwOi
mC2QprjLiPosqYvxOF3UI3saz7p0pEPprOPdcDGqnQeEvw6fZmHfzRNROEyIkTz0i6zKL9bxsFPe
s3D/NTuC4U88l+ko8dvrxq/wO004sBIi9iK0M+yRg4J1QRgNCuKgfeosX/Gy+PRq2HcXp3kX/Jpt
reZ30Jx+mliOJWHAzMYzsQcjcsYiXL8ZGUhP5kkVIfGrTdgWRE7lNJ7JfcZ8txQaLpgah2DOLhhk
3Nu2oyNulZ97m/hzhmMHxY61njzraqUZv25DIo+alWorxJ8Nt4562L7TmCQCu6Zu41FpRQ54A1fy
+oRhJNxZTz0uZdwjUu+MFp15K79LvurjOtTtVuNCC4aB3ZO/p7tOSG742UNEiN2cENolUEkchf2p
9W+7m36oTuVl+TEHa6AA9d5NCVeuATsHSz3yJd5mHqEkjzuyErdgHeeHeEvzJvOkgB+3lVdu8228
pbS0QOG0khN2GIfu0P1IiJYXz/R1C9NKiDNW+Vh4pFQB1+IJFrgXS/SYYFbiTH5rw3o6kBVZABCJ
kmq/8dKARi/vIhpxMlIKdA7tK1HRGnZBjuXfyfrH6y3xCyVFcgYQQO4at8D3cypvOQzHea/bmWc4
vXtzTb8nUJsDzDw6Pl52FbKSKFTQ8zw2geLf3JaQPbfFsNlpx+iBJkLPf4j3m8dWf1yurr4nEHMT
D7Xg0jdIJTQfch9ZgJUyLIYDjPhhZDMJ+10U1o+MLxNFdeTTQBZS7eTzBN+2sdJHNZSJ4JQ3TMsf
QFv5DA/vze7RRA/11/SHebzu9HPpx27h0RhLcyumQW7jq+EKLvQjnyOSMHONQ2l9aG7sC27LfZZE
ijEvR+RLpQ1Xyx6cyPrsA7rdlubzgtXanXUmNn2v3rva6hc336d7xIbhSXuKP3mNS5gXUDVQWyiS
VhqabyAoE37tRb7HIkNjnvAf9QNvJuZbH6+wJn2EYfT+mckGY4hrM3mY+fO5YTMQoKryrs474Y3w
lAkodPsoADxoxQ/gbmRQxOHNTzy0eZ3sFWcP53PmIUaflPy92X1Pfm4KlBQtANQbrhFUh4vcvKUz
u5BVZ+4CG7YWZw1DR8Ju9WfUCB6Dr0igTtP9IOcivRQd05c9SfJ5FTUtq//u2Fbxgl3A66dcjvxZ
hml4dZPjTfPm78W7uhFft0a3AKZn0q+Wb6DcacksW4Nv4iosYMVGIFxkT/dab72Mnjg5g8LwVdwV
xyX2Va/mcFvDOoIgtrWIOY3inl8eNi6znW099jK3dHTWA1V4T+I9DXsDZw4Pjrlrv/e2wkHLxdvr
okEMmv+tDwCYnrcG2+vkvm1v9uN35q/x7DpcawrSW6TQfMnCEU3n71lgj9KtcQs0yoITx5n3c0Ox
6BJzT6gHsSERnZMI0L/l32jOcvrknC6ms1g1kfQa1Qk7iCXE1JJbsdk5KGRwjBrrfTDopKF+5fZc
7OCAMuZOIjb5NRw0CaJTzkPDax+oInogTf3Zv3L5N1fw13dy/NrzSeMG1MDcMo8e2pDx4lCa3O7p
5uWE11fb4OzN3NE3goZsg4PUX+svvZ+s27C7jjIpAJsyYcF+TK36uyNiFDzafW7mTpwtBC4Wv8AF
E0h5SShu02MWrjE2YKbUky0yENWZuRkUBtzmB6k2J8yaLgpEFX8ovP1ewfpTxUqm9vUHH7+/hd/r
638w2DKEOUVwopEOBKlEmsBsgOb6nOvuF3GKq1Mw4gypFJsEgAewIbKayCtIOlnfBjtVS/iEpD7x
2RrmQncMivMab80hZWQqHAkbHPUpaklEptbtFD1Gh+hw3Zunayi7Yzj5EhUOk4gV1rIjEVRPW42a
UfdUPADJCfowIkaebLq0HpK9a6EmwLflAKtzh9ou/9MdNiGXsvtOD9cdkYLxPRgFjq3EG5/n59k6
Q5BwS797xEf51B2y++7HegxID+v5VlK8yV0tkKyaI6C7bHaz9TmyuOn9/NyqTEvjDwIjpNsjy61n
d9ACgB2g5Dk60LNjV4PQ7iR2vyaV67mCvutOYDfETnmrf0sEvtSPnAZCLftmxeBRWKJItx4pCIju
J0JUvt+mcmIvHqV/8oxuDVq99VCaWW+TwzbBe9YYLbrM3hrdaBQaiJot+enmrLHBWr6T3cbr2MjW
geAs9QVf92oHSUmuEIsGgsKWbYon0nGMqJzOdXjbVsql01nuVk0pC9gSa3YikmYnx+6p8gcKRJ2n
33PrbAORdXPHJ+FyY6Ep7uwq25RUX+PUHgMOZn9hv1RcFgd5VuohD8Phj3cn+dEaR5pORYS4xthk
C9wDcuy21p/Mc3MQn7NL2QTQlRM3O0ws73UTwYQ6tu2SIKxB9ZzobuNcnXVOAqFwrqRau2UXe48Z
keIQoslJ7EZb6IJlWbIFImVlwZraklyzZieeI4G5xQI8rSHiQPyzhniK29L9QF57W7iwZOw1MJwZ
uCHkaGUvadg11pCO9sZaySGoa5T9mpRsWI8ZH8uHW9M++iyO8Zk2P3vSWnIo2WaQ3ySe/eerVdL+
0WqV/7xaS+S38iIxNofoh3RStyZKpsTJxHuP4t3tHpacfAB+56yBrMHWuIaWkledhdNElbl/1cL0
XjvXO6pql9tnsef17/y48ZSAM941tgYhSXKKqB+v0UN0jrfV/bhrdpIPiOO7pr4ZE/PcXJkq5+Kl
oU5g2O9JoAljSI3DkZCYJM6jJXsqiDX083W3ebxtqe85Xcih6ebbmimS7st9R4p5eOVwJJZ0xGPO
hndzVw/RUD7Lr2gU7DmFCGhlzrLIGyhytpQm9AC+9cWInekTzdE2bD2Ei3fmqQjZ39nFKZ9TeVNO
8rHbbUJSb3dN8DPfDH4+gv/fDZt/yIz+H9ixQQP0D9PQee/f//KjQu1kWVtO//5vh/fP9/ov9/8H
79TfXg6//v3ffv7O7y0ZWMo6Lp6YeSqSom5WL8jfWzL8jaYoGx3Ws4iLq8L3/GdLRv4rZGQR1pmo
SPhsq0zo30nP8KElUTdUkT6NDo/alP87LRnp762Yjalov5SX4nw2gJ61424zqm5kHvNaeYTaM8Ur
WPwc0dSboueBQ2fXV/vcVF7/MEZ/52D96dD6K9V6/d5fzlWkEroeAskIyde7UQyS7sWpPlbxowTg
DFsd+6T11/eoaBw91oGDkP3UWzz2BvWu7YOCN+CUYOu3HyvyaCgq11yQBtVPE3XLSTUCqFW+kb8C
dgC6sltN2pb5459fu2ysNsF/7+J/2WY25jCWWZyMuzwNZ/FHpn0U6RsYHBVsXgbinAJH81lJ35v5
OH5KMHhi5zadxWyxzPloLufJvNqb4ii8ph/8tKJP6xtaK3tJ3h96YduW94Bdc3O0rqUno+C8csrt
qsOtZ1u/td+5ujgZOqEhVYWgOlRvKJOgZUZQTy7ur72x37bigQLgWpPT9iRpa3pCapXaHLucrtVJ
sD7oFFEQjaix7GkKUHmHHB09a/AQNjJIlQd5Os5JkLVhJL3qzbEoHsF4l6K7UR7zFts7kvvi2ZxT
K++QFK+QCaTjMaAEfYJSbcTge5yl2L51ulVvAfZrKVxeq72DJ4u2jA5Ameym9rQO/ebo2MPpyGmi
8w7lki8ndMXryN7oQXF94AvHyuqv6LZ1uo2tRYawDWpt6JD0T221zZdAIUKhaZUEkhrM47kdTkZM
p9oXx1AZv3Ss+WTBGsAk4pO2WqWhjLjcJVNEm8SuqS8F6D82H4kzPCLbrZGv3w5YlaI3b5WqW5iO
dtdRSYBj6SK10j8J6mGFSfSLo15P5koF9KRtnUD3Q0YNVHD6Oum6JU/W+K5+ip8DdYbMrpBI1I3Z
6jJCFxoN8OCQdbmb6dxF2G9gofMJVc34UJPitfI7BrbTQwEwzX36Msu915rS80Q9XIyPXeQv3QPs
IBsuCB5ULUaniZ1zAguHlFyo3qFihj7hO3ELQqEU2DSHcUrcmWiaMhra8hsngfS02WFioTzd+D/T
BeJC74ljcHkaQJYo+VHXt735BLip9WRvpF+guMW2eDQDmTqGSW1UJGRZnVJUP/+o0n/hfyytDeG/
t8J+MSCewbsnvWFSsLsvztG23UpBclKO2kHZVsf5WG2rg3Qu/0WzSqIr/ne/7Rc7cGBa9Kpzvq3a
D0/t8Xqe7+s3dJ19zc2O12P5utxX7pX2SP3/+I2/ukljz4n2NWqkO+kkbqOt/nQLWz855Qd9b5w0
msDiXg/kZ+OoPPzzTQsqxp9dw39LZdhyfzWTHrFKlGZJG3bKqW1tCpBIjoLDkZ7NY7qdQ31bPMy0
AkarfKLpTtlcd0nmApbA9uoNW16j1qtQya325iceSvvruT9RAtpV55Qgv8BrJgD9igIdmFcBNXwy
YKfFjGLyZCTxZLhKwPrtVESj1d6gWl66IP3guNQFcZkJxfEDwM50SWcH0DPOPu3iwCLLiBZR26Wp
K9r7Y+1dkD2fUQFbQnxztRc6iT7iQ+2870dYXAAvvab3NXwg4f0ezWkXdXuUZIAZQ/RZvpcK4rjV
PSHCu3zPpX0bAL1b+reOEUlC9lFexAMYOthyxnt71x7N3UPnIxcH8BG9VND/+QGEFXElNbCXKxqc
Z2zP4EIJVqohY7eNQ77gBMMV0I8LjYQCn+ZjC4j1BajWsnA2NMspSMp+S4u7/WGy+9bNt/mSd59F
89orT3L1HYvhdRMYWTB/ygT6wiv8eS1zMNsCMQXcIA4G6p4/xA8MHcP0u8MWtHCun/HH7XXaWGMG
kNYqP+azeEG8gU1rN+dv42DHpXMF6qdjKARsCxcEKyoCkRoDlc3eZUJ03xucej7TI/qmQRy0TxA1
TZUgEd1NHpIZdCQT6DRPz/qdeCdeijB5UF7oy5CP0z8+FIc6oHLNIuqdL5ILiiWoJZO8MPrSxPbo
mWgckBQyV2SnYe8FVB1S6fRyvwq0w9W9Uea/efJlpY1ThcXfmLYh0jyi3exRW/cAd38n5x0Fe9IV
uoYkLED4qJBswuKldVE3fgJbvlJfnUyxVHc6cOiFVNs8MBdbbrEJ0R5BZZHJ73Byk9M8Lyc6s29d
7vfmJcacanlCJ4JCU5VgkljUlkh9vPoQf5i79q55vb4yCVr+yV01868359oFyJqqLtNTc6/0TuwY
cABu7eljsdMxQDDGEBWs/gHjbDs5Ia5q1Y/axuJX+QCdUg1ak3ficm9AXriIZyAcRnWngXK4E0Ph
cn3PjtqlfZEuywnlQep4pavs6VvS3l4o32bOzSJPx6/jTnjZeNp+HUyBXDbavvWhybtBJZJdV+Qd
YE4oSb1itOEND7q3FmOWoPVeZ/tzpuCz7PMvSmLpKxikc3GM7oeX8WrP3BKs4XO+RVV0/TRUibe3
LWcWCf3UWeo7NNOekhHtiNaBYtBBtf+Q8G2jM5VTo9F3WNaDUgTLorA84VISXiCrdce8mzmDUd5T
ieYo4ZteRdWC1aZ+QXCrX8TV3Gln6JNNpGhL+AYBY9S97r456OgPLj6yraVDi2DPSrz5Jcq3bpPM
Vr7HB/kYX1LhqX7DuG8tMM34v5XO9D3hOm6GCxOfTvXod1RNaKbT4TM9dLTo9udvaJcGENu9jGhJ
D6Vn6VkJVBfsjGYZftEBNRiOt3A4tkfUJJ+E3e08XcZPWbOQJewSOPsOK7JbqGt6MkQyBDc/Qf6B
/tQtRGsRV61oCWENWYQpPUw6MnR6oILmuwE20eB080VTgmu3u/VnGbtlCBmQ1XtS88KRb9hHHUFc
3vxZcqd52zxX9/ku3vX7jtyxeZKl12bzYeZvuvC8eYlv+WsnAjTqrSjF7gwD2u4hXr4xEasyN3ss
LrCoHzo4QAjtun1sIwAik+FzHUF2mClcfpiJBWbSXSgaYOdUWMmX8DI+YPj0PBYNXcq2favlbr8B
SN7IjgAwmpvhwYND/lH+MF43d/JZPC+nEu2kgXiPwuxn/x6/9nfjJX5p4QdOvS/qI0QiajnocpAy
17I7tG1QILGXvsWFr6EPAchzaKw+sRENVa9hkiPR7qSEUNc7ZA3t/t740X+hZUrUnF7tfNwPx/6k
vur3BDnD8qIKerjpUTSdAWLA3V/p8TO+Le9pehpHPx5DU8YA3FPv6i8sZcYqADqFhM+TOH7k3dci
hcJL+dS/qBfkAoQRzRjYGAS36DWaH0j9KpsVNTSxxNFubBJMcJ9uJOWVl1LyahlDok9ENjfjvG8I
hWM9PpjdF3xoLUcE3Gkm1EkRmQyTR/xY3LqllvSMashBm5zbYqVs22yymt2mvm7elRQtop3Sn1uJ
SssJCQsyo+uO6LnLLX2P+sGpvY88eOrJE77GwxW1BLukYUjvGSxViVwBoR5EEJirALidGCOxcQey
FM+2SXXn8fFWMsNgMbxyunFr0V51zEv0GX8laD9RRXpqqvNSvuoi3aTBK2g9L+GoetpCjOsQZU6x
LwJ0lSyFDYK+3w9aJEnna9Ldzbxo/Q5BHPY5nmn2TZ0iP8v7Hv0ZS26C5PquKLsi2pfqh0mXgARQ
Q6tjS24nXR8RNAF+jUfUFOS9XdDkoZkOW6x2NAke+G4uPqQkw+SJ41kvrYoqV/5UzgCgZjy8Hzg2
NwQwvQfE5Im98QJaqGPVCztlOGrDMb8g4HCXv2un5kWp3wrshKz6Ob2vTwqw2tiS+icIXGDgnPlO
ejuzJ1FDbx5Tp27dBoE8DVPQhHIkEvEIIHA6xTbCmqjkoZtvTL1d0zJFgmeRnpH328WShFfBSDNr
4dSjt5Wf4Q8USwDspb7I9xpFWVTlEdzGyuhhuMf6Wu8t41k6iA/tWeYwu9nQMsk6ZpwMF2u+TJ/K
wjZhMena1B2LEMLolYIvEzL/rF1tnyGC+rx5MLzuXECd9pFxjUgTeiu/798Meh6iJ8i+2ew26sO1
2aXUrmEQljQn8i7IgtJpP1RA2Y8bTufdcF9dih8CXkf/l7rzWs4bybL1Cx1UZAIJJHD7O3pvRPIG
QYkkvPf59PNBPTNHonqk0Ik4F9PdEdVRpSIIk27vtdZ3wReOn26F6kLG/pp8pOeEvGNoofnyEJ8T
hHRJ5LNFngp9kGjVsJm35kvAnoxmRL1ubGwbLDFYLujvG4us7YO45TX7tPbF9v8kiw+HIszGsyRM
pw1co40YnGPPT2+sJ/QJD2QbsQJkcAp3wQDb5jLtLojF2ISnLcelrnu0ETWxyzlM1kiKZLlfQ77F
GjJhbZT1LJvXIc/301BckIGx5zgdyCe4PPu5+vi+/f6rutj/WPT6Sct8+Uqo6kf1v0DK/Pu6GBvD
qviavP5YFlv/jX9VxSzP+8d3FXgdoV3Pd6gt/FdZDG/6P9pxifvTAVEXAl/pf9fFpPuP74PBCVwt
AtsGL/nfdTFL/WPbgUMWg09IoCRi0vubwtgqU/y/B1CX/wQajojQ0kMYzf/jn//Q/6H4VmsrropD
kgdHC4AdMMu9GDa/P5X9fMz9fhUfh6/glriKXCuAP14l8ecpx4ReHAQsK0AO59Osj2Q8X+ajvP39
peTPgkyuBdN7FXcHRC/6geuv//yHO4KAkfRF22YQ2dK4+bJ0o0cYNbHz1Rc/gwN4CQe6QvVkYb/6
KGp/9u68zg3qk6zLu/mxzkm/1VjmqqUjVob8reNqHjRupIXgYsJaSodCGJaf4fr3v/gvb8KTfCEu
qZC4QoUn1sP7D7+3IUK9sfDrH+rgIc+vLDyAWfbH0zE/5KfXjWfad1DOS9tXRCOvZ+cfLkKCbhMa
YqAP7A/ebA+NkjGXBKlQPZwPLUWSEu9eOyG6Mn96L798A98vHXhK265vo+n7+dIuqRZpZYNVdDYv
DQLZVU2zthLperEWR/cB5fty+/tnKhknv96vFq6WwrY1A/Hni4pWEsEX5Omh4qwPMgRZQnbKmfXM
PbV35cPvr2avn/Hnp0t9W2AOChSc9U+36NVpLDztJGh+3G/zLrmNjs3uFpjHjl4JTfC1NRRvPmgy
b+5ufn9t+W8+Hy9wgXp7Ds4HzAw/36mDT4cUO66to13I9vxRH7NCntaPzQmhdjfdgeie/Z/u+PtL
+/WO/+uqtvhUWVJEWwqsoagut5QEVhMBPiYao+wEb+kVPTS7qNkQA0+izra/WOVaLIoobjfRgWPl
Vl+Xa6PvpjteNUy/fyLOz9Xr7xMBGTqCBoPN1PO9t/Djt86Of07hcqPz2kTHziGgy+7jpZiOfc7c
1pP1lJz1V2HNFmyjrsMrdbDPLOQZ03l1X11Tfz1eaPT//nf69SVpnzBioVzbZ3paZ/wffyXe2thN
+UB71oyiOheu3972UdL1ZwNdld3vL8bK8ulrXLsqrD1SM9bF97Hxw1ivrBzjl5elBwJD55xKtT2w
e+bznP/wpH+9q4A7ch3f0xJPjv40u+M/bopparhQpL55xKpAnWd3PBiKWr+/pV/mEC1IFnekxmHL
WqI+fW5u4FulT/TXnrRmUBfe3g5OyyTbOuWflhH7l5taL7VWEfkL5tS1nfXjqzKY9KK8G7jUq6J6
iBZ0n6K3Ww8g2+gMAT6+kLULWl7Wl/LVPFBqOEuPmjPr8Ptb/rlmy1eshWKy9MjqwhPtfB5hllNP
hoxLa9XJIuRfFTNoyf/wXD9/KoT+2PxPuT6RxIH/eW6WXgJdah0qZdLuW1q8rvWHj/Hzm+MKBCGv
2x3b5S789XH/8DHGQ2yXQ7yw8CD89a9zFKO/f06/3IKSLnGzUgZ86ry1dSX44QIRZrRGL1a2j+Zc
b8BtBBvVT/UfPvXPVyFzRJDSzHTCHO/pNdn5x6sEmOfHfqkKfLvw5SbCireN34Z/eFj/7io2TB0b
0iHzl/fpYdWNGee257A6h9pCgNAxIkiMEuJP4+nzR77eji+Eq3wbOx1xVD/fzih6u/TcttjXpCmQ
qtx5uyKWuOU9r/l/uKfAldohCNMlP+nT9mYEXVK1Fk8utt3mAScy/bYShvDffQXacwRviOdmQ3DR
/qepqPH7UQZDn+9N1YRPzBf6UpFj9Ycx+fljppWND5pnxk6Kv+IW/OkrSDvN1sq46d7tc3Mvpna8
qHWhcbLaUEUyd/pDG+XX74HrrdunYF07bP3peppAATssvHRfOy3y5iUlHp7d5B8Wp397V54rbeYc
5Qr707eNRR2ih6PQrPTC2sPfrY+V26fHyuqc47pznD98EZ836nx4UnJTHGT4MEh2+fkpQs3IXU24
x64gU5bwbnUp4DaRCEZhwfasKwii0R9ukXv5vCvgfbHMisBVhADAw/o0tnQ2Jl1O1AR1gSi/dKJS
2/EVmTL94ic74jiocDt4WyHN4TjXKxDWUA1xiQUnized7nPSRs0uL1ohDpkrDIf6KMbaD7Epovyk
J++jXyhacd6SJyvxRlB86+RXJ650vBeAJK5TvM/VjiDFwt8tfkwrWWhSZ1PljtFGkWlELZJoYop+
oA8ISoAMj+ZsGd17ICqShk7rk/FQmCk/A98EUj3oB5dEhGGheJP1xE/hi0yEOdMF08uujNMIgVgu
mvmRd0xyJy7oYL5zvMhIugUSLMk2dWIHj2reQytyMT0P/CLZeNPFlrR3Jm3S6zzzhvkIZFxwZYZk
uvezhV+0RtpB92hW/Irz2OavzRC1gqJTztSYhWF36w2Re9GEokc7pQtFn6vWctx5A7bvIx5mXJAC
nIdXw1CQ/MrbK7Gok8hCxpI1gm90RT2+ORFZqSDMJn3p1QMFDjIlyHrUZeLdjDXsn61JjSgObizp
XMFHQ2vBL4Vwi8P3l5CMAcqLceRQJ64ELeyk7evpQAh60fGnPQ8Rc+/S5TM6mUoIy1N2XpFif+3X
PvHT8dKbZmMCgrxhSdkWsaFFU9bwP2quNpkoQtjHjIYPtPao5XrBVL80zlIk9rEk/bTdROBmPki5
6FB7GsBQm0EPvdiOaVf1myhISZ4qIKst2yxtrYhl2AqvM9OH/T7WbZgkJ7keyac8aqe6eU1tAjQ3
pQSmStRqsKAdtp0aBaFZZqqulc9JoyEqYjP4Y4pZK3UrpPUqDdh9tyudMDMlcq1ZAERMAwc1hp9S
g4scklL2cZ3RwbfFmv1fl6Q8bNOkXNawoKJ9iOqR0putBsecjyBmOur5YZ0ca28OKTNO4wqcKPkC
wbNl2IMlqVxLUU7IpjtM16QdlFCdpqDkVGD1xoGUUpaPUhVwpf3CfdUQDDG4EB+yRo1XkjfMAng8
OYm8Y0wTddJ6Toq6jj/9WoDxgAbHufnbkASalhbZsx98W6bZwc2gOGuAw6LYz/ppJNO6E2Qnzm6s
T0Bh04yKHMfCmzrneAsGPid8qLqDEjtMonkO3Grm8wY3YCGc9Dv/obFdhlfTuyvNpc5EeWw3dYIr
ZmCJ3YglrPxdbI/BWZ2HS7QZvVEMNNbq1lw4IxkCqctvuhFTn89HK8spPpkjCgKE4jjiW5cW5EmL
JrfuhNNDFuviRBBBW4EWIY46JUYyMDFEm8ZrcvTlICLzowQCEsJmkjIQSS5w4/eA0sVzZlc2PiOI
BqRDJ+Nz7aZ1tIPsKfYWEZrjFhhnflRa+XDpayKdGayFe+6S/AX9mISeh8Gxx1u/J9iB50g48JoV
PXdHjSJkvLPq3GxYesU7GRQNiErd6cu0pqSxc6wAVV9kNfN8F8+DhbBJhhER9U1sA6hLlyT9IJ9U
i71NNAuR+WQk47y2g3HZyVEWWEeBidogV6KCfDZyzDCktBXd5UAMDUI+0nTm3p7v6Jcgde/GqdiN
SW8hI64s9x0mqwpO6kzF0JECmEd0o7oEbxz7xXKf93Y+77wy6Si6twVdILZZ8tLuEorHQRnAjZvL
bkI/6hAtviEeokY7IHSJrSpv+dLhBYTE31VtY/Z+RXTR0RLJCAV3SvzLFkIeLfQ2Bqm8V0CKhxMd
h+FRF9WZBOCV0EJw4oCoJZOQohmQM45zXmfFXc6IoncwNYuhZdAOCErHpmcyrQr6PP5YS2YlQ2zd
No2q7jUaBuWSjaRy52xY4go8YCMpj8d17L9PtlAMNWKgh10KOQOjz9IOeMydpkWtlHjmC1ku5CZZ
CxDkrYaZfZ63tS23QwEUYZv6eU7shxzD6WIawyQjh13W8eUQ+RJkWzGMOLd8h8b2kgUJov7UVk9R
CXF360xD8tGkVuztGemhvxnWdMYTVRIxv0v9lql9MqBHyKkiyGpD+k73Di4Wzg/54RWdhWV2roEi
EKI3hYoRKWECeYCkl/BtINnEQ4Hj0q2N1eT6Oy+OfHtjzz5Ta5kMEcueKl3DYNY00exFUGKvSL/D
PigCmtkd/KNnT6e9A9JXkve6hBEKM2twbXIYclufMaGMazem6BV/389kk8GBboPxORqcGSBn4S8s
BG7aDzT2Gw/SctUmT0CcmHgIIKvewgHWL8taUcvTmJYiGa9NSm9Sas8mxnDK1U01kC5ngrGfCRh2
5VsalNiH/Z5mopXyRbHtcSyblaCYAHjU8FRqe3LeTJ2Z+miisIDBJlwC5PdJS/NrLobkvhlFk26s
lsQaYHsdEZ4OoVmvhVvq90UH4cyl44HTKgR2bGRjywZCx/NyVDXr354gA38NtAE1UIt1W9LJRdDW
6qeF2curFz6topNyn1cM3eO5NLzjreON1jMZQoaeQwcA5BAHdfliVZoOL0RfG3Jf06ZPPUHXZOsS
F0gTY27Tl5Hg43HbNIadFXdSv48esISNmURvjoEuVDMReo1Re5czxAdsgI643InMzW3nBzraEgDU
P7ckqA07y+pIY6PGOTzmtklmLDaOUTtyd9u7lIUWUY1Ix7twHujWhkrN2FgM85ymhvKqYKkyOHSX
KAZDnixvqZjp9XWWqGmoBNCa6ss2GWf/iNW36g5DYievLaGLZuswpE6GNh1cNCu1+yXPFOlTed/H
F01fAOrTbWBuF+LU8i3EBO+NZPbpW+KStUoztKfB14Pavq3yOeT7Did9DwgbhXTk+IRVy8ztD6pL
SvvYhC1kgU2cUNE+b4J4eBlplDc35SD0B5lrTrzvHK+AFDb18J7hDNNvq0LSC48Mc4WzryZHnQdN
w37QboW79m3dxOwF1aCHoPdrc+RYkfuUDf1MtFsF7+FQtR7FQ8hl9E6dyPhkMqFNhTuufOw1hWq+
QfUzJB1YENt2LvjejyZecAHPBBOWe4/85XYjyGkkoM5NA1QRhXsKedllimsAsgK+WUPoUvYRO9I9
m3YzQi11DiT4QcBwcyf9CP269Q4kioX7Kulr7BDAzq4JzGcTs0CgfIQmOhABQfhdBvhvmdrmo28S
a3mgVu8sqBBlIU5LkVrfTCH7CtOJ04+0mdn20xErFjXy8SXJ6F0SuUdu+VgKn8y5AnTjzdgPHvqn
uLcngqmnETd2E06A/eg27DuAkTjTq7Zcjhr4yP0uzRh22zRvBJuEKQUUmiWZTm58q2XDuOSlEJsg
l+SXAQWESmc7UfxNR6P/Ps+G5Siaq1gekQqYqcdel2G9LbQSz4rfFKEVghBx4ZAhKk/pTCQKinQA
Ymeb2R0Hwl0WlX131gWmrsAOs1KfG5thQ/syLcZgr8eELNNdKt1MYosD5YoR00sWMKZz4OxNP5gX
YtbUI6Jppz4iOjTFYJJkjXWRgiHzj4N+CvFMmMGVCIUkS/y8g4uMDiRLrCE5Emku+y+9O8LnsIG2
Q2rUcSufMn8gQ8LLTR4BqjBFhABhdHD9KsNEzfaefms7uJ45uHMyTqdeUDGNE2/vTaeqI1cSMEIY
Me+oMMiZUMPgvveBdT+VRFE9WQ5lIGBypTanc2mJb8GSUnQuUjEBCQ9HFW273CXTjWZ1PLlH0CFE
ctJ4oA4PQ2EkznpCJuUNFcpRX9pl1gT70SYNeSv6VlnEdo0RKjbY0uo2LUSNFK4LC00cXKG6d3uN
gT5qW7Y4p2Voh/kpYBfJmbxkXSa8ei7sowlq+Y3XsA+51N6Sii+jaYlKIwHcJTC7zsiHPPHZHOKy
FLwbpNMc/jch+9D+giBOZt9+cLr2NWimHoOoEqiLMq9sPERlJF9et/mCBojFfMAOnIrMR0uYE7Uv
gMZCFTa2xU6yyFDFlpbXMXQcAK1b6UnwvRzhsnCN1gYD3AIRH/fMI37yPAxhXpCXSEDT7TwTJEfI
eZgMV0EhLc4zhVWpneeU+g5etrkdg8G/nofOqZDrifabW2g07u5IVtlNlTrTF7GAKdwPcUA849IV
PfYyUY1gXfRsWOtcaO3P9rSo6JjQ1gpaeQFPaxOpUMrbngTwF+J8E3lE4H/wIRNT56eKdML2sgNZ
hAOItylONVIc70AXO5JXo24zczIWLfoeRnOX4aALrFzmuxnqNftDK8jBYfJ6xp0fCxbFVGfqzXEy
qzltAB4QKDqYqZ7OKmMlhLEkCiV3LEYW2GihFnfpOS3SHsfq1gZHFaMokZMfu1dVnsjorEtj5D85
LHZ/qwbQq1hHaT+wuYGZQGJjYoohPAVG6avHSgkWxbwOx6/QL9h+JI7/GIKxxArceOOD45Ksf+fW
dYZ9dnTi9zrkrHwwEMO+2ZZvrVrNhRwlP7GyIycazF0FdBvZWRpH771QU7tTVpE7b4Tkj+FjO6XF
09LEMYJVk9QXQWLsCMh2polOaifOKIrCwZu/9HN6UogSgHNnGpjkIJ6rJyKmnWHn+hE6taporWeL
XVRwMjdVicDcwMDgFJIM3lk5zBEDmsTqB1X2ARzSyZ7aawqP8UPu5lF1KjOdZydlAYpkA+TY/wIG
vfky1mFPEJZKmxAJmGhCeB4Ks/HoWiiKIqFmQp7GiS2n59UNrCUmqOKqHz1WV7utJwgK7cj5YZnt
+TwvmD02cZq78E5ZV7i3Lhs12/tKPsQAm3HA8cPvMoE+aRNnbtdfKDl75d3c9WVyLYK2tE9TqCPd
OdS1OYLx6EF8Oq8tVX11BbiWnd3Xo7cvSg4L8FiA8ZDbB6aRzHQvvik4KSAM1BWddJWY1N3SrSjS
7egSzrlvmslvKPaMC8sKEij7IivjRcKB4pj6jZ1Zxmhp4IYQb12P/fki3fJ6wO8FHzvKPM5wxhsU
9tOlLb91beRde55dhEdpTygg2w5bflBxWRowHl3fHik/RfKbesoROzMELnMJC2zPHOBgZWCXz8ma
lRhfhDWW47iLnbCxjqm+YW3MPXYqm2gBIo8dFUYSZbkgvSYavDXnNLBE64LbKLz4WcdRfb/EjoXj
LbI4VoH0zQjrWFzRneqoJ6Rrsepo2uT2AoidffoIK7WOcuKJoK82O51GE1U/WvAvXQ+7ddMS7Bht
5mxwHifgP88eVdWnacyb6MTXqaT2KRYGmBWlRPZiU1m5Fn1m8utlLhUjwOmwYLtGVZQbYg/FbZZG
wZaHvhD5YXk2wR5UKsQJcb0xih1Q9t+qwGH8ksZLjlEyOBCwwlIuiPRs6p/LmLnXIbn6L6GJw1sv
Bf95pmIrw4lJ1+vIxNZEC3HIGHmw8HwoQ1bdlUctp/bTQNlzf9plfXxNAiKSIXcsDQTYoLZ2QIl5
QRwvOCjXPOtVP91RyJsH094nYwYqUTUlgaGxPY0vkljnO/Yu5i4sMsMvLmdAv3bQyZkj3zS+1qqe
vzpZ4ba7mOrkCCY1QczZ5BjjjWQQ7WVYNQ/oPcSzQzmZ7aMNJm5Tj3PDH9bQhQllHXt4G+TOEqPY
5uQOz3WDVtX2F3ntaLDHgB0bFsUOINLdBFL7poV+fTWXtF02bS+yp2BxBEK9ai4bOhcxCnwRh/q6
dlIChGdHR7dto3W6q2JreStzj9pvOUXeRTYI9vnaNRTzdOl5l0ke9nCpvCK2Dl06WN2mK0zrbgOv
ba8nd2QpnxvcUZ0BgJfAIcD+HTuRBURosdFma0XKrMwE4ZOpT/PpJGzpS+3duC852ceUBtivRNRk
ulrWRMojKZlOGT7oEfnhzCxdSZrfljKTOneHjr56JpCErkSAGms7oeAk5JRBzAmiiVKSTNg0sO/x
ghihSTy9yMKR8bYh0PtYmQonddfa6q4KPf0yjJ4GnA44MuYHTc0HiZlMerA2Sxjydki5ARJY9J6O
qvsWtE1LejMJ3R+eUy3Up+VUPBBtPD83sSiugiaf64M1YaOdwQDF6/rUvZetYz2Pw9Rku6xKl5wy
tefeVL4vH9y6LzkyAsHDyG4P+Bgg+QxMD97kCqT2U7yceeFSPfXUWsUukTne9CxsEoTtIVs1Owz9
b82kUB0nSWLOvKYh3iBI6uAUzKVrwXVYN0x9adBEs2Cz7zDOEDxRo6NmS5Bx/uKBD11PraWc2Zm0
q8A8A/KyzaO2+rZmai9btl6SmQJkJvpQlyLXRtOVkrzLBdWiBsLyNZ+q4CRQagRQ6TNdb518zqG9
LXCil0QA3J17CDi7ljN2shujiS00wroBXbdkXsU/OxZ3NpCYjyH1VuuWiPV9GqnpfhjsYkFzl7p7
OOJC7ogf5Xzo9AWQi7DKx7c49kMISXpi71dFr4C0qAKyx0vvZBHa+9xp1KnXRtGhccp41UBbDqSH
KggRBYbe9EWzmQs53KaALnw/eO6pPXzUQJKPbdtyBrI2esAe9Oys7Xqq3NvxIfK8wds6QT1dVZzF
7k085ldU2MLz3l1IIW/ifHyxFdWig2aVPDXRrN+IpM71XiTKwfeb1kwypkrNfev34gzJiLywJlH3
W8uC9mXFPoOI4myHsnoGUT1MICVmK11eg2wGp2C3enWCKDc95yCfIzahthxtXIcg1m0amO5VIkVg
0IKH+ggoWPDT0mF+mEE1EXdIZ5WQACOCr6ofGXiMu7YGgGbPZmfqrnpRVpKbrZygE22oT6CVVs2k
75yB4yurWj1cFBYQDb5RNhMbMUJKYCvtK8IR+6o5yeeuZCc9tsUb1An9KKQfIOIYl+I+EV35YPdU
MlBjzmDD9DLrhc1Xao9bKHhFvCtVL2iEZMnq1WtX00mdYJeI8zJ4CeK4JBfMD6lkOEY2t46O668R
+yeUqG26FiistHw3ZBk/6CVon9xpLhmZKn6nQskUF9IZRwYTKLIIhSm/FbTcsdxURThvVCkdOIVj
isGjKZOHNO4GgcjW1rcqAnR9SEyIldABCSN2ULJyeXC1Repm602aYCp/Ah1YN9Jl85uwRwCPotTb
EtkA9nQdEPpIoYOxCpnOxkKXRqzmPtHH27aNHYZSiDcHYPBs8/uN1YXOXUk0BQV8a2cyE2GZsWVS
HZowQUhlZTycPXClkh1OxlpueSkkWuPZ4/XUSHZFWS8lo78tghtdBcWDETVybwZR+HUeaGtvfDbC
wG2oTnFIs5WAXFO6z8peN2UsZwNSqVROOF/QP3b2vBJI5sdqtvweUGeriC2sFN6VZljHrKOo4u2l
HGC3THaVFrt5mPBgVVQQuOcwcYtdzkMkCZGE5mUbZB2mA6cIRw/s14KNIRzhiuyTAtbGcW9CG+m2
4jhyweyPufAv+9OIBmAEUeN2gUrQ1f255znoGhJaUOd7y+TLXlO9OZ695PEvL0KbHe2jTYeR/jTn
w58vYmVemw9LQeaGBasH+GF8lgHH+kvBBeIHNClIRxEUKjqpn7Q4KfMZ+pksh4Jp1RepluFtVOTV
0e/v5bNCgSYxAln0HD5foHI+i5jSxAYeQddmV1VJeFxZBdXLviNdS2Dr/NtLoRxAOyqYoYif/qz4
sTqgFx550DvLDsqtamqauhF9sRkA9F9+BshTAnQdtocOEu2v/qRR5bv1lt5T5OUCkid9qvW9XdtI
9sd/e0s2chh0Wet/ESt8uk6+OFUUhInaZZPjHLuaFUXSK940dpb84VK/dvMdhfYmQJ6FlIgIgJ8/
unrpaH2iAdpRW3ZuGdaaxduyi0PZR82NM1WyoOEzi79+ko6vKOLbPmJWrdUnEUGa+zKcIIPuSg9U
BWd0jJ1uHR9+/xw/CzBWEZgXMKDoxDOyPr+vJGWq0UDEdrHfjqeZZneTtniQ//4qelWuoIVAgeF/
eoQWxFYKHqnaTcb4m2yoh0NJ1P8fRtS/uZeAz08Jh2lcMUX8/KLcqXEn6k68KJowB6tKsZ9X8/z+
+3tZf8qPwlCeGOpDvjg0twzez0KcpGeDPvS1s/NaM1N5D+UhCVY4jRO5u0IkzfXvr/fr58ccpB0e
HQJwrb/LY3+Qf5mqK9hocFccHeyrhITwo8Ftuvuw1Na1yWgyxL7P5uD3V/11duIxSuYLjaiZ5/np
jQWDCaIxjx0kLISgBRF1uVDhwizHevnXpf4/OCuu6vfyrm/f3/uL1/p/gb9CrqEc/3NM/EVVRlTR
Xn80WHz/V/4rdyT4B3AJlW3kPP+ZLvKv3BFf/8NgRTbp2KjdEUbb/+2vcAkXUailv7sePF/zXv8z
dkTJf/heV10Qxz30Tkr/jbsCXf3PHyaLPQskMlLPXZVVPvv1n4db2FvQ9IQmslzF9jbSqsf0M7d2
kW8bkUEp77ICQtiO6lYxDY8zCwepFkkWVxyifURYD2kVTOLdi6XvX6EvGcnl8pbpq91wgHvNAgQt
xzDhlPea1d0k2Tc7ozmkUWfMaVdCEbvOUzcrDxl7z11ntwB7rD4Pj2gbCtrdS9zTeKzrVsprCH8c
BcD8eR2gYCu5pxzhbFO3mYr7rkMxc+0hGCzOrUDltyNFOEGX2+TJPiqz7qYvcvWYcQa2QOW6afVF
mZSuyg4uXndsWaGLtAwDBpZasEboBDn2d0VyIaMW1ImXqf4QzgGCH46zHutEOw9pdGc6aBLxZqJK
8+bVln9us1GetxOsSLxm4zBipYunYh+Okj1lW5Z9edGBdsQTPrrQYDb9JJbsmBq79s7QNgqzB6la
9E/FlNn6MqInH5/YrVshQZe13b2RAQPtJLbSNX14mPKXyNT9uLY8pisJWxmuThXr5MHoBloXqAEi
qijyffPU1DHldEikin5F1tMbv6evqan4FZG1E1C4EUJErr/1I7dOqD/OWWnT0J2seJe5wG/eEzC1
aL9KVRLEmvUu0qCi45iQmMmuidZIfLb4nd82wcF0qbmMena9G0RegXNOfScdE0i7MhH7uqOfTmzJ
Qvck3CYLNauNZdqxPVSlwRM3d/ymN4Xj1eEpR7GcbOTGto71nOJJnyo8rXx5hCPkUdPf23rOFHmh
iC6Gu4IkQ5KmfY2MYeOx8rbXLtW86hJdjFo/ln6s3YhaYgEAjBmxMFhYO7+b+svcL2T2pXHo1G/9
JkS3hmfI9o/92IsDCGZq8P23kS6cOpmCFBAYzvKMeXScFic/yFSGw8GzCldzTFn6Cf+c358biRLs
WfIlOF+mWmDNHMu2GMjymAcYRNRKEpc82JGQ6QeFVAcTcdcX3i4INSosinFhcQLScIqvNfUaw9ef
tda0pzDgNgCEIzm/KCdGhWfqeRruUCZhflxKH85Y4EUhXouRQ+t2EnDnj9lqQUwqZ3Jy9rNrk0vf
U1AnbXTooAqNsEkAlTmmteRT6w9UoUIIZOQFSO582c052gxeuZ2r9EJo1s1ib82Rv9A39JBhnNLQ
niyyGOuUytZOubTU9S4qkb9V2xzwrnJ2nOKYCgACUU79EowigPQ+T1myvNPzr9yvvaY/wBxRuRl9
phQUYUS0XTO6/T5Jq9p9rH0DImMViPjZWjr1Qn0Rc56x/G0ehHZ1qJGe9P1pMthZVZ0OFmcY8Eb5
XLh3nsHodTTTkXVeaoe2ybETUNLdakGf+j4sZIPVW/YeVpAiGPMHhIBULTBUdcmefkjM8Q7J220o
3IhYSxvmzXHiC9NuQkcV1VlgZ+6qxXMTrPqOpYPrCI8Wzz7167doxucKdklZoNFjNFtDnVqKEp7J
GnJ2lLovsA4wesokxbRM5w3oEMdi54nK0cLE6CZtczQsbACfpsBDdZ2NgqPmFNbLk/e939nMiWju
m2pZsAADESUWfKjUUwGPbIdOZj5RWRy0Z/R5h/Nu7tIL2JKZOQc5CJQxbfCWl1ESkddajbLPNuxq
LbwxMhlvDZDrpyaKzKVTkXEngyY4c3NIsV1QtRXDPxNXCrgR+QpENxCDlxBvN0gUkXFdVwcAU9Zz
ZKz+OQP0fUL7CURIlbfaOZ4mz3+jGbgQN8C/i0zNT3cKlNipN0lyG2pkT76sw6vGBD5KsGKMHn20
C9hhc4KdwqVr9gk9u5uJmuN7BqH1KZSJM4DNVkt9AEY7uyeUq2diY/mInauusWuCM+M5IlJ/mYS/
LYbWvaA5VX3NQGA+ZTOMSZJEOGDbAMKXO9vCluoB3tmIvlnqk6WElQWMVonlIuyGDKBdlow+nKCp
i4n4qanhX4SWAJbl9clwV8nAhk49dYIf5Tq3i9PEh5DuIv3HrCX3oawLEBvUAdO9sHLvWpj8Psto
otCY0PeQ8GgmZGFB7cePI2rUqWu70zZure4hsq2WKIcmSfsvSzNljxEaJPJA5lBsaU4nRN1Gqr5o
ark8F+XSnEwU3q4o0TAvRFQwikjGt3OfW6c5KqVzgFzMP2qszhpVtuEdlUvrbIkMI9KjhnwRuW2C
oQCk6skUSrs7oqiEmR7CoDkTC/VcOHWkjwwqACk+eKdd3pNITrn2tM3IQ4Z3TDFR8k36vQ7pdy5N
e+Z3wnAHXfeAmBYtYbtYF75Bw2NPrn3mqf7uP9g7s93IjW3bfhENNsEg+Zp9L6V66YVQlUrsezLY
fP0d9N4XxyUXqnAeL3Dh/WLY3qzMDEasWGvOMRv0NSwyM1GrbHTpGqQN2aoVh9g6ovHGWmYO1ptZ
9CGRhEezRGtqguRaO018n/Qxyd1lDD0C+R87wSyVI5fWfSEpL301xwqAvCtYO00R0V0vg1d9anBx
M269mEM6Hv1eIXvQ+nQv5rld7wTRwXUYc0ZU3mDNTJ0YVCftitUY1bBDIuXcyWnqxKyFVCuaWvSL
6g7GloNODSHYAOg3dgUjmQJlFF1gzcMw3rFCU927J542vtEHAnmqwXKPfTyRxYykfpu1U/IY0VZb
+pkP2IU550X2KcuyM413AiHZDIgVu/cR6QPHVIn3YpIYT9c1MC6OGSd7OmbtUiBrXXmF5V38KnTf
Azn+SNIUboffOkSDClJ7DKLHyswE+YT791oz37+jTRUu0YSBCUGMYN0oqyDdKqpghubpbRWJEeeW
B27M8MG9U0zRO1X5ocsdb6eSMD+yGWsrFOjhVjFg3oxjUDLEopGP/sMClZ1V7tErwmg3OMp5QOaa
LRO9kadBZM5Vi/3s2Uz8/OCxLNkuwQyRmX1LY5LGYmYTy1AI8RxM89xAz8BANx2IJawrD0UxXcZB
QCqIJwuiWe7m51nQsUNeso0NREI0wl/tVn0P/REpvLSAGadxvGsMmoJV3cGI1YPvrWrjB7cmPDri
WN3FWZxuq2E01w2672UQVoe0jfRT2UJqQrF8O059tG8cnOxlFF8cK2t3lQbxa3L9cts4fXESXQ4V
rgpnVk5VBdEta8ICxhZZXrp1fENat0Wc1BfR+cEP4Xjxm1V0xR02DrIYipaQexmOp9gfSsSJnBYD
mx3jx2VWhNlHPhn1UyVS8Gu28Pjy9du840XexkNz75oR43N2mhU64w1CwHCn+8imkwyiB6p9Z0k0
c/ZmTVYvV4XmI/mMWhHfcvkPTSYWor2W1IQnlPo2eoRu3HBYA2euJwSyVcoETAtDBek4rL2jlYbT
PveYoPa5fKTujW/bBoRqohhw7KzBnyFrlRiPWcmEx2zp74oRIcCC5Hl8cxq2w4VfKevStgM5QkNE
2Enh5CTVh5+aJtvtZBmcO0E/2vdt3ITkOSpNe+8wYR19/HGX2iocaEHT3KxwET06Mim+hyNgQpp6
KBiqunpkWbvLekBjSJ4f8/HR8Lgxhz7XoQbM3uCA65TEcE4DwKJ2CIpzYVO72ZRDW6KNgx9myB2A
eNCYkAETGpvFrWUblpRl3IeoCm1w6MFsF6kxmm36MHKPTZlEz7gtUbX6BH4WqFfOA+9cPZhwR3LR
7BFz+RsPPRuZmBbSbn2y4e4jeuIGwsVioeH9eQtU5W96MyEdQrDHDEqZr9h81J55AmeHzLMV1rP8
M2xhmMZiJG50rM8Zvg8MHvV4RCufbdyqGY7GVN20AoFLaXeYaphg7DNvcl9k2DzmYeVuCGb0kPul
NBEmV0cYreWngtJrHzCv39AnzbcFAoWl1HxxH05uuPVA9N0bonrpmPrSpaey75qaHj3DwnU55AxZ
8zpfNSHKT+5a9V0QxOnOrkKc1g0dwCGNm0tVZS5fUu9DzUb1vuwHj5wGZjdrM/DUocEDv2j9bHjp
+vYNGWJ6tJNIMsLOiJ/o8teWdGKqwknfemkBnMq1+qmfY0H1VWtN5SaWyj21SCePYRTd4c+C51cy
Bd0bCYvYjM37xHPLhzwiijIgefSF7fctd+xqG0TZgDqF2kYzSDeqcJTI1rU2nWzeWWDjDuH9tJaj
KO5AWDurIuW7ri2gNIP0k1vDQ0DbqTw7iy6kdZfUuAWG8l44KIgDS4wHu82gk9Tz/ZdM3s/UArQ2
oabejExMlvoI3iPDu7MgOza8cwbAQNTDC/qDzHmDyo6PeZqimIitaTdOQIuasbS5cphEmiZl5l/6
nlTapZHF/sad7O5goIoC7DWV6H9GDEK4QOoZfxy8685Qnt2yRyDTyH5tpV51zy2fkGHKjHlZ9xlX
I6ZRQzheLfT816BwtXsiIolVIdD02OpNyr9s5YDR2UuXxLA+NlrovXtdX16jgnsiN1SuyN6UYcAc
bfS7mAE2cUoUZaO34X3JHAgYVtrdi2b83ggPzYZZJopWQlUQohNJIpWCPufLqvXkJq2L5Mq/NNyh
tHF2bK7xfgqz/JHLrnod3ZEQNb+yj4korTUEo+ymCSVMaLzIi7SDMsHuAJI7J1jT6fMCuM3wLLgX
PHtFFL65Jhm4xmDgW7FiLEMcMesAqcBhQuR7LYruoTDaq1En5KOqeDh6+lC9E/eJtMIfu52hl+I1
6oCUpZFX3gSqAOzAy/JcKhqICwKUYaqHXXekOHiqCuTNkd2k5wxt8wnBlHqXIQWBO5L2k2rVWTlC
bYtRBkc5DbBvdC7auRsmB8txiAPJ7GvGLB/EVptsUACOm8CHrIk8Tr5wQxnQ0oEhABVkkaLCPnwo
dXc8t2GNFhwm1WSb7J1BQ7jIEENDaMMjaaXi1Pp1sO9oXS4JG3NXfuojPQ8sf+XlxkUZjY83aHos
rZy0lDww2aVoJ2BsumHD7n9MtWTUZgRlvo2QFu8t0uOXaDjxLiE93ztDeyvSzthitVZPURhla6Oc
DxWJyjP2MWtFbldtffLIHwpPXmOrJYM7Nwn1GqmRCQJ2lwAQ4IaUpgcKyDfOnlFXi6LnXq/pendb
O06FpCG2sVX1o4dA1qgl4rmgIjEJHM129KyLU9jzK0usLk7Vd9RywS4g73rh80sszFjJXVxH9W7C
JwjjCe4tidP5nvO8O5LqPF4nD7WtT1jpERsBd0/Dqik0QvvAh88PWUPOhm2VFYWn+WDjYVzjJDkg
snYQqOjdg9ciI3P7SHuYmia70/WhW6Hd8AEbVeKtT/Bk5GVaraLc146aMBsHZI+MdpUbBDdN6qtt
7ZQf9WSER1/LiUiyS/KVuO7+SBxGIb5RoLaUNAgPGAZ7RpAUbSt8gMGapqW3GXgXj2JqeqrNTryY
7lS+p1MFa4xph7Gib9Nsx1hWt3VdQsnjGqQQlyUz3SxCO+kETN8CGp/f8A/a0KI0e53buaS8aTHY
4WTDrzQysNApopdtWMQrndRujCh9fkj1pnvGQIVUnzrktgkrY5saeb0FZOM/cSQDa7Bk8g5CAYTu
1IOFgu9MLV/ER51A9p3SfeC7EeqayrWIpdQ7xExUwFwYsT2e8C+po+glGX458e1TN2mH3ojPcPIU
DlPpQ5WdiDU3I5SEepBOP2yZ6NESZX60Q9IjVjgJX+mlQIqYYrVOMUWgVWq97DYaIpxhXcjcF6vL
iDDVfq/D0ji5PXiRaii5QxeTRSiOx3sbxVX+MsbGeNbLLtmhhNfw3VXtrT3k0XlEOLFphpwQ6nxk
pF2GxAn7tnobRYhs2ygcqF2tO94MDM+fW5LJN7kZFg/IV2zkP1jozim85KWfRvZNhcZsywECkhaC
8odMLRNVY5ZZK0TcyWtO2sJdE7sfvmNOp2yY+r0Z0pbBRGl2WycLXCg8I+gyN0KDz/X+LGsEVyPU
iI2Wk4ErA81F0wJrAQmEn7vr2NK0Kz1T+mCm7K82Fqv7UNHzoetsb/VWTJc2zCXeq0wnZ0Ba02Jo
Av3a11N7RKzn3oXdNJy8hAT1FM3Goq9A+JaeEpQ/QQJaMOc09OK+XOLwyzZDqZCay2KmCsfyrW6H
dtXEDtlOpIcvO3yWnHymBasKG2TC/VTh8jKNbpu4bf+IdpPTI7DwuCx8t/NXdRf6V6lxVdfaEGFw
4c1tzgTyA2eSpbkfhcb+N/d26U3Q0JF7ZvSCrB6fruvYFV29RMato/Yz7DWR2d09bfih2jXuAGSV
1zddu7Gebk38S6vJzNp9gEiWy1FYr03MM6SaOar5JjM5189DZ7xrTRs+yDERELysqX8MG66zwixI
WxsH7LYGuGXdLgtw1PVAFY1gF1HhYOtUCqTEA/8c3/sgNS9dT71pjoKKUnOHe7fT03UmpvRHgUvh
Q48MwR/DMd7gkGvzW6OuQpbeSfESG1zcCeR2ZWg/BQU39TgU1g16FgWxcAj2Umq0xztBw9jQG+wA
/mRt4y7EnNZI/FBFc3XTwtkIVif3VHtAxFqEC+mbb5n0EUtGFB0q0PPnRg1I/pquWGbV4C7bajol
AshAZmHXYnj3keAE2FHa/nCj7qTFuFfpGn136+4S8YMTq+3Uxu1klcg7pIH1J+mnTRgnOhLlKVnR
dTYPiZzqjWQ9LqgL8C6PSJh8voyoc5/EwIY+cLhSs5RXERWHMpoPihR3X4nAh+L1AaUvjvfhWxBo
ryS5Uznhy33N4uojCBOyHhgAU4HEZCkJM7sZjRLsnuAbp4yoFoJmJixEq73XGg/HlFe4pLv4CdRZ
0uIZfrZceWXCvUpm5SfD4/R5iqOdiX/gIC3a4mFHU0dlIVjxIoq49udWDVXRNt7Hiu2Ci7mNSn26
x/8scEXVQGxL/zy1FXWg3ujafmiSK1YTFPxj67KS9ZcaqeRTFSLErXVJMlSryNmq6XTU2hTd1n1Y
ngLb9s/ILuS6woVAD/2xCgxQiJr2aI82uVBudbb7kqAHOoorLxrcWy12j4XUhwttG5eVxl106NQ5
cZr0O5a2nFKzHNZOTEfBDnKuQQSg71Hh5itz1BD9DT0hREOa3blx4r4ZxkBhxaB6nRdFsx+SoXmz
lAl73jdNrtp24OytJr+3kloepzFp9npd9RvBZW/nY+ejhTKaG0Ym3q0MDDCxTuYjuUycm9z2+hUV
VnOn2x1SujLu72Y1z6afXGKXRNA++TEiNK5C6XOfzJusSHrSu4ye7pqdGeSURUGCskfjJa5Ms9np
KKyRqfr9Ni4bMBZdgI0+CsWba9BgLUYQk5huaTYYufYN/X54lY5Wr/qMBdx5tNEKvWxuA5FN2DXH
+Oz6dv8QGJ627ZhwQyK3IrpooyQxbJpV6lkW7oIKNTQGgG5Ntn29i7kePzCIIjKMht2htZxo13oS
0XNj2/vMoBnsF1DPZBNsB5eOtCimDG9i5p/qtJ8OnaKYzPlYPybXgXeM1C5OfQdvuhOhEDUCbz1o
WnyHXYh9DTXCRot6/xGyPp3auAKlOobQRI2p7h8c4Nu4ATTbOzbIvblLKN4ENaK0ROjKfuwL+4yk
ZcSl7/cY9rIJ63MyGPqSChnXLCpBRG5YmNCAWeTsdT1Nlyx3L2lim8G6jEDUY0V9dVqruHKQBNZy
cFO5cDlV1mKgi6SrgTZ30zl4T1w2B2Ie8oWPzR2tZHnOa0j/vt5dhJnc+3bh39qNbxxpSPgkPBVt
tkuSIrrQ18WiWuHAwATWburUQZcukcmuLbcipKaju76w8gildHs/21duishrL3wQ6qPG8Km100Et
k8Cmu5mNKTm28VhsVdSJhdemxVmVpb3DRMINnjnV2VVZfos7TbyboUbHk5bHcBej4l+o1sWGmPdq
p3W+c2LqQkC121l0Zr3wmzZ277iIkhZtQ1g/0ZiKg6VnyfCmlZBvbXzKh7LkKMRMbjOTK8Z8l0xo
U2eHwmqCNLOq0WEjSgfbmhp9fK19NdvxqYR2mFeupDP13ytc9JdReYQwpfWLh5YeTL5dETXYNd+m
0On3XO9IRAkpkhwvvVaSuS8OjjO0D2M/JY66ZakTXsBldRzW5hT2/VXxIJo3dZ3V0XqK+wnUfZ6Z
oFgnyy/LK0Pl7C6uAup/LxHWAxd7KU55VsjnMXZ8QEFVoHLstRybBuzWwY6Wpjm17fes7eioaGbP
DMa1Y4dUGsdr7Ze86kh0Q0FItFscpSUXLFEbDcbvyPxuZInHkLY1fXUrFEaxReibdzUeknrVZU4f
bIbC6MvNYCvI5l5kt7PiNu9jshw6mkm9ad01bZUWm0Zri8ei5oSnU1lUq2EY81smcdg0BhkcNMZg
wT5Ca9kuw6GR2EeQ8751+Ga8BbN1/j7vehaMpJief+jnrg3Ad0+ae6A71l3ZMukvGEjwFlpmVnjH
qvReGxvMfbZ3VeXkfBsZDiHaRUZe5+5tzULC+ha56aph1nEXZdICRqf748koppJZuNFYD5pp5s1m
8hl2lGktupOd+sWPIhf9VVc2b73ixtbvNd+xr3USiJco7C1938VlfI25wMJkHXpA5jJ1Q3c9IW++
iF6F00GnweQ9JMKt6eqE7A3vyCYBzEJvaIiC9/KpW0o0nbfsv1xf08HiS+zooJHz3IqkvOCI1OhI
xVl371STLTexI3T1GHpNTfRZK7A1thpYiFWqsXqQtY5cUZri01SBiHdS8L1OUAVu1BiQU+hTmu0M
1eSvI4fXRiYJsN6stSEhFzm+7BwzecHIPVJ0TjWFQVazN3xhpJ5qOiaLsKfnl5ofomdDn7dEu/b6
Dfe+audqlX2xuSrsh7bvvlHyJktUufOUuUlXok/alcnZwKU7qTcN071tgft4l1diOhdRLJa1KbKl
jpH00+MguM9MD3EvsgL56NqOuCYU1d91OaG+7nv3GcMS8bJa5MhFnzDJ9XMRnjpTZoeSefX3Aqn9
ZoxnUT6um36LuaBYMnq3Maw3aXWSuufS9aro/C5cWs1nR+H3Vk2V7VTFcCrpm2ehujnjkVzNospC
RnRN9QCcoFwMaTl80vUkW6mZy6veNF+LYngPUFIfI2kYYLDtFpK0q25HH9zMIgqodtmhSRkPKTbN
GH+hWffyoPvK3VY5r2yvqHozVtESpVtxHfFV7UJNFucqGGZnPNbJVYbIYiUNZAsmlcE54q3cZ47x
nA6h+VYBn/wWS9ZPohXhw6BGefFq4e1Kj1lKlftypcTo78CgJA/QeKY9s5l7ym6TsIHU6bdoEviJ
o8k9C81jioV82z1amOR2rH7nvoNO9Ai5Jrm6RSefi3zkmI1yq1h1oCnA9Co0DBHGlCVblH5BNWMR
M1OoZ7dskoegDoezbg7Evc6tcEtaj+xI5kML8+HQZcxngQVzZzWTCrhbYeX4GmLPZCjT9gg2aE9P
0i7IrukOsGiceyAa9nJU051f6R/DGPTkdUY0HQy6rXiQJ/KXYcIyXoyMNR4GfzXRoljy7uaoQmjE
IcTEIG/oR4Tp+SpxHXfX6DLcJ+ls5C0sTJ8Tm9dyYNN9SnqfhHGn+D4FJlsGm2OwcKGb3kWtUSyl
oFUzOpazCQZF7AOlzfzSJemlKhADSBmWe0zmvF6BRbEf9JZk/hKG59rAIUlj6RvsV+xSyGPwYbj1
sAxaxXB3BARTZHaz4/XClB4pe5nNRXzKQrzpzMm9G1Etwo1proGQRNtYXfcUpmn02RYDfkjkSPWH
pwbz3JZV8W2oJuu+ZwsAl+wZDypv1Sc6heGz8gpnl83YU0Z8d8LqqmOJU/OkmbxmXmDeBaZxGzud
/Rh55BEzXaD8s9J94nvgpGFHu2YF0Zk/QwTcpC5vGEWR82mjP7E0LF1+P5l3cTzWt0M6fB+T8B2X
Ak23FLXvbkqTBylksVFWU93St1TEkNYUF35jnAJ3YugrSukfvWEAMFGJwtrMXdiF5jBijTg/d7WZ
u6CXnYZp8MAsYBgIjdaFRQViFQiwg/jFDXE0LJGItE8JFpKlLhL7gaUB7rkSiYcTSO6SgB0DBgJ/
JDU5pw79GE0/29y4OVgE1C/eWtenAt887iLeJy8J1ia38jPSXOu2yuItFFAC8iy9f2fVo+CnQruP
C0Wmm4fiJOz5b93Q73d2QflhdK14H5gZ7KTVUF+pwTCxQOflfaAl4T2jov7Bpke/jxqfQINWUSFU
CYkiNnRdwn/gFDwXjBJ2ceq96I0vD47viWNdANPAnh/+oFqmHxtmGuYeDiEsL1XR24QFw/wBnBHh
Wz+5SvjbNqn3hcE7e5r4Mm4GDe7WCRWO3AQR5p9NgyFukSdRjNuKGCBWGeMqnKr3rBb/tW0L/GFh
G1o3NQ5+2nnCZHCvWaHk5pN2O28yHbxw8BQSTcidBlNniSWtPUkZddFT1o7hQZ9m57db29ukDJp1
A8rwbLVtfc4NZfvbmnHLiEdXzw0kwEkoIgrqHpJRnAgirBiYIt1Vpq4Nh6lCubFhQgJmXzo4Js0Y
95AB9Udt2kla0Wus080mjYn8zX6L99RoPzMX7N7CN1A3LfoxreKrVHg4yGGqbCS6qPJWIpw6g1+J
S43+JHo8/VfDGQPrpEkOxV3IcFdFay/ToZbRtvJGArWCwdYeICjZ7rnDmp8fRWb5ClhPSh5EDX6r
/daOptBu0JKlwZVRbt+v20qI9vsoPJUgA4vgBr1MWuXHM0jAyxE80eOM9Xyh8Ns64btX6kbyiQ9S
89cMfZnDpsm0s6lgD6hwp2wxlrQ1hKrIl0Vnf8lx/Cx1NyaZgubyPf2YCdY80sJjClzhovPO70K3
gZE0+plXrVoD9czglbiuq8zZ+B2pAirSvVWnC/++Nc1dLnt6iuhwbCM5xYzKP+kl1W+OHK13W7Ox
QMkAGOoqj8fhBx2KEapKbxxa4uzelWG1zqHPijK9LUYuW5tcUzHUz6KayciNbX6UUagt4SyQDYYy
ipGN3yLm9BNN32Z2P37KkOvSIITPdj1mNf5eEfXuGhFNSpFsVogVO4ueCRaiIvpRTIyf9kmbI09J
ON8+Ld2c9hrVyM4TmP8XWCL8dFs41XywewPCr5XpmN6wdR3ufBvU/v64wOUYYL7iLuuHOzvNa3Uj
Uq3JV2mjIsPcDPR6geirNEjtZ0x4k/BRJ9hl8oESFLopVxohR/WsaX0usAvnaDnrG+rFmCrRTk3M
W+3gme1aVHA1v7Vt1nQ77pKRTZq123Z3wix1Cyhho9vgjVCNBAwAws5HI7d2wqgAkDSkz/iSG8Kv
y27AdOX4/YUGd98AWsizknQUq26X0g/eGCuo17yYcIb2gY/OwPLoKY0rw8ENGa6LUWTBM1tlmjw3
DVcxQIlNuvOGsc5WoMJ8KGHKM+gy5BoGkYWeFgEnqGZZQbtWbsGXE/dpnTygKLJachnw32v/0aD/
f4k2OY+4e34j0X6vW0RnVYdJ4MffmZH/CYfkP/q/GHz9LxeVM3/9jbM3bPwC/1Fpa9KYgfaI9x1T
94Rjzr6b/8ZDGuIvKh6yH1n/koEJOvH/yrT5JzNiG1YtR6g7m2j+NzLtr5YID+i6N//J5vBK3EZf
DFN5MhkiD7x8ZcvGW2Ee0Pf6qLmrf3wnt/8xP/wzZNn9ivL9+zG0gm2EAxhl5BevCmoJvYiLkCTg
vBpoRvI27GKmaR13znF6yFQo9lZH133orWkVBl3/LDnIfmDV9t9Lzdl1YmR+ZJYxfCwxmNWzYWnb
vC6LW5UM2r1oG/c0xbX3EMUWQIAeEU1n9t5qSKAzVV2jPxR91P1oSvsaBFA06IzqajXkqjrGCgxm
k9n+IdSQIskC9eDCHBtxcWva/U7GqAwnlGt8AHi2X7C51bcjdAryi5G8BCin2aBbEAuLKaLdGmts
8Qg40s+xbLy5EVu6YqGbSnsy6Cp9THGGP6hHJn6FqtRRkpbgNUx20GJpphZt3sJ2IdlQgZJJrBp3
n1IcrH2YRC+SJvZCp8V9LipdvfkZwRpe3Q8IWb3Q2XTIF4lcaRvyI73E/EgLFWyrxNvEnX5Ll9B4
lHlTfljR1D5ZGkZaQEe6vnPM3FsOU1nDU0KXSiVELqSs6QLTTxmzF1dR0y5HzIVMjpPo+99r43+1
dfw/59uQ2CZ+tymkH5H60fy0Jcz/yX+2BMf6S9oO1gudyS7Wmf/ZERzzL155EC6zo4tX5R++Decv
pOyWYEPAWiTYE9gr/rsjaPpfDiRj3IK8XPyHnG3e/2ZP+PllBWDoeIKnsMEQkOF6X5MDonEYI9m0
2N/VnSfvCq5sEIJIbzFSUlycuo6Ohnf6xxf0ix3i532IZ7pEY5gY6Cii5g/I/vlPurTvDWGOIBzh
TJUnKyNlrjjmHMC/f8rfuOD/8Wb99zEA23UDAyvcny+uJQOnuZX1ob7CBrkwHWtt+buG8qVZdxAn
otcieU7SHfA89BbADitSyculnjDWX4zBvnok609zDjK9YBD2iyWmwhZmkcEUF+csE93lVFKI0Xlb
0UbgkptynzTWyIjck3EhDNQp1r06zsr+eiFhzYUk9y3j9+TDeveKrT1hRl/DrW1wsZDW+X2ENYCN
Y8XARoRqIc0VzAHHO+W4QzRAIT1Xs1WZrB3yxyfSnn//bf1rHfCbmA4zehcL5bx1//yb9DUFv6FY
B5XJuFpPpnXYe8ERxNldYqfx0sZlvxwnef39Y3+1FDDneYiXHYnx9ctj4c/ZYxHwWB0j0IZGAi1C
ryn/kD9qzSfb16XgkIyBNUPK2Z/086dTjTkOlWCQHzp7Va8qZyXybdice6LFC/VdQAU0YVrU71n+
1KQXw77JioxUrY3L8h8xuSyHRS32BrL4pTvc1t5z4vTLXL9xzIPhcDO+iRRT5cnfD/3raD3KjE76
zFS8DMk3lf/h/fnlx8FtKAVfnTm/RT9/nHoMnSFzYlzyLlgJ4EwdOcTxJgxO/agvi4h4y3gOz4TM
p4bVUHgLu7+Nbf6WlYyO2d125U2mb8LqmE7vdvSphXtViVXqwAdpaDuBy2zWZb9PqnXYga65eCAH
LYho9TxvvsoO/Sqlbbf//Wr4YiL7e2PAxauzF7IIQV/+/Lnwcvm4OCTcac7DhVVNoIvdgX6RH+Mh
UbwtlfjDujfmauTr0vAYrM8ROth1v2ZVWPaUofcBqhkAKvKi9xQEyCW0xQltP+1LZWAsSrpd4bEd
dqUVbt3J+UPFNC/yL38Ege1bSjydlGVfN6qCIYRT53JYdVxVlgRIW029zob8ez+C1f79V/yrZ7lk
PvCmz6/71/wUoTmdjihyWrkRSkhqMhzpDprMAiVlr6vN75/2i/eOU4yjDwuiSX9vfv3/YVcdS6uY
TJsHma11KmI4iOhcx0Vm2jM2sH7CYgyJokG+4P7hlf/FxsKTqXGJFeCQtTmQ//nkYRiqBIgxHzEG
WNuLNt6OSgZ/OGN+8RQO9jnsxzB0wBNfFixSWVB1fMZV2DJK6/KKiZ+wxj+sD2P+v/myQGzd8fD8
YsPldvHla0zgc+RAMaYVdqK1yxwaaWG4tjqw5g5TO0iIN7mWIJgekKRobf+HTfoXZwMeagfIKNH1
lCvzP//Hrzh5PaMPRIcr2liz0uS9alHP6aPCddKM4yGwoxUr+A9P/cVmYMMOYBsQOk/9WpnQRkfB
moJ0L/Ih2YYkESwbD28LWdgoZZjjEGjz+9X6yyeyqxKmgyZI1+et4h+fM5lhuP2A3iAuGJ4KRvE0
fXxiEwFsLkuNafwUe8EfftxfvJB4cB1pzwZa/pr/UP94aOlnOPXUMK4y48au4awFkvh15RWfo2v9
Ybn+8lmI/Of3npfxK/rBFz04Lwg3K6aem36MYEhBDoKiP0Gg1ow/vIK/etrfF06bGpfd5svX6bcR
LRkWyCrpHtVo9tyOCganI7IFLqJ/+BrnV+DrK8J3SKUn+R8b6c9fI9SiAUEAjRQzQgtvYnVc2iki
t9+vkH9/JJgPsAvwS+OIRxjy81O6YOoDaC18gYmC3pu+KZV8G210CKb1J9LEv/ZOLum2EFz/bSGh
C3xZGGBj/XLuNaxiPXqsoaxtuw5caJ/oT2Pj4dhTyaoxeslEXf3hl/sbN/LTt8mzJaMF03Eol9jZ
fv6c4YifmjnkXGBE36c6fwTcnkIw6pnrFmjf9AoPFemu6LU3GL7Dje6bBB7E0R8W7L/eyLlRodtQ
B6DJUJl++VV9kHHAymvSqqb2w+TtWJe62I5+sk0A9yCOYaD7+1/4lx+dcpRCQHIbssWXnziuXHKI
FAQiK6H1Psv3+sq7xnGOlayzz+HQH0wzAM/GXZvhk/jMgdC21Zj86Q8yP+jLb4C7BMoDfxJDApb/
+TfQCVaES4PHhX5qB7cHWDo+vYMeV2i5XftmJABzQYe02dYTxrJY7btW29leeNGECv9Qcv7rCOC6
yRURFYWlC3bjL0eAjp4tmox4QqVZBoxVobx58bLKx1XV1zRYzPCQleHn738L8a+Xmlwz4c3kGK4G
3HW/LENISYOZRi7UaIMoiexTcT0Igpei/MEbQ3isvcBm5RMDGq4bufGmp0xeRHLRm7dUPXXd3tTe
Qu8S4XDGJneNbuxD2u8COkVZAntvi/klsX/gkyGyWBAvnt77IdazdWnui+ApHl9VyLTi2ifnobn5
/Ucz/t79fv55qXPnsg+oA6Wz/WWdTTQMY+x5HDb1TugHjbunY3+M7m2GAKRuXqscP4C88ceHIj2S
OtGNRJEckYVkIRcY+1L3TwbWBaAzUJwWUfsiu23rvLjlLudSC7GWwFpvU1VbhFnEqqpVmS7xC5fa
MlhX8jbo13W7B/lt9xs/3qfWKTJBbl+14MNMz8o8WuV7kZ9Fv3kdkp1Fp1uuOnklvW0IV9bL8Jqa
m659VuF9ml7QytndiThYaRMba4cvQ/SiAJFrzO3/D3tn0ty2tXbr/3LnSKHHxje4AxIkSKq3JDv2
BCU7Mvq+x6+/D5ScExGyxDJnt+qbOEmlTJAAdve+az3rfqLaR9p4uCZhAftO723GT7PjYyIkAo9B
g8zwtqkuVKjM5WNu07DjvXrof0SY0MJP4LFD342TtUdv4NFCNCHfBtM1m3HMhrSN62ljFw5Scg7Z
hnaBY0SQUpAR3E4jqn+0vPuyhYB+aXUumxdJ7OeNKAqk0rpAYyzkXfcV7++AZYtKZeP4wMt+KJeG
tzbbG1ndpjGhvqsCi6t0wCgZAUBQbgMv3obNfuq+p8H3IduMwMmKK3na6dXWSokaJhCZ/DEsQk+y
eVXuQRer2MO7jTdclM1OMRxP3w+zt+K3p0veKYtERgpLVJrVxTFXsDalmcWWKcg1mvMKQcqw/Ta+
lH7pokSF0krT5eMX+VdDFAAXe18KOjqZQ8ezFIaIvKqGeYfPv6zTjoaoSDDEfXyVvyPvlsOFfZkM
WoR1SZEXU8EsuqI9Y41O392gz8Rwbap3mjdHE08/alR58reiepixzvCO9ecaS2xH9CL+V1XeB7WD
G4u4CzjEU0e2wwaHL6kyhu32szUkWCswo8WfEUCFrN103Z/B3dxK/yRdEJwDlDffBHccWXR11bIJ
JKXdP1hXKeYaCO4XzVVjODjdcz68XNsuCqrr8l61VuiPTZK0Qyc1V/kdBQUA5tgP/OsuuSzaXUpY
Y7raa2TcZKvkR9c8iPA+Izhy/DltfXlDW59Eciz6DHp6cquxRLcSJmvZ+FJMP7BuGt5FTRAzrOfx
GgSqVGPz+7OqrotgpypYL5yhu6ceIKxVQ1t8cNvJ6forLSLuhCECqX6ri0Ndf0Xa0dx505c8eUx1
OH2Msk75JgAsNGl/mJE/HVlCpvSEMUUvbuBsrxvkylV526WHvN1ZqCHGvz5+4m92WpwY6W1R4WCK
nP95/F41eZNYJYZOpzej0jHC7odRGRxuDP1i8hCY/P7VFIU1Bn4OnC2xeLtUM9O7GmGhk/WwPXRq
eH1J9riFYNPJQAl8fLW35zkKvlSihA0nhxG7jASr4npu2I0jPl4oyGNKt8PXsBcgNsfEx5tnxtaA
nTJeo8u4R1ZknFh+5ru3GE1sktnJGsoMnHspirw6dESkQwSAfDkdQ3Zax0mIZFW16xOj9hfPkHg6
TTXx0sw3dbHEqYndaTpaYye1jG0yVdZsU8QaBcsT8cWknritb/co87Wo4uAfN6g4LDZMUQmFse1K
/J25iexSOtgy9S2OIRC3M8fLMFNYxJCdmHOXP1Io7E84ClAEoIzJvx2/qKLwptLAL+toWf+1yHs8
5eJKnb6XNYD1j9+b5YmAS3EZmojsF2jt24u3NOrAD2PhoN5M+N8VKx8ZVhrQA/tx1n+o3qELK4fg
03H78XWXu/C5XC/4aRTt6VDyLY5/oiKhaUR4Xjsa3Eu2+a2jNFQdhEpvCyXfNeE33W//1LlpomlM
+BrV6OVK1k2jlaLFLpzKp2ZJI/yqBG/AaYtJrfyRDCJwOJEABrHSw8c/9u3zhJdlkVANxI+WyAzt
en0eDxMJM0oMxNTGEGdFI46cnL1MNXL8byb70+9fzcZAiCGaBoy5/J2qZpjYQKKCad5vNzL6cVGi
fCFQJ92g9JhOrNZvniQfyOgg64C6MU2kxY/DRU7CW2ZlDta2ahZsMBCRpjslxqR1VbQ/4zQPTzzK
l0LN68mGvjVbEUoAbMohkRmL1wfLqaTkrZc6ubidwq0do+3ywG4/WqV201bSSi7YwSEprFAL2oQL
IuBLL/kPlAtT/y2Ot5O0C6rVJH8Lukd0NxhatiFCI6O4bPMr/hzzaNPbj2XI+1iBXK3QoN+2yiOf
QYuTDzDgbLDXTeL5r0op8Rze5ZQ//uaz5HdCTtTYCFEnozF3/OYIiBTGKOLMgZt97/WVRH6ajhl1
yLuVYZKa9/Hl3swGVFR4aeamBqksur2oDwx9MZpDkIaohjiWIepkQbfRaRdQmZPk50QS47qWw9su
02/PuLLC5dlsanPx6viHEgRiEjhThs4Yxc/BoPQbqzcMIo0C0opldjU1GV8osCf7xIXfjM35J1Oe
o37NYq2ri4pSq4ZkjpRRSM9QdkfZx8UaWhx+xsZeF+mp4u6b1gAT2HxfAR9SCaECuhgt4POxFjTT
gOO+pm1UO1WFdDGth73Rm+N1XpNVbHfZNW0r3zGTOnfwy54YPS+F6uPRQyeT7iS1X74LrZHjm60V
ljGk1TAw+fqA8/elTF5E96h07A5VCX9cSCLKY7qTFf+hk+hl0u8M93pQu1my54Wf8nbryTGS8s0Y
o5WEaqfi+8WLhpaUAZLdB/SJRLOVzVu73HPQ5lyIY76l8VHgKWiirVc+FelKrdEyzX8yCBXwMZW0
6UDITclnApUbvJvsQFZawcUuPT4a3h4MoBPv/K8eCbIUiuD0c6lG2Iu70UWK8FN8qxSFr0NlQBhs
pM3FFEUIej0IKrOyMFX0jWbnF51EAEVFm+zEl1juM+aTDrsnWvoywENwhMdPRPaMEAshW3MyOCV0
IPJmENKq6D5bA9ldYTVuJv/3ongtvB8sv4Yw1JcuLfPo8TUTgU6yqcrWmZrJads2pxSNiNvXKVPo
p2Czb1YJjbrTTGucAaoUihfDjKZsmTcV8VfsM8ju0kg6J2xKhcA3OdXYrbt2MrYfTylv7ikbCw6R
BuNMnm/t4veJMLAaq8YsGOmVv6tH74ra37bAgbgiz+LJbzTSDUbyGz6+7Js59OWyqBAEQ1xQYzy+
rT1yfK/XOfe3PjLAKATGF9ipdSWgTqyhxLB99IWb1ggTh3qoTmwdlXkCORrb8+VVsl5lnfPAmz6u
P0xjYvYm5uI0tNx4iMjppEnNfLafoIE7RA4+oxwWBxY1NcXM0QXbJiRd0Asbb50Y8BM/vh9vHwPz
Kw993vnoMnqQ4/uBSwvpkt2XTieVF5XRYlFDu9qzoLY1kYn4Jb700YmzyJtJXaP5ShkMUjTaTgqd
x9fsPATbeoeWgjNTc0ik7wnkLdG30nU/lg+/+/vmIjL6k/ktU+wlpTTM8662wion3WPU3VLmIA/v
5CDbpN5brYM4zj6wgmcn3u63A4p3S1aYLFSI2xT0j3+iHc4mySxH06Z2Jaa9ekOfXnYTTx0x/AOL
i9r0xJv9dqbUeHxzuYQeGj2LJWU5M2oFAk6cO+RAaiuqx/Gqp0JPymrr7TPiKjjDJz2cOXKbmlYt
t/D1g3WnxCfW7LdDDL7sLO9gR00KzHLL2RYxeIVSSx2Z+Nahweia2kSr6mG69gg9WJW8UIMZkD09
3X38sN++WMdXXtx1fH6tBUeHK1uONQhv09mhjfnTsDZ+dOJ2n/qV83d5daAuKF1ZzFapU5fSt1FM
QERaDf3UnKVxPTWXuhqVW3C/wYnrvp1BZnovdbFZ3MIssrhuGmI0Llq0lr6vFOt2JJgWTaJ/YsX7
1Z1kB8JuCDUncqrFEPUnI/KlQEU4mirZOpRNjBc9NDoiiYQRnOpS/uLVBds9S7bYUL/whI9vZoQU
3Z5yPNuEFv8IzfgnpgfcR4p31bMw5F65yVn+g8Sy9jQtfAqq5v7jV+eF6n88M89fwTBsjma2gSTq
+Cv4FX2Oysf/lXffCnSsjopsnIZflF3i5YYCUnXhRQ7NbwXr6kkfJTze1BChlHloMpX+El0pKFFN
zTcEoz1P7MC2IkiLdSCh+QbweGIpeTtx831h2PCesUnkrh1/31YzIk1BTucEkXRTdLBWATZuzSp2
EnPcaoHcryB/KieWizfvhU5jinMrIj6KdcZS6SskoorzOoqd2QK8BY/4TeqHNernL1oan9IV//Ji
cC4AYHPm4DR5/BNzT+Blq4MYEEDlu4qNorWPla9tAQmPjs/HL8Dbi6GrgpzNNhOe9RuJInoHuSc1
hGXfr75XZZ3tSIB3cec6mQLq8fcvZqFUYcOlzTXBxS+D/ontFC+r4xk4O03TNTy9Q5Wsp6shNH9+
fLE3axGOIIv6I7stllt9WcwZpQExDBZdB/4mx+PIBJ5ji6fZu6kgVt6nAS3ljy+5hIPrYnFN7fjR
SVDHiOnk3Ca8UqzARLh5YTZQJlr5z5YIW85YNMBKZRsrJkFJQbXzA9U+xOxP1xmsimnAiDlI+oXl
CXAZmnWi5vNm9PD9aDNyoqTUbBKXc/z9hhG/O4UTGBOFIPo50ZIbtfle5h4Q23Z07Di4JTe6ODHJ
/OKqTC6URLgsU7+8qFcS9qyrtRXT1zJoUYTGeGNhoQyJGi60A66150YSp57EvOb9O68JTrFI1tH7
Ul2bX+ulJoNgL7IqSwFc0/Rs/OQXDdShXRl11oZh/ojNTtmNEkCw1lb+quP2T2LuLoIAQJTUT8XM
8XkCIeyduBPz+rH8VpjI2R1QUuAFXxw4wAtXvScFEZUT80qz0+um9EB51H60LyDJ2drXIPQvQxB4
Jx78YgfO/VCp8FHwmzn4eDCW1b4g8/WWOjWjgeCYCNP8CkH0riqTZAvzWyX8tXFrAw2ip/jhZhyC
TQhjMt9nRlV98/vp84mRMj/zozvBBtHmjDev56itjPlOvdpHDJHUWzK4agfiiulopUZj2pF8q9rY
NRVBP8/dqSFizCTBLAWXeeL9OJ4cXm4HCsS50kCPzcbCcXz50Gvlrou4fFfTCcUV/SBhe5gk+Ran
H6bsThpOXPF4EPznihy/yJbQtTcnsGIA/0fZM0ILTl5nkdnDTaitp1xA4QtGbVd2IFgAAfw95f6W
EeEq/FHlmPObZXjEj+F/fuTFWIV+0Pzf/9/sCurc9/jArpBnzXP2TL7ca8PCy1/627Cgyn+wxGJF
QgqOBIbS038sTIr4Y7YKWChl+X+Cztx/HUy69odBkIvN4oVRCd0MM/w/hgWSJuadv8KEg4yFfcJv
2RWwKh2NENYtii9ohNGT6iB9TXMxa0oEphqtlsRsrjryOomnh2jddo1OYSpA9ckZowBm34SY/ltk
ZyAsow5sywCr1N8lihqZm2LEBNBRKaXJ6gvzsq6ZBjcc/4nPI7BKftDVKYZPZVbWX7Ementdp5xa
Lg3s8Q4p37BUaA8iGiH5/dnCojS4mPitbTrSCSZHtCqBhAWcckqfdrWegZpZDVg8wZkp0fiYDIxe
LyzZK7aExCMpbnWxpctA3VTvC+0xTSXOiVnYDgY5clS3mJWqb+Skmle65oODzWECP2p6aYdrnTsg
rS2PUGFULrkEEzOdCI0zFPxGEqS+YlX4kryDoabdwdHUn03QIdJa0av8oJfS7DQO8jClFxkKKKdN
njHh0n8FTmhZBR1RiX0I9d3iEtFBfBBU69vrZGxU4ZINAXy3SsDS2hP7tp2OV/MhmTT/EMoQ11Z1
klhIbWItvUbWbVbrgNv9VUoaA3ejpqL9aMf8wprAJ6yKFqrDmvjVotwUNvvmXi3GdRmN0KYLGRob
94bwNVkUJSoTveweSwk6xiqgkQpuzfAG/FFeDTu3tQQ/otDH+GfcGvrVYAwxcExd+25krda6hDuQ
OQFXwQZMTEhHdTX6qXJQw07FlQl7ZEce9GyRtoc7MOai3WSEFOxVAsYxJfeBSTagVNW3RB9vS/AD
Cs85iC8FobtfSqWwP5tqI5Oo6MnawWpbpErgOSV+S9JIiJ8N+xNww+QzLzggh7YzPXS0EjmDG8nL
bJBwYN9sp6kAueKvz6rbiWLcBRHjLEN2mHeto/Pyib1kFcrnVMV20kKG8zdJ3yNw9qHlIPnwar9Y
+xLIVdNrI0eqe+URxmz3hJ1Yn5wabEi0JWsWLB9SxsZcj8CujFUx2mCFAtS8X/HfQ5MiP3248mOp
xr0CFAxfeR43n2ICb6/6aJS5hg12CylLAA1WzcNkn2ZmUq1DdpY2LtkJV7Qk2vi2tjOrQItAoDBi
jYLSMMRowpkbtdJBf9J0q1aBVHMFA+WbiUbcNK8FLtcIM7Te3OhRl0sz+GX2bwxy+BwA98n3pO51
V7ZU+4d5y4O9TYoAwwA8o91EHMBcg9aKfZ1babnl9BplpCQDGgZK1UWwhFvtavR6dI52OdxZvSAO
kfKXxIsZ6vD706CW79JQlrM9fbOYpqNHAvdaLW1Ff2hSq6lWTKDdPxvm/12d/g+03w9Xp6fkiSyL
p9dr08tf+XttUhT7D1pAGsdcBLE2GZv/WZts+w9OolhHaN2yRL0U5f9x11p/vOgc5rAjVihFme0V
/6xNuHUNCt2zC4867HxuVn/HS4cb9/XuTVLpTdH3eyOCyjqLyT72tD08ppDYFMhkK+j16SdrbPsL
+AQAsTJdlb6YQ1c4aQV+jeZlGe8nXyh3wyTlIHabCvQgBNukB7kMmzAFVB40jXqFDFg8FW3d7wMZ
iNnGE2m2HpWZpaf3YROSxhCcKgS/CDr/3Yj++1MWRyE7rW1Eya0OmYkyzGokdOS5JvSwI9pT0ocN
vXqUzmZoSi1witq49KuiVNeeAHuHNLAtngEIis9TapawWcohErBxGwQfGfEVV2RiqF97SYhrHO3i
G886cYNQywCxFUP6JCC216iW0vLr2Ddi21qy9KUl+PRyAqp3Yu9/vJH49xfOe+BXW+y+b4iKMCJj
T4wJCgKdMJYfqp6l8jqKVOl7pOXJF9KZLRphvi2Yr3Hn9Cd2vcfHsH+vPZcdXl17MLKGcPR82mva
JN1S0lG+lnbt/Uk0dSmduMZxCePfayz28J5UDPi7+4mXSxt+WNqYfQ8rSb63RiMgGyEckhPVwZe2
66/elUXdIovQmkQsq/uQu/fTIj/oU+VV8mNTqUR2j5017oqopQBLkoR0lwy2dRPbgwdVpfLlR2GX
Mo3EVnyHxdCBgIuJORWNjq64KlQK4pJcjxsdNPxfChjAS29I4vzEPXpvwC4KErkcgGAEqOdOoeFm
9nQgpea3Ug7/vf3q8SNuq75SvXFq3JHith9kOyUuTry5733rxTE5bioQaX3buJ5a3ihy8EluTx0A
3/voxa7aDkotCrSSb13HSPtLR8uZpP97zLj9+3V4jQV455Nf9vOvXnlLH32I6HwyKrNtMJF0kp3q
o7330cu5ykzQDaZ546oSagMNVpPcOud968UkEauDOlmix0QZy9t4jLA9jSeGzXvfejEHpFkaphT1
a9cutbtAjZ4rT//7dMu51H/Of+NeL4Y+GPBmynIyI3Jhf88TqINmefXxDXln5lrWKLOhFzpMRV4Q
MrPAHk8WKGA1qR+GMvN/fnyN9+7MYlQOLc0sL+UaTdABaTI43zwRVp+e+UwXIzOJwNP3Nm8iOePm
qgJShMoToth5X34xODNbJLoSxw1oVFj3ArYQQVvnffRicNaJntZQPKlEDexUfcLVJr28P+ez8Rge
T1ekMFRKMlDlstT6Pi1oQJ80gf76cb4p7Qgann0He9IlJMPJcc3XUnXiZs/D8O3KQzn7+FtPUgjA
rEmZVBCxfvHSWNmxMbc/Jx3RCJZvRJ98qJAnPDDv/Y7FgK3AqcbBxKjq02o9KT79+VO6lvc+ejFg
dTCXvur73CJKeVmvu0pwUn73zi2aL/lq3oWqBrfIrmo3iBEVmtEqLZzzXpnFME0LT1fhLNUubefP
jdxBKlF/SxPwn8XTWkroxkD3LNEUtWsFkbFFGQqbKfeyfWiHgF44Ne/O+wmLwRqpXQgsCeuUDWkJ
LhOgytaShhNv53tPdTFeg6w3UyJDWJdKKOvec5/9g2D6zQmeAsTxQ/VsGH0jQm23VCvSI7zhS0rc
2VmbImggxx9eZGGSlg03JVHNdREVbqJb27Pu99LLSPpoFihFiVXNkCtSynTwQx15S+d9+mKAKm2g
jYhra9ecxAVBIm6CVvi8j14M0CEH0wKdlhfFsAB4mfmhykFknvfhiyEa9G0y5nnDQLK7tTBbZyTv
47yPXozR2g+oPHZt7VIG/GyX+veC1JvzPnqxjJa1oVIOG2pXhdEQCxKv1P68mUUshiUo4Zy8Bx5k
DBqlIIFqNM98ARdDMkcrFQQ1c5bItL0pg6wbP524HfPw+MVatBRHSKnQhizn3e40S0Pj7LExYp+7
7vsguZNHzb6sTZS567ArkYPEQaTfKNiTdlbjy4TXjV3cgkX2jT9bMYivQWrKqwRsshNTU7+lbuUF
6zgsrCcSf6RPIejonTSY0aNMehtw6BmoDWh9UOxuP2lQNH3MA9uqjGFidWWwK4Kwl1ehrKR/VSB/
t3U8jrtexUg1SLDZJdqeYkUWLjlVddQ+h4kBqZc6WDuz41TrYTCzfEM4k/xJGimrYbySmk8q2OuG
0rvZn7XDQUV9PPXIHaU6G4WtC3+ajBGyvCrzvNd1blq8XgfrVIFTCD3cLWzxiRDpT7NV+cSjf+fJ
L+YdgjMkZF28rl64j9XEMfPkvIFgLaYdM/G9ppD55KnAmm+E7XcyFM+814tZRynyFHtRUrtRnJH8
UkOTsL32/rxboh3fbYsglQlOYu1quXeR6+EhV73z1mxrMe9MBRDvNMt4R1pEJrWOLStWwMKe98UX
U0+AyjJrA0Yx+TebyBwvpvoUYmm+sb+aIBZzT82qZFP342G2Gp5YZa36w3nT2hJeE2jxAGKXBFUi
QTfDYNK9OLU4Lcxq/92LmYsxKXV2V9IlrF3SyoMnoKmEqukjAXOTZz8kzAXYAyfRXSuk6x1IWOpW
muyV5w2tpf5qRvVObRcxXwdKfyFrE5ZN4rHPWx2XWAECXjLdor7Jttt2jOGyJ7/zrNdo6VhnzQ3G
vFF4IFA7c3yWtq+d+awX4zZse3KhU14jRQ8fgPMmK5Jazrwhi2FLKnDcJqSf8NnSDanRSJ7zM+/I
YtjGo1kNkZdjR1CrWyCFG6libTnvbi8GLU6MSjHmrz3QLi39g1I+n/fBiyErLGWaGoOkewXQTaOm
JACdGlfvzAZLhUfRZRmCLz6asJTSJ9mprE9MYfOy84t5xlgMWEWBcMuL3cx6CVJuTKRMxlgD6LC0
4abQEv+88/BSq49+ajKCkidK1oAG8727ExEqnY/v/ILD8d9pZ6lkVKWsaOlLMjanydzgg5021FY8
6nsh2aVFk65pC8uHKqusw9ANZLYYegJDwJR/6nZpnrfYLPFRxUAU+6ilLwPiKpCzhH79yd/43iuw
HMlaUfQ5FC53IqZ7SJvbQglOHKBfjIO/egkWI9mP2wrRH+tY08fEKFAETK5zAgvWoLO9bUj3jOxP
c26xkyq+73uA6STJSXsR1vZ9aXbVV3iQ2aEs7NoB7GXfWtJosJflVtAsJgyZyIzNpPvqZS4Z/UVq
Vd6JJ//OXXlprr0qWEyZ1EdZ21WuUqTywZjI8DHs2nI+fq/e+/TFfanIGIzjiqhHMjbWoHPWRi+f
mJjnTdkvbvnSw6n0rWqPhSAkWcrFvT7UzYEwOu2J0JhTDuB3vj1tyqNNLGn2akkHez73Jw5bfWLF
Tw249z56MYcmeQRLDNiWqxHcNdrfaAOc90BntvLrnfcYBnFjkkZJ5DiRe91IqoTaNCfq0e987aVr
RPElboMVc1SsTdAb2b0uyIE4613RFxMp/JsExAbjsxpJwBVNRsiT+dd5n704jiR+qULAYzSxBBw6
r2/QGABJPu/D55Xh1RDSjcDAi150+6rMc9JTOoJS6b2dmBNf5LC/eNGX6sCSdNOIfly7R/Sib0QS
gzZtJUJwZXtbq214UAZqaOSayRdtqtYI+WC5yNDk162ajRf0l9p9E4VipwzEancAphxyUqLdiHb9
vH3jEhvBObkXpTG2ezy4mivzCq5HFqwT93d+SL+6AYtJxEOlaprFpLoEJw+HrjLSfSQ1xU1joKiV
fDWfVraC7uzjp/ne1dTjp5mSSlyPkay6lU0AeW+r5qU9hPrVqIj6KjC1uUXaW8MJ9td7A2oxD4xB
WEhVRP9Ct3JxUFsiMFqPJ/Txb3lnjnyD/KXhaiJS0vaJnRSz8Ure+x0ZR2MX9N8/vsQ7P+AFmvrq
5Q/kilAAyN3gsEC1NGkMtjk7b7bRFjMCdt82kQKOtWhSf/ph8Scxd2c1dcmtOX7KEqEmBLlyhJOS
rZCf1fHM27GYCwx7JHskF7yrWfqNHWB8LcJCnHk/5sf86l43UzNkeI00N2PkNk3WA0ocz9whzzj8
1x8epr1Bg47TGUkVF5S8V2TJuue9I4sBHE1Q5DscS3spa9RgJVP0v+9C47xGHTSS429uq4NnNuPE
a+Kr1z2HKqfEpH9iCC006//dGWuLEVoljVdIcqS5xKZHe8hv5VqI1t+0uUpSS6ITcRg04Y+IXfF9
Wc7xQJWQLuyskCDt99Km7i2P8JcMmO55d3OxwGu1nAFTSzS3CZEKmV2N1jZo9h9/+DszBpTzo7fA
T1VWDjWq90GVI7sM/K69s9pJ/iz0MHn8+BrvzLBLqp3mEx00SHaFH5L43NIok0/z/pZUphHa9oyL
1XO1uv/4Yu/MT7Ou+vVrbShjppGDrrlj5T9GU+96TXzio985+S1dgBlsLBq5puoywm23IOJupcrR
tTKF/iYTzOTn/YLFqNfUyaigsqpuouk/ZSPd0Vo8MQv++heYy0JW0s+QV8lr3GQiLWJKEuMqNIg2
WcnE+uziFEzliZf2nbqWuaxr1Yrv+TWCcbfq6lxda1I7ESwfDhe63BWb0assp83yHbn1B1F8CaD7
nHX7sCEfvwAebjPPtqqUbckg78Mxq3e4dKfNOQ8HmPTi0/W+LtmVZK5tlWTPJE+RPD6d99GL555J
RmiaWZe5vV9rbtIP8qGNqlMP5NfjAgj88Rf3yyI3c1vK3NjAwloloU4VM/jy8Vefv+LbHZtpLib8
PJK9nvTIzCUT0Lqa9FBe+7Vu3Jexpnz7+BJ/v6S/ushi2rekvkk9U8ncSMHURRgdKdVQ2JVxS5Z3
vA/I+f7sJXEMqEPPrguliMhJA9rYqnRkHKVv+i9IRNtV+KgdIms1VZp0k8eQ5nKidr/JIm62VmwD
YMhiXNxaKIlt0svNczRBQkyJ+tgPVhs+yYi3t6Upww+rFXt6pquC1i6MeCE2WjkiidfR0ckrLWkl
pzSk7q9ojIatrhndlzjQhjvVl6QtJuPIqYOo3jWVNxL1nZekHUmB5votQbZtbQm6Vsm0q7Urvy6/
AGOTSUzpgxuQQu3KyzJy3uLGCHclGn1l1bNhvibUTeGFfIDrRFg3LAnWIFnY1ZfQbsMWGs8YX0AC
qgqMBpEsIwr3Qf7YXnLd5YhdvdaMH5M8966lKRnuMzlDgd/p0JJaedQ3ARU6YmL7Tr5X6yF1BMWL
R9amwO3SMZrWRdW3V7YgSBkAk9lv8kCPbtLAj64M5K47skE9bSUhUF+DnyFWsVcQt6LhrdWLqTKq
mqBPSdvZL3j/VhDeSz7bjoh1Agszvx6fkzhQD2GaEOpiB1JLQEtEKta6G1PbvDNKIH89mTEswFNW
3ibjqP/wWtiMqWzDYU9pbFzhyczhsEHQeTS0FJQ/M94AoY8sL7cE2GCAlyEYGWZLaiOiV5AGR3Vp
/ylZiXnRRnqwJl5HWoNv7YtVjLFMJUDTaja2ATCr7YN8lylN7AiC6x8iMNfZdjAKD2sy3VDYeqii
aMpn5YVeJVrhwvseOle1C1Lqw4zYdbzNDS5fo23DdBsFed4/tI2ik20odOaBWhmokAKUyNck5YwP
fRCan9SY/cZFX7fKeGfxQ569ohNPqU9u5CqzJGNfDWZ3nVhywFVRErtS0BGfYbCbBN1o6bgaCMcr
135gVITuWrGiOEIo4bck9hPQfFZSPEqlZFwJZdJ3xGMWD0T0yOsOU90a5kG+LkQnB6siBw1L4Zxi
mGm2je721dQ/KapXkxYdjQ0C36rHB0KYORTGyppDE6ZMNtZGKHQ87nUBDZGBkW7JEzF2YijrdTJJ
ykUzaRVkBZXYQhgZTZVe9nRF13kxRNq2KtDZOuFgk3NdqGkWuDLPeWUSJBrsAqLEHa/W213RaF6/
jvys2tqSQsjwyiCQBzppi596TGQ4jdFMfzTFcB21SbgzbZLNi7i1t6kJibhptVHsoWcI4SSlhG1C
dBH4DCUR4U0ICIy8xFJbFUT6ETSGS2I95uHcUQQkvxsMO7loA8KAtl6s1CEByQT+hHLjVdcZDpzu
Bjti9z0EU5K5VlRnzaYX8Y8Eac4hKU01vMrJaYLcaiql/Llu7J9yGgUp4deovnZj50GKBUBl3gz5
GO2kflSfS2TtN5VuRjeGqkbrnjx6IgFGH5NIp0qjsorakBQUA93Y54ioxJs6KMo7vn71V+eLpnMl
arL3vWQnD8aYIN01BdkrDaN8AwULn5KtjMo+j0w4SX1Hlmw7kNWm9hokd13nk6cQjwGv1xBc+kTd
79RyVB5g+ImbvOjqjZ8Sht3pRiuvOi227iioVGvSUlXJSXABO3lu2jdGGyj0d8oC2MNQHRIlrNZW
2Ja3em2VVwijEicbQG/itwfXrU/yHb1KaxMabGP1QsqwZXWS6Ugjz8Ck/Laj01De2NIQPJOvLG2F
qMznRDesH+wQU1auIP2u5BZzgBzq0Qp1TrbuAg3DD2iBmzLL9a1n+nnqwFtnAbBigS7Dn7pNJhXV
oVLybMNDHy7svojvZL3PNqaoim2FHR1jGeTGYRWn1bVGnJRllHMNw4qLy55NpJlkRCdGexEJiBlZ
n2k4oYDErNq4I9JdF91fdgeOuM1Bsval4c+ZdkTIRLqVrhotAjI8iDxgbjXIUpeH7qaWq3an5kV2
n0eaWq4IxG4bEmd1bUtmWDqsCxpormw2icZUMMVfcGk1D5hzx5KvlctrLReBsfKnIHsMiiZbF/i3
ChJ/veCWHHQE4lResT9lFdDoeqw2eOrC6zkNwl/loW89Gr1V/ezA4Dn0NikMSRMs3sYsjJVqhKx0
lM9JGCsJk8eNn1hPaltrkJRrKd7ncTatJ1OyrzDMQxFuivBzI9KBlQtczroFzfgoV15xEKMwCoes
w5ppsQWpus5zlUillghe0ujJSgQq6AfBraHGJoG+Ia7ftRFIw60e9IMzTsaQrBBqpFvLj/V11qv1
dTX51pVc8Y0BrqWEMiZ6djXFBat6ZNTpbT5pdEs8xb4dFKnbB1hCoOQaImIbEGobCZzFVQ1tkNj7
qSXMpisyXFulHLuSGYlvyCjjC88yqh+j0OMrVInDn6EftQepjf0n2/M017Yj8m+msdv0ht8LRAMR
nQurbMD5R736LFeWfwAErj4H+pDvdDYXn5reDB09IVrGToinT6xOcwfTIvs1waL3aDRR5Zpeo+2I
mIRGmyvCzbJIXFQ2QRbCqtmnDNiBG3Zwq4II6JWiJnl/nZdZKe5sPIcEHOc674YZxHYCO8GIMafE
opf+MjkuO4PtD41LLOwgrXSjEk7Ihuxu8O34URNe8TRQ2bnwg665L+VpfGRKxZPoKQpgpcK2CfFh
XmT6JRPmNsifY0Mrd2nH6tPJ/4+zM9uRG8nS9KsM+p4F7gsw3Rf03T089ghJcUNoCZHG3Yyr8en7
8+yaQmaUQjGdQCGBkly+kEazc/7zL12PXbSdX+U4UxEymub1OohS/+oSiOswp0rmB7JKFfrtjs2d
lHN5FLKc7rQ9l1s7z9IE6ekcvg5W4WwGRHrhccqn6lQ3FGZYN0cSdzbRDBlnEgq2VQQ/964X2ipi
WfjmTZGbzTej7YzPfSeD+74Lmq012/5BdQZ0oNqwT0MCKw7HYG0WK4AO9eyi5gk3WFBQZznWrF/Q
XWicxKIZkaby6vElt6N0MwdZgctCkUuM3QOnxdO4YcWK2pW3KcLPZIMG0dupNtJwnpQ8mVOi90IV
xNniYFFvU9c1dottqCmeSI7F9KRJcB8O/OLoq/F5aEJnnThELOONGDRXtRfkDg7mtffNtOi84RE0
7o8+lSlevEmHBZjnYWJnWrSDwprCs0FJj1MxA9RL/sqTJM9+2Co3NdptIZGPpAkOxmLQsABlBoEp
nhOCTeOuRRETt2ELuaojBbgg0EA09poozzw8zvjl5j8GSu4t9RWC9AaV7GnyySKOYS3mOm6gcZVx
7i47m0C96OILkBPj5+R5tetJeV6R12RVG/Sg1JxlLrJzEKl5l2duzwIlhmZEWDt6R9r1+rvhqXaV
+K3xTTgzEeMpYRV1bBjJeEbkYayNjNDwFYWnELFjWHJVQXBeV15YdpvSQCoci6Skm2H8LSdON6/D
lIfcsA3MHnCYPiutp3RxvR9piwQr6kPCQNNMTreItKOnXGqbPNG5obaZqdeXxsWIvcukd3Q1e/nS
uwAgMy1+UAZpuelHv76yDcv5ZOqeQCj2OrDn3jzjkTGHsdlnETqvwinbVeFOUEHq2iYBfixIeUxt
HWKDFFYpstrJuqnLrMCKOtymYVe8lmqSu0nPyTX1J0+SyoeNV+hXNH5zdA/c6rt7p+2Usyer2P+q
k6ElLa6dLXvX5y5G46o1ZLhCJI3Dt2GK4joXbQsXZTKLiUcSN8FtVsOha+i/yVFlYIwFz8XUTbTd
GNMMLjbVWmYZ1/PQV+l1ip629tCsbAgfDqZNFEkvw0XRFf22G/qTXZGFvWPCvnz3PH+R2993kRYG
mu/0qm/wvXDubclDku21NPhhGgukU22J6looQeAWCcibobeHo2dn4csw5Z2zks0wHnxH91j8IOEO
Ox77ADm1uZKya3dGd+HxWd6Q7/wyq5pY5hZ1gg7mkW5DpzmrtdAYT1uLUZ65IJO5t43Er1ZOkraQ
FXtrxKkc2XIclGWFvaMDddJOIK1ugcPzW1E07bfCcJJz1E6uERtNQ6GQda6BHXpiF8Tb9svwaDd1
8Zzh6IcdkRGqdcMJ8NJ2M4kAACDToS5ktXWr0P2cVK55x4M3XNUdvUEswr6htJuJelCjHV4Ns4/+
ll3QSFYeuyiKMe3r/JhNi8HmbhUcjH6ENDF3yruBidVTqfzpERWx8zj5BAgHRrBMGxm6pFziQY3T
iZV4LK7Al4fKVtmZJPJLBdpW0l9NS8Y1Li6vbTxZfJa4uNarZq7mn6r0op/oOqckZorvX9kCv4Rz
wgTl1ExW98I4zNYrETXuQXu2vh8ym80nlRS0MUFPc7Jxlmb86uSLvS8bYX5Rwio/Rx74qZpwpN+2
oqifZtVZL/Zo07OKQGwdL5E3LhudWI8FA8/LzjAVMeotESclNoHkgqSxxNJFxYXfT8912ER3vefo
Z/rk52SClbROg6L4Hkky72XY4zWA+cB13ulyTaKp5haWuJ1Sk5MSj5FumzxO2vdIPGQ/Ps9lbg48
F4kF4N+YimJ3cg8yjZxyZdemLkkHb81rozL7U9hY84PpO2o9M7k+l/QoODR4Vu6tekmvv0aYfYE4
RnMWWJmkvrmdMFM9hRM5Vx5FwRevz/JPOqxyKzYTP3hJSqd3Vjjs9j9ABhq6YQFid3BTJJsb7BmM
58DovTLmpgX1VuMZQMuHN1F+st2x2DmOgvU6DGbyZPQ2NRIyveF69Btvwlofh12C2zEloJg1Lc1e
mFfDymdy/Tkh9/lOisI6NWWljnPBy0jp9uQNVqq036FF726LDsvmoBrcF4l5aRHbLHIy5pHgX+Pu
VHDv8zk5ecjIDwku9reOO5PYpYpxymPqW3Fja6ke+tKw9sqy56vUcoIb1DkCUx4/HDhQGh4w8sX1
YcqNYEs6lrhTgtpwPdLdkheSlteBj3K3oPYDuOjCb0TjNg9mPiUre9TlS0CImMJbeqwfGbC0G7TU
6mLd5Qx4vjJZwPCCNpCZRZcncTU1brq2jLS9C600/87wLjkx9sEqXiV1d0UAhXUcySSgNG3LveoC
vbILHX6Pkih59GTbgwa0S0RIkHYOhSDNZoXZoPU4D+5w01tieWZLRT+P5PczFMPgM6dz92w77iLX
DXYAtwSwJ13sppN9bUTk71ABmi2R1zbOpCOxpnuDbg6TD47dCKJLnX2rzEFuscmQW3Zya1pbFaLr
uEpr+6eTduPziALcWUtphc+zK6tk1bXQixB1j9+8vPSMWGFXsKm6XGMXHUj9aQ4MI2VCD0RjZG70
KVrk/IpDNw0+EUH+atGpdd3bvf1jNscu1n0GT6z0Q5y1eo0SnQObVj+Yk+hJuML7Hg19eYKg7ZOG
Ikg5aezCfWqcoaRmmtV10A7Rg9uOE99kEtE3r8ObW6lQHHFjDbaM8imB85CIcLyyy+TVMwt5sQud
+m1jFlZ5GHPO1E3r1cQ4lMhQ7mFdUCogfJt/zpnh71urG+gVCncjwcHPRqHKp3wWgVrbmJ88u8Dt
+YZtUGMTrHVCrekAjiR5CcGudy5JOqYxkGouG3vmFDTbuafxq0x4YMU0qW0e6PCcZ6YQu5bWC5cV
kIInFc32Ps8uNUihsEUM7ZpWi1xAR1BGiPzKTq3ltZeu91x00gPoqSMRR0XePbhdxQ6XLZbmpVYy
P2WVkZ472S/n2U2glARzqQ+jQ/pQ7BJGB8WE2mPNJWpvAGzElT35Xh7DmMfLxB/90t/AeHYeq3Lm
gJsqMXNSeX1lrfMJC3YAhAZTDreo/LNN5N1WNFlyZBhZfwuGwl9ZZm2qE5uhzqhYfeJwEuCLnS7q
htDNLnX2WFb0D7UsmganjzzcT340Lyv8DJ3bwnWXrZEI96aug+pQth34VNNkph+bWlmfG3sifRqO
M3hWEWnMUUpjhVtUsg+gxB2czLHvx7YormrRdKjpzOpQVLre+mEmrhY9+XudJbj+1UWJm4xJdM3o
mic1mO2NGk1rn/VtWwBmusHXUrbTjmeg1BtQAL0jJbom3DaUNPfzUi7UD03DdhPaWK0P1AypiILj
QkLgCj8YtVZTDRoi6+XB8qv2abYWDs3CC5NY+yJ7yX28umnuWcjDYKfNjWhq4IVsqEwoZL4ltvh4
h+IALbq+5lCDykDYlQaAS3PcS7xsxm0qUaX91Y/wkZZm6B5RTwzYqTD1nN0lLVfg6M5nIgLq6yYx
yM1bLiF6niQeYsVNm6stfEjq6MqZ1um4VNd1ReUQ4EH7JCAqA5C2ttWuWYrRQbI2P+PLQpXRkFh3
bRTScOOxkcW2mCcA3kT595i4phtzsZa7LrODA02ZYDlbeuYeeYs+5PiBs5WTGFrGxeSSTRAyzKdt
k9eqterNMC3pVhqd9WOUk7jNjXA6ar8Er277dLy5WN99UUDGqyWFUB1MlbddnKE+uFU5aHYqmA0z
liy7QYX07/CIcMkvnRjxk7knjxFBR2T2JJH1eBgbBCT2DtFOg5ZiB0Ey+kTch/ugmrB7iOyapHMs
yD7XDF/2ULzlxp/ZN8JCfQ3zInwqpUkYela2ct1hxZGscjMz7zslzesmunibtqE6cmJzqnWRTfEh
S3do1m5rT18XzzJulWi12JRY4m+aKE3WjEeEWGWziL6MGPQmq8VM3ZAS1002JGPjpxSMk7TvhZ/3
w6Me1UD7kZhLsNEal8/EywlLMVovw+7H7FOX1IJwpGTEBijfhd5sBXiTD/NhUMSYxFbVWM7RnXr1
tQlco33AmFvsskFV36s/bn01EaSxnktZcs7V2TzGGfklKRy10XjACrrvVsweG/cpIqdl2MyDHMXG
KV3aLbMX+87rh01oJe5Dk4F+WUsmCbNyI3FVhBGxBSFDjdjHnDKk/riYNC8hmcpg8c0Xp7HGbYLJ
8plKwHqYa9KqNBDbpgvlvKE8w9IeLOBcBZl5pVvhrmgOo89DkAaxxdfbiwrcOlD5vHcBI4EIRPUd
SlWwyuq6ui8HGd6UYS931lIVnzR9Yke9ptonPRTdbSHq/lNgg/cYsD93le2rT2HkPRjU8Vu7y7xD
awkc4C3OkqM7y/GrlNTRgcyvsyyyX7A1qg6gVcYqt8bsZZgbRjty0ltjGfVn5ROy5bagjHHKrnkT
iHCx474LGbEMo31wlZ0+MaCJnqy+rbedrxkmdi7R20Gr3TNTA48UJvTeInYZ3NwVnnJ/pL0rP+MZ
qJqYjIqF0xsbhE1l5+JpmZjX53PavAK8c1Zh4+g1G2dgUCDU4N349WVd4OQaGLGvhWzWPUTiG3Jg
knNnKeFtmj5q77TqQwK6PEMeg8w2QXCqnInWklrzcTFs+0hbPVzDA8iuos50xpjyvwbiiQwFA3oq
bi1hhveMCZJTNZCZDfZqhffNPEUH18PupbSK7FONR9iXZUm6TecsCnjOGrZjbjvVCoXY/ARbo4tB
HbJnbJDkcTCsccMR1K+mtnOPFRDPD/6sW4ODVLelX0VnX+IP7qpMrrGeyX+k+F8Bjvj5OkhDaHVD
mh4y1u2udwpct5iwEiokWu/ojEN2kmYVUeYlQRmXs1jObcUGssrwvL0OAKSXmGOuAFvllhC4OI0V
AWkdlW61OBhBjgATndlWX0WSmcdW9fO+VpF/VevWusqVKNeNCsdDiAnGg/AE3OkA+8aZ81IVX9o2
JUXALZL2MHR+UIAdJBPDCQqKO2Zt6HDrAGP7Tk3ErlV5RyPDIGELlBB89ZQxbJapCW7nAb0YkUVF
TpZBK9WEdDKvf4jOwLvdYlvPsqT+MjEp3Rtl7a3hxeiF1FEJqVgHpUDilo+GFS+pHb2Av/jnNMCB
vB9nZvLJzKQmn2Rjxn5n6h3QSPGpiSJyhN1QqvUU+Dla8CrYEabqfEY3x6JYylxucpawtWUtii1E
dWAQd67dEi/efH6W6WWGmKULuUSZSfFE3FR3F3L1btrWEBtpaL2b3CH7StOdPw1OVnwO50F8t7yE
rQmgfFrXGSNGQO6ZYD4YwSyekjizSCfe2bfrfLPUwkYS3ycPZPNCAmopu+MUBHLX69bduFrzgEF4
WHMgiX1UGP5PlmB9wGN+2U1DJHY26+GUAotuJieUBmmj5Ny7idaPMrL7qy6zuoaDmZnBSiyR2lGG
vtB1jhdq/pJROQbmcbFFQMcGnJWGjabYw5OuA4w8V3nPo0n8U7PPrKoo6FGt8Fr1kyXjphqsMy1X
ib9lFW0dur4jnHT9ojs3egnsuedJ8iuB94TMWgvvIT1/caIl8jcGP+5GBKgFaJzqjSOciXREO0u3
TmeXh4LzItxUadXfEc+hY9Mahk2W4sKWJ5l9mPA8PLq4Hp1diNAndLLqPGH2f2RSVz1Bp6W3KAia
Y8brb23rcmKgSYhVllkrc84wqynIW9dKMu23F72z9ZTubDLwnlOOXYb6nlV+d6HgRwRfAefHjBam
lwj05UcBNRaVZZszAgzqdB9qaz5UoNp4/2FQvxvC3NoCxVu3Y1aLmOKpXlscT0eIRNl+5sfcRoQ1
UCiOhdhhYuuccvrHjOOYFqmay+joKfYyJvLpQQOA3RqD0HZsyKV9qYvCvMPGzTribmAdStPqzwnO
kDeel6sfZU2I4VXX6hFqgt+7+95R/nMxVP0Xoozsb5PKu23vpc6tE/b6U50zwj0NViSsbaU7zAz6
HF82NneQE9flYM5hJczcjy8kehrZDo87i/vBt1Vbr7X166g7pGSDqA/RLHlyyojwDxL0oukR60V8
1es5qvcGwlpgnmq8xzsuxHfP4/zN3BH9Jfmlp74YrINy8YlL8Pg4MoWavjhBUm5bI2q2vZnP4ASu
sU36uTsmqL6+Y4rE8FxZkdowDmvWfmsnP2cviTaQScVrs4SAyG5uNKBsY7gdm8KyV3M3DlvtjO53
1xnrvdOXw9mtx5Taum2clyb37E3NmPWWdN5ab4RS9nUNULPHwdu4yoZxvqYraJHouKDdmYr6m3zu
8MgKtSGfBzjzrHIdGnslDH83EPN5ZaYEOMaTVeONKpripjEW8qIEaQMsK6zSWqB0BsQxftzEEM5m
Pw5xLxSjsYoM9k9sf+bNxBF2qHyC2FZJC4SBcrB5gHphrb3FbnFtEgYtswydFee8/xQR1e7HKWJR
EC3NOELz7R+SyK3uPfDYa1m15qZYFu/OifKcuUOZHikAxZGRHFbpEZQNEnaBJskauddu0bEAykrf
s/l1B+rQCHjSKn4sQ088KzyL1cDsUV+6D+ueiKbyvvAa8SOtK/ckpVi+F8MF9fbmxXvoa9TsDRDl
NnR1GAPpJT+gpH5LA9VvpDlS91YDAzzKiE2fdQnoOmGLPLzDzlS0dx02xJROY7FlVYMA5lW3FlZr
b+mR6dsI+9WUcnX6rEa0R6s57JnlJ/n0iEPCfItMfdl0pQfvRQ2lub+YbK/tEP6uwUN0yVUcxK4I
ph7j6Kq8VoafXuVBWNzPaJFB4X03Z244j6cx660Hgf1HssoqlwAlC/xe5KF4FFU1XZcIgNeD14LH
z2wf9z4hbBv2iWWTzUUV7pUJgItRXMvGiXPGq0U23mG0akNtjAX1xUlHBdGV7P/LiqhZ4kQKYK/1
VIC/WJaGso7Spt+z2WUmbZtZIdhNjPGMgSNy9Q4zSXNlSDt48pkWPkEtSa7pC+xxJTPjU0LM/NZJ
amMP2DftnSRznHhcZE5ManY5OJpofp6jqfiUQUw4NK2lziVE1StLBR6+jlndrkq7LzepnyYkGnEZ
ql1ddKKIW18UL2yqfndvExsmLhGQ0c60OYxJ0nRq51utUrUuzYYBaY0Kvl/w0d52I5qNVVW22Dmq
vvkW5nJ08Rgvs53nLMmjP8GPuukNw1xb4yS6R2dklrvNKN/y1WCCMO1GIhz4N/gz++kDnzH/DMD9
19ge1SO0Bn7dug9JgI/0Ij7Z7MLpllK5/25ByLmxDB/UpeHxhN4ZTDisM58us+cehdwZuWweK9cY
SdLh0RyDNiAmlhqrB0c8zEnnnHymZNxpTG8Z8bvT2VBetiIUx/c20vajar8kRUKOUxjOxbSCGxsk
6eFywwghSnhg10zJ6KDpaZJVUcgQ7N210rP0gqS+txzRPCWyLbN1oLKIaAXtJJrCMFdlHCF8/kGt
Reh1nSmtDvYAUMC8sgBiHoOE5tWpMJJbZWqiCNKZr43VQk0/4PvXdld2XiVPU63FBE/H96adb871
dExlkRJnj3bMeGnAZ/bKZqTNOTz+gMfjBl/qnOlAnEUt6WxDJbycEy8d+hXXyXV3jCCC71KbJImh
hi+AF+ymXHaWjeJsUdngrsWi7JuFsRAoSpGZOvbb1N30rqtOs1f4X22vu8S+GmFtx86CbVUCo4io
0sR/7KoGhkkGqcnxrJn0uUEfq9DKX93owv1oQA9X2CMXVPtu52XcOuHVNJZogcrUtHZm6JcMmbK8
rgC1k3Fr5mmxbZ1UwrMhCJIbFm7VoJwjgXrpTsrU/zbpPmfCBWR2nQSTm+wpd2dzU7mj/AJ62r+C
89ZfROp7D4QTKjvO4VWdGOnAjSs6du3W8AhgGlIKdGKDvPK6FPP8U7pztG8AZcDGZ8f/JsyFYr+z
02ynOts8l8hISFCUgIZ9mEa7nIX9EqFvlasxMlwsTdvhpe/64iaD0vXAUs6uu7Iwv9hjE8aNM89n
O/H0jeXMPmZCk1ZrHCjpRaT2H0KjM1acHP5P3JWXrZs3krO3MR+XZhm2PP/zyvFz+8qlvH11+wuy
RIRe9akN9cCiYmrNpQVdDVJSjrDwHL8bhWAY3WU9U2YggqAvmCgnTdvsIc3IryM0nJPR5f3JDbOf
zKCSK+3nYFeMOdPPGDoSsVJUeViuelHgfGTmgfe19W7dYm/U83axPXzFGJ5iNjv5eIxLqz2BEURH
PAuHaluNE8VLFjY5LCEvTU/OpJcfU5hpppCWgZZ2yh86LDqvqsyzf3iDUX1xGTViwyFaRTSWwfFr
MaE5KZbIliJabEbDiO54AKP7pi2TGzm43WqgwNvO2qrXpdLA17hwlBGcj5Tuu2tV8IgNcn7bGk39
dTJKENAlaZj/JH1zV9KfuKtp6EfnA2HXrxm4wR/+jn9ScyR2v2gJ33kXAdgczJmOfLJozX4/2XR+
PdcEWPorwZeBcLnYxSJ3DcvTu8rZdp+qhplamBkQVLPcVs9RIiglq05cMdum3cmBPenOXOdWLUEJ
La5c9BmAr/tpJQPDnSRV10NWUdTAk9yyf1WHEClankXZtoLPtWKdSmYmPV3A4NYMcEEbrgbg6XPt
Uwu61dx86jydcTIO9ifAc3MbMGiRH/zody7p21js1qsMqfNU7WTd0VVFkGsy++/Z/AVv4ypq5YkF
r3O5w+svj2nSL+GvwUfeam9SO/6lM/njz/+0HMAwslArvJX7tvOPBXa8m9yVxUlTOu1KXUJjizKr
xqg5XZIlDpfEJja+piaqZXdKmtRY1ja6vvqKCUgS25ljdQDgpGrlPkPC1e+X1a+vMKEWf11VuSvE
7ADH7QwzGK+i7GIc2+ll9/t3f4c3/tZsxJ2WbjJgEOykZUD2ow7clFAagNXJK/39R/z6BzAT/OsP
WKbSZjgj5E7yUdSTDlNnHv2/+e5vOPu9yEFviLfbXfIy7zMjGk6WUXxkAXCRLPw74z34Q6L0pyWS
hVbXG1Vq7wIRsakSWHKbdehofJlEd5jZBk/O3NV/i8OP/fNfL5QLUS8ap2g5lCyqT2PkTKdSy/nW
ZGD4we2+6Ph+9Xvsv36E2YisFaW1HPKClJl+ClyM1ef8sTPd8tBOM8ro0QZHA8n5YPm+dwXfkD2C
vLLHXljmAcdzaBKymDriPefW2VwMgY+6apZHYnXlh9Lgy277q5/4ZhfOh86MhtFfDp43NnjH1col
Zc8UF6JsBNvJn+CDlzbO/Q7+SwOjUriVIxmgGMXtKnchfKeAiyEYva+bqay5GPnrJNsMhpqgzzIL
htDpxElMb9pfU+HKCTFB113NIpuf3WTyb+yxCyayFEp1G6kkvekbzIgVzAW41UZx1n2KOfyiKGBT
7U9M3w1zFel03mRCvPSD0aydafDOeUl2ze8fwvc0zW/taRsjS0wX18hDGfL0rRYScH4qY/HM2K0y
44WnKD3UyjLXkyCM0XUKcfYngM2sjYpnA3HDbYbYP/YTF7CWWdFGuGlkrJIiy372A8EIv/+e72wW
5hsBag6LvR59dM0+Gp8jzlPnurLSD6R2lx3nF0vjbSpiZmLLEtKWHAaZ6rMzhyg7HBeGjlvju2EX
f08AFZhvdjyiQ00jT+bhMM2KeAWZwHVFbP/BrXzvEr3Z8eCSNt0wl8MhtVyt4gvBsIw9pfO/t0e8
dcCd7MKOmqEbDo1l2OAUnWte960q7jK9zKuygYQyL8RXVxlMjg9u+0Xs+Ks782bra6fekWk9DAdy
EIpvjkXXDLEkhLnYpNEakCT6jswCfqcBm+Gk6zZtP/jk967mmx0xwds3aTitD60ZvczSPxuwqT54
7zdBf/+qMN4GzEZVJec5zYZD1lXJsIrMfDz1iQQnBTuiQ0yHeU1HnhBTju0ZgxDvvPTt9LXvYWet
/94T9WY/jChL3VCYyM6y7PPIFrXGU6n/6BdeLtO/3zj/ra1uxHiSXjDoD5N0cNVwilMepMpeM8XF
xkZ1LtR/JdQpGXO19qaOaEWnwXGzrundRtlPHxwz7xRzdJ18wT+d1FS8WTaUaNOqigRoRCnWPgSr
puwOjX6tCSHY103ebmBSsVN7WRKPjm62XdbYO7zZy3U1pVWcGnxNVAygyl0GwyXQ6QfOU+8UWm+d
fB0cX+tWINBLQyjfqYNKqTZ0F0926X5wp/8oFH51M97sO/S2IMy1GA9TQq0fJp3dr5kKcRG8Wnq4
2Yzh0dGY7OU61PNmGnNajGzMlk0DXW9XDqPzoGbsGT+yn3/nAfCjN3tVWbST18ELPowgm6/Kj7Jn
J0B7Fg9qntZu2txnyPbXRcnTUds5TBUHPoCKIY+YH9n3/7rmAYr968qouwIpPEyfg+o/W1O3LcCD
3FaTX/TN7oMdVJQP/KJ+Xer40ZtNrBuTbtZgUftiMZBBDcMWSMI8WJmfrpqFEWNwgUh+/1S/t5ze
bFvpEmR+G3bWHipav5XM3Y+ItTi9aZc/WE6/Pi1Ja/vrdYMhBgvOVeZ+JsAHrrm1IFcMnyH7dEem
fsnm97/kcht+tWjf7E9LgOy9X5pqB1K3CuZh1TK7+ltv/dZFOCjVTBIQbz0KYx2hHg3/ZlP21kI4
HJjLLpNb7tywUQfZzcV6jBbng83snYX01kUYm2YyK4Uud2QbtuCB/iW/g+mKe40bit6nZWRGmypo
f/z+Mr23b4Rv9o3MVS1zSFnCjsr9XVeMwY9kntQzBJZ5PedFsovMriQfG+puzCvVoZwdqNYNPIYx
qwRDw0h+tGe8s7LfZkgvrgpTz1fTjpSpOEC/5Kblek4+Mpuxft0f+OGb7WDqdLVkSVfuTNMB55ou
ZbcTqjGC75AqwXxJtDtzqJNbgy4erLNX408EA9NH1j3vpOj44Zt9ooQwaeBWMaEwb5jtl1Y86DGG
gER1rTeRf1OiRFCyvgGTO4QdRGSElhcJraeTtR2kP/GiWKncOPXmJpDI42qyd5LuTGbPmtS3Iwzu
D+xP3luIb3YZ+JuwzCEK7kaCxtfo1huCcgCIMRVD3bogJboO/fRDZ7T3jou3vsgC1knRLqrcRS70
NGZCg/kdUWPznSlgTweJ0/uKGHXvO0mXyw9rsqwEsiwzxaM1duqDbfwPo4pf7Ejhmx2pDN0MZow3
7rRPrmbsoQk8liVKmWT08m+0PenOL3KLAe64XuDg1wGkggjrL/KT031QDG297stujg0k5hsJXTT2
mUenUHwJx64dgu8CL7rEj9CKFjMJerGMWvncG3PyQNYYWKA5W69e08/yg738nTPwbRyqYj2H4N3A
PGlX3eRVG2ydQcLF6ZZluRqHwTtCf6tWwO3TBz5L7zzHl7TGPxdkhtE5be8bpAksYYtpJZTreCQW
6JTWQt7/fud67zPeeKe0F/o0AZcD2nFak4CCb5MzzV1buuv3v/+Id07Bt47N0rBdX/XmsPPhxq3B
wofD4pXFFcpaBABhKz7YhC/bzy8W3Vv75nL0oCIl2bArUu9rr930i5hl+PT3fsSbDb5YYCmgChh3
ZuWIY9oz4Yu9oBl2pFaUt9CJ+w9u+nu/4nKj/lSFzxUDvgzrK8w5Oui63rqD8vf73/DeW1/+/E9v
HdWVWpKc4ekllr0YOQW9/zlu/1dpdI9Nxf9+G5S6e22uv1av3dsXXT7nX3Gq3X/98dfE2Ky/9l//
8n82dY+M9254Vfr+tUNU9F//l3/5z1f+//7l/3n9410edfv6n//xvRnq/vJuKfTiv0TKXZbrv8KL
Lt/kn//u8gP+8z+uX9uv5b+9/n8i6MLwHzBjnSBwrMhxPAK7/18EXWj+w/Qdx4nsy39C9/I3/4yg
c8xLcirCSgxI/Mi3LxXXPyPobP8fjhsim/J8x3Zsgqj/Nwl0xAz+6jlBs/3mkc+NSqdEOioEe566
6yo53MCBqw4qspaNFxrGncn4FFJ9P1ZWLAwvinY2WtFdngbDfVMY0YrhPsM7VSV7kcHejRx7+Flh
aMIBp4tvkzMQ0lWQ2IaSJR9fS7huG7OvIPhMgw3tsJm2FYkeiLfd7EEmeXedNWMRu+z+/03eeSzZ
jaRZ+l1mjzIoBxyL2QC4Om5oMhjcwCgioIVDOMTTz3erum0q2TOdNuvZpCAzGVcAjl+c850yci0H
qyTg7qusk/Rlq1gXpJtlfpQIBWKIiH0f9mbpH502L58Cs4YczirudeuKFipAnshnJA/WCTm4/KZN
YZ+Kuqp+4pQu3omphrWgDKX2XuvAwB5reTHopswwNUt5tVUyRmJo4F/0RnOeFxTFmGeYfNaZ/5zU
6XrvZLN6U3bLOmOcGQFGODkbP7ZGfOkLUviPvGiWJ2Xf9HfTlBnv/nzLQ9a4ve9VvqqrZ2pBgGwt
Hke0uJK0mwtSBrwhtViOKpnXZ1101bfaFumXvFQedvMimI8qMEGsuJmzfdftOF4IfkW+hdUu/5b4
JYpg4solyVnueIefrPuOMI8tASzTTx5Txn3h1tNvTjHzrhiCZYjyVKCG4QTGa44OHV37Jt9wzFlx
P2zOecXykIf2lKUAc/3CdmNFjfuWuDgxYYdI61en1vpXC6/itI1D9ztF77WFXcl+JS+7Z42Z9nHr
MIyHDqodjGwVoX7s5nqkko20p3uvrnw/XEqcpaGWpfE5YPSJcXekbIv62vqhpK2r0PYnk8lCoftv
Ni7aU71s4886z4yfrUFwwWaJoYz0MgUPU2YOd5vTPDZeUlyliRqbwN/ZJCRdffaZNLFwzrbEG9I5
zu++FOBsU2fdDXX3e+5s9drUS5+HJemMv8YExQ+G/I0+e91s2E/z0lWPFX0cS/AKhWpZtIjS2Sie
hOxA7Wxeb9zA0jVDmbJdW4X/QyfvCjzNF02uGc05l+drbsvx1TL8BscJgIzUCbxDYjnOQzEOgGQ8
BegAmsx42tCyIi0OWrnnE4CcQTcDr6XKDSyts/8TFJL7zS/r9GVp6+STFID+TZhpe2V9k3S7TJbt
STkzK27H7SEa+MltKyEQhH3DxZY2UbmYw7l1DAMbSeZ3bwzvshPamlaFc28ku1TzsnbC7XIowIuT
YdfVHrPuylEwgFLUT3vljFg4czNFn7l5Xvp7mCucM4L/1rIxNlvjmrX7wuYNRUZvo4mXBHi/+exp
V8Jxi+1LdxvVlWmBow4BBLSG3jbX5shIbHq3+4VNmt9pddmMpSNeF/gJiqm+uwTWYNV32l7bZ9qA
MfR50D/0BA+/Yn3L4wCbb34BsxLcw9hc9kPFxRsZw7IcNuYYU5yMTNvrYRVjrLxsWPb+sJkH0QAn
TEhA2fXtLO56hCM+0IupRhm+mdUSl6v7zcD7FW/dmxWk/G5XmOknmZTtqejW8rGYtH4etfAuEIeW
/H5yLHtC2YvUkd8hFIYQ6LNqjDL2BhRJi98MUbo5yt518PF/N2WfRgkqrdeKXfCp7kbU/Qkhx+e+
UuZELIgIngB1yB8NZueDK5z0I6urkRso79qTjzrMi83erSFqdI53zKsWcda4iSt8auuKJMV470vE
i6EjJk6MWrc+nKC0wZy/ZNOHi9fle8GcDRRUU85fmnLq31ssFwhjzSEuCtXEGzK97xZMhYbpMj0m
qg8jHeLRCooHko31vpdbpfBJGd1DBpEG0Q5QknPV9bkdIZrnKKwFqkSAMoEA8L7Y59EtGhkxAFDH
ZDODgT2SEl84bvRTPRXzTmf+gxgMsnSzIh/jzBbeK2d0+mhpq39Dx9t+6L7vn2f8qd/JjOxIkUZ+
VWDd/uVWdf11FHXzi6FZSzJpM3lcmKU/jrxHr7p5nDD9xTlkzW2/AMc5Lc4o7xh6qDNa3u2zcaT5
e8ZPuuOYFDHn1XrXkTyDmldjAVCu212zFK4LCK1iCbF4Bm5U2Jp3PsjB3dUq8C5Bip7vmM1teymY
GV5xmloXYo3ssAL1VzC0WZOTx2olNnqn/FYI031R6zK+1MS97Bqh9b1tGOljidglDTl6/SsaRErQ
bHJKBKhpwtxf2TnqptzIX+jnZg95fKoSMBiWI3mmYbSLWwxyL+Pqbd+ksNJLwswh5c4crHt2mfo7
X9+2Hdpt0BfJ6TtEZd3kWVynMLcAMamAtL1g+50nPH5wHikEilUCnclfZIp/GQvfaPbpSy6rBnsS
/co5SSzzkGwL9qfWSL2dbrTYQi8FEZBmXE9h4ncJwj6XsV7Iwowc6Al5EzwLt+y/FZiYI259E6OL
gQCuFQQ2GXmfcLXMNp5KPx1kGdsob6cQUEz9s5fSf1P9VpxbpNHfSLYeowoLSR6a5BCeEAN1P4gk
2869N5rh5BGCGKVL4LwvzTpHMzF0iOCT0XqF2GXvhsLHvYmOHVGJU+iXwRnUGfGYPoO/FXEgS3sO
C3/oXDA9RabCAbvZGuYlD4MQl69471E4DlCjiIfEQDgYHfbhPPnJw2WQd3ne6HuybNdvm9kvv/VE
JN0NUCR1qO2N6rX3IEQoeCbW6KQxVJRSgSg2zKsWYjjWbqHOuti810YFOGhzmsTHxWnFaU3kTQdv
rVfst+0PMbibDkdQJjVyVtwkk1eDmQiYKtNcwGRw2uKyuOnTvM6BycjA9whpnxfvtepMPcZGUndX
fDM3a7uZ6HHfWK46bXO+d0t72tt5/rNeTdAfYngMpjaL8Zb8wuF911r+fik4jZZyu1oGWirNRniQ
Xne/FarjGZY0jxjF01hUhXxKXY3gfFqRLFZSQWjSaVUcurEixT61e6BwwKL4MDN8BmZfD/vEyu24
RV5yrnHtc5SVpAdWnacOOnWzh2adzJcsc1waz9XcN1trsZ4onOB3ZxXGwZ8BHfUjCJnWSXGg2U62
S3xcwQuOodjg89tt44RRK8B5kJlgszpGwwlwGLVGbCL6jzWnUsUyNe78iddYNpPZIkqexyOuXfs8
V2l57/u5+ewX8MejWYrtlGzc76gGuySPymmwkU2DNTrpzZt+pp6qThhdSFYM1BaZ6bAj3x0XpEEp
16ktj1oGHnd8ouON/CTsvQGmdokWvtvjWKUd4cp2r7kt4fmitfC9NI0aRrgHU+T1w8q69i4xSM2L
UjS2n0uqsjokGd7n2/aLL5se6jxy2edjtaFGeZsKNWOBRU+HHNNoo60MnBPnmb4MfS2cfZEYlYoF
hoMm3AbXulPpvO17XY8RqivYNZPMv5dbbfzGit7xJOgnDxk1y+jEqru94Mc1YcslHjpcsT9S0Eux
KIvtXnTZtqegxv7TjCVGgNpantyts5kfBf0enBrQiCIhaw3DQXdJb65yvFjvUs3bK6PB9kAW6HCn
wA9gdlXLvZxF+VgiYMd6id3TsfoUBYO77jlSXPT6U8bTI3MfsmkBvVg65kFDHRJhk7Xu/GAJLdUN
7o4AdhryfjtZ05jCogry7mefFf79sE7LIwSW4Fk6sycjs/GMK3txsWMWymTSKIL8fQyy/upmsnqY
rda9WHPQvwdB0q/ncoAaQwZMV9+ZWzkkoennxvDu85iK8KrK7dhiovqEWuMcutTA5JQ2CnAaJhXc
NUlXcHAk6drGdnOpGhyyWaUBP9TlCC1tm6eOpsZexCMHiJfeLKvy3vZUnh2reuzS2O9oOmbdevae
wECSjl0jeTY74zmhzQKVIg3ziLK3Pm94v75uhh7ekLkjn68sYAO+Tk/Yh5ZrL1vnYMvvtVQCDL6F
jUVTF7zkG7nOi+10u802/W4nxjx7YkSOrztoR7cL274G86IrOqw5cx5xl3vtgbs9Se9cPeOimPOF
ADk5o6EIl0YHp4on80U5GWyZaeqVFXGS48CWw/hoe1VCrT1luLsaqw9Nw1h3xIT7gEqKoPrNr3XO
r8LMq8jVWYsvqYZPHVLPjQtWroq635zH19SxfZzq+Sy+Tt0g3pTnzz2nwjqfgRIsd15CkT62wrxr
IdJ8n4xBPKPR4XnTNhubscxKrr0fODscQfPZdb1hVyL8/VG7U/kMsrrTUd118pIGlftNYdAJtVsb
odk005PyFSQbuYl9CR3u66CyF2ma2VORalTkeZ/iRiuU/05fl8772fXcC44zf++C3jEfjX6bjJcV
NMi9P/vvILXMjwkHaJgjHrtJWm/+fGgGUdG7AXkdfh2cysXrkkerarzXzcm2L9g9994AWoz2/kvf
gxrQuQtsUxsFdK3V31XLagLVWDgVACDNWzzQH8EkcdzndWyNt9wFtjlXLS4MsCwqcgqmvLXjrW98
3OAP3aCrbgij8mKamxtVq19HeAmoosYyu1uHDbbS5LrOu5nJ4G0rmwRrMvk0hWfTmfhp3GhfvE1B
7T/RSZv+KUBpDnGAGo3N9YgTqJjFGQGYvYObRvrAJLDdhYFbvDqMgsJA1UucO5aO/YwPlVIk2Q/1
SEVisEBDcFLWMYOJPBrgtz1UqJEuKyvWp8Geh9cVJBcL17G+JtkKCwO9R67jpdvaUzUywfDA95rh
jOFlh/lV3nckvmVcuC3Gpq7ZTB2RkBUsYcr1cu3dfuyPa4s9NMRYoR+3FfjMrTAC378h4w0NapO4
Nv3N2jVd1wFRdGA0FvbiYqEcx12qmic4EAEOzQAveQB7lao8Ae00rInD2TeuJ79X88/EsFreL2w9
mC1QuGFKPYhWN5HRCFHFnMwr2DOr8191i5sqDnyP5q/iwfIDIZOPYdbdIHrVA/28kVZjTjkBCXM2
eR45Os/zPcg1rMSyx9qaMVa4rr3WPwRGqKeispYbI026QAeK+VshW59bks3ALsVM/pAlbVI/2O7k
DUc76M3Y4RI7gIhh/GEE2T2ANyeWxdKc13HuP70J6zD2zu3RFrT97uKkJ3iB7g6GkvgPJdX/z1PN
G/P5/z7VvH4s+a/2L2PN2//wr7GmIb1/UPw4niflP8eQtwHi/DGM//N/MCmT/3DAJkjTE5YUwmUN
9p+DTfsfCFdd0/d9IYmjvUm6/mOwabn/EISjeoENCMZxbSb3/znQffzXYJ9Z8L8GvP/x7/+eHs/s
9N/G/9zrDEcdzzQ9z2JECu7hr1Pu3tFW3jSZumZzkPsxbuHVeihRJdu/jD6h4KoMx0e56ePj3icV
6XFf/+2z+j+8gD92b7wC3rcDw8lzsdM53I1/fQUseeGWjZ2+awel8HtpVBsvbupYE4CnIOvOaBxs
8Zj0/QIfpSgWzz3jOhvbOkqpTAAAeIidnL/Tc/6xnOZ1SWSgQpqAzJBW/JfXZZuOGK25sgCdsFyL
Zethn+5zOeuoLMoUtEGx9d79QKIVGo96CbJYOjU0lWrQefGoVsAtjDszwz8LBHTW36wlrNtq438v
boQJzEoI27YkW1Ha0j/x3jDh2E46orvLvXybYrM1nfXidIZ8NBaz7j4XNpvjxSodMeyZZuUzjhu/
kT/XMpv6OA1E/xxANNaX1B7rbV8JHeSPc0Nqw+PffMN/3XwLy7QDyRye4b1lMcgP/viGrXYl/W6x
rctmLtVyYinXJSdVyY1DXQFn22Ve3XzAa5meiJIqV4gxahBgrpcx/xs11O1H/duHZpmOtISQNLa3
C49/+OvFRoOeLGyY5wu6fkZMyqqH6jrPmyPCrZyK7j33MGz8XfblbUfwx0/1edue6ZuCJcWfRg16
KVb7IJEvELAga05br3CmeKVpRsyBhXrd/mknNho3Xw5Mifn11Sik/n/aWvI9OIFwA3nbpXiOK/68
YuoGL+3QzHAll8I2zgqf3gQFpcB1zYA0b/9mn/3Xjck/fxx3j8XVGSDYCf5UwzgrprhMdfXF7tuy
XKOJISxVrAoAg/yNKumvegF+Buch94AMbL7Y29H4169VJaknU9fGW14Y6xQDhr59hAihnEvNs7D+
0uN23U4UW8I9/vdX93/50a7r+tJ2+TxtXsaf2U14EysnWBl1eIZVLAfp1XNsl53tPcAG5o3iN096
ZucT7tH//if/cQBYgjoY0b7r2QG3v+39ufA2GZT3TtOdh1RZgAlZiQz7fx1HlPpcSf/9j8M9fBOK
/Pt1zDPMgpDK73huYFp/GliGvGNgSLDOYWiNtd2lxrB+jhgA9dFJA1fsuK/bJiqCeov6oPB20K3c
C5uLROwSxnAPjg+XDMBeQIoUXDwKdy+s81ZeEuadu9lu5ghsgxeCvtDnyq2dN8aBLHNMw3ueA9he
S99YO1Yk9zjJsxeN249pUhUkKjD2Kl/y0j2bxraMxgcwWUhOvZo+A7DbP7tp0HuizaoTKyFxz+Xw
s5464yDMcrxaSyejTph9FNiJdaw2CZrUVja4XEyoB7kF8tVYhAS2BMq+Zl4QLl3r782MFrRfWhXn
hrllYdFUJR+KDUXaInLAs/rnzKe8XHVd7ttJFGcyn9NDk9Rf5q7cKEPtZedtbR9ra0oOYzB4x3Ro
sx/dNH6iRPIoi12mWJh9tzCZcf9ALinhBS9upAQKogMfg0Pb7Xb3o+STsIyCLVfXWVAFKM5nYXZf
QQrWOxs+ugz7rul/9OVkH5JV+PtGJO1rqga528ykiXk8Wz/lbK8ZY7d+3a0tmnWXScDgeAC75Yjx
3RutJyzG5bNuTf2pCwDtshBBcw58R4blKubmyXEsMEK8Emi76WoOkWg8cFyTlM53AIdpG3lmoO7s
dhXnhUk+gGbiSdi9BYfJ614K0PnnNvOWHafFjYaoMHFn/GfNNIzwlIzAMS52Omx34GGn10SW2Xuh
gbbFHA/FQ8nA9sWSifNggB/+WruoCNtMBzs1lcZFeaD+llyuQbQGLv2uYvd5oLfOdgbdPZ7JksVg
HEB3+1Uu4mJbQwX/FbF0WgR731CFqF8AjnBx3S9gXKdzm6wQ/DoRAXKxwqpYByKQ0uWiaS6+0Wfk
qHT6ujhmhjHhE839kelE/9VOzeq3swrrhKhyPhSOgsWG8/Ve+UYednOxN32Iy5OprhOTbabYsOe+
rO6WowDiG9Lu5u8rmy1BLbpyX0y4Cm170FGPrfLqJoDFOJP1zrLtpA7hO734PQwZW1Ss4drfHnhZ
EMLpyerW+sUS2RvkT8AFCJH3fo9hCmCG+W7l8qBFDSY6nbq7NZ3MyM2nh4QF8oFINmRsVVkcl3TB
XG+XZWQZCQJ91N/zXlvGEDG73+7n0WchjtT2aNdd+9g46/DibQnwVZWnjzmDmLsidRT6s2W6GJ1n
TNHgawGOYSZVMhxpDjHo2lqnO0FmO1xDOLoMcPDpfUAKs0XUTmUAomeprlZGmsIFdlBVfcvKpDLe
c7IiEv4QRlqsZgO/yK5d0DXFbysprE/FN2d/ZcbYPzdrI9hwg8od72Vhe95b4Pd58rWH1GbWYb7l
RX7WnmmXn7LVGLSxKgzei0ed8buX4CspB6d+e8Ramy4HO5d46kEjWtX+X4VZY3gTwJ7b5MU9LZnL
qyKDztktmAzMnLn97OaRHHSf71cDlBA1ZkZVN0ys4PdB0drZaR4qZvntWvMnaMfIUC2veXnFO+X6
LHW7Sd6lzW0+MACTLM94MMuENUC5tP3dwvxOM15NeKjsVCsrymar51z5OmVEXYd1YiMHbMwp2CKn
qpmlupyjXtT67ezegUoQ5VUFrdoeXVPxhLUNQjs+tpX741p3pfuDSWouzh2ziC8NzEnAnYXVUx6z
6OSp5DPHF98W0IjLYWCJD+fIqEaANi3O7thJaOVF2G0OwUHMv1fczAljx9HXzzga0vI8IT7eHslA
l95r7cm22lnMLIMp4urUIlSz7GTIF5vYklva3ZqPZoPLGyvbFe3FZgqZnfC6dbjMakPms7ffTL6h
DOpDHvT9Lb61ucJ1tZ19Myjn2aEZKvI7ZTbgWiPmtqqor1aFezu9sOJ0Aj9S86I5uzjlb4taZ0Ya
wDeMpdq1zYBYHLPVKPIyjUSFqCgIKbFWZdmRYpNtgw1vhtXib3IfJVPl1kI1kBL2Mq7Gzi8G7RN0
pmAN5lnqF7Gr3XI6oHMBDm84eKjvBOyr9Axe3HW/Bouc+4+6mflaDGl2eoipuwqeljN/WVAMm4VU
u7TFunhnN6wpv48zFAUOv9as5O3xlLTuhwtuonOw8ydidOKCrij9pProu6cN1M2GoF65w3OacGBG
TUPZfmwzVA8spe3Bu9c4RPmkMks5yTsZAQ1HVgJ6IHlWtgUiNxyY1jNumWmq4BdVa6aKz5yypWdJ
XTUasEWduKod43ZYbarEldyV4tVQQfbmp4W1M/IE8qYEr3uAqKdOaV8luL1V4t7D41u+i2ZIvlir
Ds5dkwEYZjATy8ryvlKWv6khzU+8vWY/k0/OPIuxM0DC8uLhnqv2irAbdJ11O7KRWX4oPSIVAUxw
SMhnuBpIz6PZXbnO7G44eUtivEDxaw6wXXi2LG4feUQ73sau5lPHuRIHQ+DDTdIOLNLAi60pA5Sl
lBX2vvQES3N/2qlNt/sStRBkf+BbXcBmO/IWDhbZIu7etDlWz8x7qlga28Smh1Z0iYGwV+dMyhue
UKj26ou0Kk/B5pone9Poi+rSOjog5HZFPZNKnM1frbWGGuUFKVZhZoahCRDlQrzzenYLoaBu34Qv
o1tdILL4EWYva5d1rSchjXfip5121cEpEhFWy8SOtoabODZSPbUb6RbSaXE5wJndNQOEh63un1UK
zmGw/IngFzwW1tJmz8SGSH7tFhJRTZaMGld2dz3DWwfkRec/FHMfUCU40JAnOJBR0EPqioQxaVB0
XV/vcvyMPPO0k62R4+fa3N3YVp9BYsi7YnWdr3ZCMwyYta3gORrKDHE+5fspH0YAYqJHpolmCwaq
Za8CO3pay3eXsVtxr+e1GJiVuzldpxgKSsAhy+JG3NAWXSOxZK/2hNBlozxQIZG+3UvOw/qcprn9
00nb5MLE2j4RPtACKQhSfXCwIgWhhE19hJC1GnHfBgXcM9iL5wUp2Vs79u3jyCJsCnn38nlUrcUz
n1UWoho2LiDXtP2W2478kvvFcs76oX0e88Q5ZbfGPnZXOD+mWhg19P2Q7xC/LGWU58Ldm17XeVhq
Z8g3Eyy43+O0Bl+FlUNyZwh42+JCQ0O249KFhb2xMJBUMiNAgoSdI38whAClmfbHw+hO0bL4I2IM
yBjnOgCIhBSI55Yu1iCDy9znE/uvbrpbsQp81zIvX6xqSRLGxdP25jipxwOlI3PJb1ka30tMp2wO
zFqxsexbMqJYahhnKdfhy0jD/8SBzuDXMqvioV8S0lumuYuXxazW/TADltmxRGcbaFSaZcRqetM+
IFUGR6WXDkdWx/PM57uCPAkAQINuWYvqYq+psbOybflRa9/fIVmyXvQ0BJF2Npy2pUj3Q7+QuZCk
eLNg4rzCtflhtaV75A0KHbW0WG98tITVrRuoH5v4MT82waPtDTtbD2k2NBdF33RwvCmNleMTiYML
M9P3AfXho8rN+YuXg63hOE7mL4vTjGcIOuVdOZX1lTX8FaDB+GtWY3L1KiiTNvSivbmsAhBl4tUY
lPz+sObpWQayYMZUunYEwbe/28hOOJaDPdBTmaNx7Mj8YUK9GT8kjQrOSWPbfnGzEkhgOl7zXqGJ
+iHcZj64k/xtNxSYvJ1JTlCNHHeiXJlprvKgOIIAsHfs4Qm8sPL0A+SNdzZm7ou+ya1DQUjZYUVN
Qn/VDFdYQ/3OEt3PCZaM3C9SlLEhtEVMBytITT7UkZ682zWr+BC3RAZrqC9oI2G2zpjaUdGYryM9
wNmkio3sPpjvxzl1o022dph427jLdeF/E0MCP7bQnDrwKg8t23Sihzr/JHDY4aMexM6qczO+QToj
w1V3FmYWqp9BRWqZh2gErBzK0qvOLWHDu1U1FoCRwtx3bmqeqga91ZhXeaTlcEwSz6Ea013g7B1B
RbXxgvYyr5N4M8tfveODt6iMYKe1UVPojOsRGV2FIm2iHYUGAA0thRW6WM78a53dLx1JXOwtvfQs
ijYNqbKevcrxP+mx2hfCtLp7OG8mRFEP4DFhUMb8nLgUyAQPTN2DTR6of11r7q7QsFN5ycDb5JhV
ekm4nSFGyEZGu3qPeSOMV0F7JQ9SJ3lxLBqW6WEnx+Q7tQ/45zHYUpBUNXGcpv0NuN5waPPOG0OZ
Im+BK1F+lUvlxODe+5g9kng2SzDu7LKrE5Ee79Osu+c5W6ijVKIfG7zo53ULUs5s37ok3jpGCXXC
S2JKHRVEzBHVhY5gEY5kKdgjRXEq4yEvbFKoLPvo3Sy+oVllXtwE1XUyOcMgN/oXJGi8CN3VvzjK
BgI2jOWtnTri5d3Zr07wGNd4HamC2IN5xg2Iu9wvvb/ecW9jGdJucLeozDsXSfmT1rh4KmlDQL4q
+6lxCdpweEIdl4bFXWqmFGVcJxkDCFWe6nYpdqtd5S9F0Ol7l/K/O2pzRUUh/fo7vJ3uW6eUundN
gG6AvtSxypXxg8Ephzj62z1XtF8epW2w3V+GbY1SJ7E++xkj+0a62q4jaACpnnB3kB1AjFhl74Qc
Of5Al8fJSDZqg7Qlz+poKNu3DLrno11W/TMi6DLKsKwQG7iaNwBTeQ2gEp3MZh6OhHP8zhECjZFW
AythMHuEspA49X3ziZxC1ECD2vDc5vpbJrWjGmbZVPV1lK85UmDTeoRB2Z6T27PWVPZwcVwlr4u2
3XvGis7ToG32mVvt20edwWRtUlfhM6z82z45c8KlsG6Jtca87AQFILoq2Twg6st/BBXg3zHfzM+M
gQaVPRrcEI1oGjOoS15cc4R/7GkbAiA14V3j2uMe0rE2IxKDvHOXmD4Zf8F8SF3jpM3OQkplmPuU
VTMinVtAGZlG5DZOzMpv3SRMMXLqDlXrwiZ1C+/7UJr2j41ZzBD6E+cY9T4fmARuhmBJ7fgAPio3
eOvS0kDG5QbP7mZ1O2sm7mZN6upozWzNifcbDrPqi1OKSDRKUWCsYT9YIN0r27Koo4V4M201Pi3a
14xEhOAl+BdaWvHF6NflhzcMzZ4JcO3uFqcH5mL43XudzuujRH2B8IFMHMREeGREzLhxgntfVt+r
rZqH93XlLqc6CvTeakreWNO37q+gTpcPHpYaQZOV3g2snGMH+qUk6m11XyY3B6EKGKq9qwx/5sS0
J91FjkznOEdEnsMuKRAOJJ5MUDcxOfppkiuEWpzDboppu8QbK8P5S1U6IMrYpGcEigYAtLxR3U1c
2NOIDtrSs/LCHEWSo/JotOTY1U685EO2LJSGy0y0ema9FRqGtNm5bz1PWjK3yvrjlhjDcCM1tPtY
jpZaWhxnsiX9JPIcXhuSrVsP02dMBu5JM6GXJFSqcg9MYEboENsS8GjwKZMuCPr4XZudb3MFsNar
cIPfOuzXAWStQd0IGJo7zPR7hNIIq4P7bfLzLW6UdvVrGozulTyWxrt2c29636fGscvrNs9rsku8
inRKtElQyppKAuoNNyX5v1ZVMUTMALoFdwGEdPG82g4S46gxEWFHOS+MHiHvUIkeCP6jfebgTpZf
oKdLNJUJxsvkS196g7O3WAQMezmnsv7I0ZVszz4yWoZ63SZpMUuvW/sDoWd9dpFbuhWXFJ2a/+gQ
udHDKsxyJuwtKWH8zbXUSgtlplJxGC4sw1OgwflUHEGO+PeVcHghWyGS/PvW1gSv1MlG8zitzuCj
iYT5J89jYdjLg+0MNP6lbzr2RXXWQnyVU2UGianrAIcs7lRq0/4GiVM/zpvRmXu44ANTkJJa+qSm
aq0v0kgZfZuIptzjxEnDYB6tyvImAAtLN7J0M7Q71gSJi/2UyIcDpSnDghTJtXVaibeQUPd6GPGh
K9b6bDJemGLXD25pas3SFp9oHDuaIE2FfoIHr6z9RoQEoZ7MmMf1c7NkD8XeTzfpfRJTgWErWqaB
68mystvKrMVWunegAqKRC7Snn4VZ2fSlo7ex2QNA8r+YO68du5Et2/5Kf0CzQAZNkC8N3E1y+/Q+
XwgpJdF7z6+/g9LpU1JeGZzbQOMABdWDpNTeNBEr1ppzDsKzskitAYtC0Vrtd5S2zyzGibimFkoa
KmStvsEFon0A92qZ8MI5rTWc4fVm8uOQozFvTsWEJFhrGdWafcAkw9rYbcw+2ACQtL7ULdnU9yOi
MW5dNtgq/5PgWnhYTPQHFmmk2qoWzGXAaaQKCA+IAkrM+1YLMAEE04zrTS5jciRvXBrbJkhYpDSs
zvpNHy4lAvSgEtjveaITEFSiMJElWEtxnSQJ3zNqEX5EmwWEWnHM4lB7DhLZzdOmDUczoo5jSuZa
PBp7tsDROS+Uuoqv28x2Lwr0bKhTMcWJm8holWgzxkTNYpOBEdbOtrNN14TbLSw4vjXNDuekNT1a
SiMb1s5ZGnIzLVuQhxiAeZ+2sW5BeXfzpAi8kTBTcI91RW3FwjfVxwLxT7Mx5CBtaj5mbsd2tBf7
aJJgFh2oeIid8b9NRY2vt7XRp0a7E8hIcrcmJ78+BI2JBnNOCUU7K21mDeQkV92wnfvcFr6zDGNx
ObY1VB9izGC9kwXpXPYk4B4W/sXmFkVyWn1wWg0Swgx/DeHlklRHjppiPjGD6+U2aYjN3GeCdOHb
CJNDgepnJGfQUdQhuawXdC+0FZDLwtsoHA99XxVsF4p9atjCsZwzByMIALaKVs+v6B8nR7ODDWoE
htM8DU4ObEAlFZLumqZ3DhaFpWzfjASqkqchW/pIavtwHebcov0stKb95Di6kVKUltzuPmzy2cOI
JZ5klvO+lVXFYUosYfVJ51Z/oEeU6iv/oJy3FrhV5HJxGejezMIQ+OsbxhINwEbusQPzaHRJNn/8
9nJ2jcYzaquNU+/VjuSAFKdCOy77AoTD7EWWoDGYE/baHkWSA1PIKBStLRaECqZLXRXIkJI2OWkD
ES2bWNe7wovUcJqP1iya8ArUQFmfEqUA2kIpuspMidVAfkmNodmD5hUQIdzEKmXsJzy4cis7J+0h
LivJaZiRcR+kqlVfZKuO0Rc0wNpC53lNVuPCEZuxw4SpyyNDkTx/Npqedz7G69T4KdI7GqdhmTGa
cxedL3ctxMAtqKSRpTux5OFuFMTxe202dPYCIifF5m52spyPnNgZD28EK27yJaG3kx7ZBqz0AsFk
UoLYUHlMt4x/6awrZmUVUK6d+bGeCc0Vc8pQnEFEw/rp6Bqr15QW1N1JM6JKTx1p5UdzSVQIPUas
kH7cVaUIHmMZmfXOUTCqaTTKqbRZpyFbX2UGPbErhwipcmsnDk+E6LoYiGQGnQPb6dT34HjbVOE7
VLmS5qj7iBY8trmtSG9U7WS/CCc291qUdYBMB0g8BtgItFikhs9eaKsd72tSNkjil7b+CC2TY3fX
xpq5RVYdPTe1HRDJkSaZcL/tEd9GpVMeZQlYrkS7M5E2hhdcJLO8gUYZ0LJgmNo9VnPUWZffVkxZ
i1R7GBq1JPdRU2OwD5ws9AUztD5ERCH33DhH2gx+DWAU6wqsFtFeLNOSHAS38gAZ1Ujcude79pPV
iAAIEjseq48F4mz1ZPcPqdHYBjk2WfuCAFgd/GG2l6J3ZVmNooO/gTj+AuTirFKzhXWi7AvZ8Vho
M3alnaL1ZXUNuYTmCZjHibCOAoLxlULnE7gAdBz7NTNtM7sAXWW90Wao53OrdAb2KbbF4Z6KyBxu
Qyrf5ToQgz7cg2ypeX2ncjgQom0N56wI1eW20W1+00JahKzV4UmKYWI1kfGWFNasaltCTvLupC/I
fD+zn8DX9rhkOXlO9K8X5bJlnl/txiRT1b1pEO/CwbIXhul4HKGJaHCR/9XWW5A3YbqxjTAqzyir
c0i0LFPa4imqTfCIV07A7kgDdhgojKeiLmfAgaZdjjPdeT0ffGtgp39t8sEcPfLLVhEPwwGHEUHs
oEOByEElP9Avhe141zbZUN1wmJhJf9YI5T7LrB+xjSQiz/dVkCcvaTOTNb1Je7tZe9gTU459kde2
dkn/Ka99TnqdTm7uykEoQcmByPpWI5lqr1N1zWRH7/EVFmxdqDIkJnJ+9nIZIpH8pMUzK4BiaZHS
uTZFZfWKmrwz6AWMQ3YRJko13dlVFYdeHPY8Z4VdcNPUxDFLwFGyqvYAc8LGzcwp7e8WlZpmrwI9
6fbDIpVHBk3tfhzVuXKNLimSM7Z/8KFuaA3zhHRHCT9LyezzA2dWpXgOCQL9KBWR1NgGNIdz4DhF
llxxUdFEDcDMMkKT3uUi/OgM7Rg9j85UBx8Ic+DZCGhvOl8YsEz1HqpWMBwI8lqTmJV0oYcdMYo4
6UWqpxe4QTTbDwbSoe9m+lkVIUJc2L3exkp3LnI6KJcBWoxqS3CLSJ+A+gYs9CnOckAnUWS12Va3
DWEwPqTo+hQRpzmQexuUtuUWc81IMUtaTlRon8HgLfm1XiN5Yj65OEQh8JFHovl1FO43VcBY+lTC
hWo/5kXf4D6BXgY6dWEK1Z+aSqyqezR22jpkiZfz0nRCXFZ0yhFky2wAX1WOHM8IOFbKbsbUl9Ux
3ZHCHC/yuiuM2wFXsrHPG421ueaEnl5gI7WW4zDAPwv9Su1sOblKOrfxIW6D0rlOAmnIS3vpAsGo
hYoFk1Ne4bCklNeV+cSZAR6CqtETeZKmEjs+beC8hzKalGor3H40G3qFWZgHtdd3tF4aOqclCRh+
jqYCR5iurIrwC6XUY+JI44xCF0wH/yxGgN9rO96pANfjuymo/Q3TIEAZRcuP+hmTmrqxBqwPhNdY
+l1nzE4Le8Co0g9TZDK0czQm7td41XhH8aKx/Xz9AP+SaPQifmvKtvzSvTe6I2b8p8/9v37lhv/h
D2Gp57/3P+ff0DAvVo3Nr6Wld2PcEVOVfSg+fa8v/fq3vulLNRzwmNVRKNooOR1poHj7Ji81/3JM
bqjjMKzGt01sxD/VpYb8C2WWrjrCMS1u+RoO9g91qWH+ZWMJdGwGFKaO7vRfss0j4PxBMkQZhXBS
VfkU0kB/ob4XKenxKk6KhdgIY4mekf6krioSRgOakTB3UGsEIkTNIGUXjAwxL9JyHhV5nRO3foiW
WqX0dciM5Pm75FRc3UX69Fq1PSG6Qa9dkTbsnFIlC8/OXAwXIfL5zBNtUl4UMf6xeLGMC0wwvmlK
cahCx6JvMrTDETiPfbBT5twWp9ZkIwY0gSYEl10fQFNeleJbumHLyyRpm06DaYNWcMr5FA66eULo
dVfAbr4g7qna6SgmHH7sCIqyDZvnLjA59RXd12bETWYyEHOmovFYhwbbVfIo3GGMSPys1XUPZgC7
LywlpoMY/3e1WOGd7MjTTVKpCGksy3FDh1Z4Z9RktxucMrBjkuUTFvo2F3J4YzAIpVk3PjMMEj6R
qyoh9gawidRBcQQZYkPSdecrejNcaG04HLWsTqtNgb7rMA4CuuYY0eveaDp+jClro2fG3spH+ped
p5HGuRkApbkMkebj1OYGBmJtUl4WmDBoqBK57xAbwRu1aucl1Lr02DBnuGt7BvuzMWT7oU0z3FMi
3KfFsJ0CvXPbqJ/3Q1kUB6L5AwkBgMYhA8G9jcvjYcRT7/aNGTLaWeQJelZtAjZqBybO4KXxCmbm
CWGC5vYV7qIsdZRLPVZXgk1e7pxSTby5TDA5xiB4YKgr9FjrjBqFMmTN+DG/lBQxp5WFtqZ/LzfL
YJg3ogCsZ1W5fSh73dnZNRQqx2nb07Cw0bAPWUdS67NtNkzFXuKe3YTc1AeRwfYIOKJu0SeKNZW6
cqfQTjyQfSbjIEW71wz6CR7EFkp/jJuWuTBsnuSOKGiNfvjCSTOvduTEy48j/WGcwiXDJiNTPTnJ
J6q4ejt2FhRESSdcxcpyZPPj0A3qxUUizqxagiiGxjJs0tyUh5y99BCxre0rB0KjNTq7fBjURx1r
670BAHY7ItQFrqcGkZ+xTfldbw0+JyjjuQTVs4dZSty+GeKPChBrJhsVx5ablzYVAnBw7TnKIiZA
nLPfwsHA3of9B8fXKISHU0YjQspkVkqNG+3CrAn4xez8EfyULxa9xCYjcao6yEM3tNiAtNPYR5zD
vRwYTWAk7PDjAjDOpleBlRxPdjR9LERk3g/L+JpCtsGlmumXWjOcsnDIcZBojN8UU7tyjCYg8XlW
dqNFmVkCNt2S5xptusHSLup6MtEu5NWeA21Ek6Jpabe2ZhTJtVfUP9aEIacbBlLUPWb/rFjd8oAe
vcJIZ4xbtCnM5aZyX8BXoXfbqK6lERCAkMSnuA+eeFV7VGl2dpMTzCuZ8+97U9F9S6xPI9Nx/Woy
ktssxkjNMSDegodLr4O+DzgGdZjm0nHqL+FBGb0PJIYuYwEp8RE8yURDdgTuqg/ycz1F2mm2e8PN
NRqHuKe72NWpliKm7Wp3BvQ8Kf6IDvFCAN4eOIPSyfAmyykuI6zepyjKKYTUtGGIhp4q6JePytjM
F4z9l0+1XMNMjNyad1XVRu5kWEQCMJDaaEvmfNYQVXkOPw9E19wdiyxHSp1y0ss0ME1Z+oA12qy8
mMAUuWGCn49Hu48HB+nkvCLOUOE91bzqlyUnrMTlDL/clEpxYYeN4dGWFge2MrIyBeVf5o6IIZmU
GMX9VFpGdVDVsNhFQdpWXoJ0kv0GWGiuHIWkn808vKNJxnKX1UMFzWgQmW/HymPWd9ZpgV1wL3BU
5s6ITorQBsZnMOqpE7nuxL3vJiuAORpgzx8UJzzowOnOHLmwnFIO7kRFwe+kw5teM8tw+iQ/6MzW
OcrSpp9mnqBoMlP8fRxyzSxL3BirxAXYRc6Kcb7DBhRvHaN4s9LmJWvzg3SGZ9DfTJGiO4viMMb5
n/S4fSyLJBEOyO4QTtW+o8s0BPp8gd42PFPh8mF1vdkzom99Tqx6hSM71PbVwkoJkfZydnr9WUFm
6YcIaNGKrIiOKaju01jOrzF6Rz+Zrcmt0z5z635ou42xlC8iq59RPV6mo3OFzTvYNEPzqWtq7KOi
70sWRp/VYtwmqZwuF4UEipDbesjMdrWGRO5s2Dd6poVbhGEfi1EJnjDNRZ6eQmshwX5h20Y624Kk
9WIojixmEUDlIGFvVIj3QVckQviKukFAdmrfZBl8tbZPz30aZrVrsgHjaFTGnNG0o95VGIQ/5EuZ
JEiCQsnUKA4OtOzqXRubE6tdnz3NQTodG1tbkGRDLFDbOACqIstnZOgFB2sNUU0lS+tA5KH+MdCq
aqtZxZoy1+nyZM6t+amMMnHlZLl601SRRHnAR70ywnTOaIQehZ3Mx1GGwWM5APc9xWWdXSN/eNPG
MTs2AZuYVU43Id25OwV/5G6kQbcN2w69mmRu7WCXZCBrRi/1HJsOEnxdeUnBQh8Q5hLmoRbmQdJq
9ViXbX5hmsSDqXpJaU4nDKrWVTqrnITCTKtuwmmRH4j2ux40EnO2lFWLtolymovc4gAZJQxYOj9z
/6in6lNb8kZNdksOwZDBIlkmwBDgT7ZlU2H1zXv9QQRKuQ/rAVQOmQ66RDKi1l7dUEQgtFMyTOiV
9VzFNvtgpZO3q9boF0RWXUZNMtw2YTsdNIRaXgQUzZ1zm9NtCZR9I5xJeeMzZsiV1Qn+dj4wkyB7
QTuFROdunXDuNi2zUmE2wtc5HZ0XdPy7CCOStqbXpsTJOHm0ar+WLYQdWjxVsS+H/GIE67ZJZeaE
x2FVZClDpDLYnBeLzoCR+rKjEwloIA18AmuN1842kb8JW5loVDFKtjVLfipIUtmDSZ6h31bRbgnt
5Uj3uLlPBrtnC9HgvA2aPbmjptbXKFiqbp/RhmXcZSXmHuGdXrtxFmivtrDTDlQfxBuh5DaD9jDc
wldV7tKIESvdVEshFcmqHlHY1S+NbtnqObPH4DOpMb12x9hqMleJ0LItM0ZtAMrka0MORgbRMjbE
tgjJt2llXaANTOwHo2y/NLrypQSffDeSlOzZOdbHiG0/R+IFV9IhIU/1ENjUu9TsnMvGkKht9dx+
XKyFySG/qxxxs+00O8qoSKLyzjDaZof/wdzWQ7rcmgmPCnkxa5wTA/6+a7YQlhObWguLd5mjNTHM
qduSFDVfmYr1ZFBLbidTDbZ5KCN/mabks50v0lvtcod+ZielfQ7BrY8qnztR75FVoiEluMgf8tfa
gCsDZyl1hUw+h3OenOmNH618YYiTmTstf5FFihQijs+GudyFDVqGqlOGD0lnXiZp11yvos0DdcpN
Y9TbjDQFomo+i9Lx7bm4rVXnc5Ett/FkvOmp2CmlKvdjuYgzioX70R4PWSavg6zSfKAyh2nJmSAX
uCnbWmHljKxDE1rsPYigfRZCADtw0FNAWZkR7cScLR8nYIgsm+NMieZ0SbIN6Izc0t7QoLfG5Vgd
EjDQyk1Jw1DeAOl5k1SwN0LRu3upGSDk6XUmmwIlEzAQ1CxSzaBUSZF5BA3ldyTgJJsFFLbX152N
yCQL/ZG+yJVjzjMJn04zUObGgcXY0FIsdr2QBIlQGW9GtQ/nrZOpCi35JrkNe/5IAE+3IQtDHStl
3zoJtvlq4bQQZeyuuWpEB7ysyrVcSoz7Zd8tl8xw4s+q0YQcuWB1x2ZTXkZBOKxKPfPaEE3jy4ps
bqCxxAbhToK8R5UzMdZliIvoQWZK60d9nSPx65vI1w3AbMvKtUrHgFCjIBniTcENNmPWH/ZeneZ/
J0YXsvB0kXeGO4/xs1UaXAhohsqhmIFJitxC1dWDSSKSiL7UnGjXFQxtrMD2LRjHApbrc5GHLptJ
f5cjTvBlv+R7Sw8a8iLga4WmPBZ5Nx4hsNEQpAt5E9XinBn1tYXCzUfOUz+pRNDc1im6914kkOCY
wF5YNcROY6wLVyZZvmtIKD+YdER3DJ0XH0XxV4SvQLk9iW2dW8YOXSSS10TWN0nO472IcYTimtMV
ZSYzmPGNRFB1NrpROYxoTC7Q2QMGZdqS+EhocJd0kCJul2761Celth97FXArafrEp+phRMVN4/Bs
8toR2dS2pksqe/wgMTZCsQudW20GJ4fQPBV+F5AG4tONbO8bGxE0ZyqyUfkBuTyHscEvaRzexIFY
kzSsovLnxlk8WG803BfNcokvAudh0KbUDeeSGBOetoHx/tks0MR7YaU8N6Wd+ETsc7eCTD3aWrkc
lwH5q8j0fQp3/LoeGskxMgmvFyRiZM5CYDbNpdtGjQpB3aqky8Bo+tgM9JyTDrSgO6tV/alCw/tk
ol1i/DGxDqEbKjek5ZTMD3HKPBJwqe1Qo6Z3Qz2TXc3AnniMJjtMckkv4sS452Gg+Om7Gdqq0ta5
31RG7pYIhw5dH5Corc4l+3PC/Y3qtqd7NxBalKNbJGdiusrnzoZvV1ETirgFfc6DcWI4iVSBAuOi
16Xq6s083xNXQPBSPykfGb0DIQdm9EXrLPvZUubkgBRsuv/P0sxrMiRssYlNLVrfrtaNqkDfmw7Z
wLFUP2h2Mp7+s5fJQrCNYW4wAA57dZV2zqEzXVaJdZnEfeBK5L9UC/ENx87kUpu0+ZvF819q3/28
5/ZDW+5/1uH7N2zfaauB9Nftu+sPzYe3z9l/HNq1g9d+38L7+jf/0cLTxF90xmjG0S2D3CT4md9a
eJjt/iIAy7SlxK3K/IPu2j8M4pr8SyP/g9rY1rUfW3ia+RfB99xruXYGTROmyTtD+O8M4r8CHLzv
3CkB4Z8QFluG2gk7ae7iJDoSbXaZlow+JoiYuvJM4glePJ528ugYODEB0cO9FnB8H/XqrZhIpKr+
RFMzf+xW/zfdgvn4j13qifF3Ocq5PdIZO9pKHXpRSYJ/xygc0w9JTeCxYSjntLrm7myblCVoEdVN
vvSfaiSHtd2hMDMWwpu1DwZJ1hjmVl1Pi4kozmWOsCq7Z5PGWdUxf2FASDpFmdxyvCxvNaNKNkGu
HrM+fjF0lqylvF/y5BID5eO8ABkSUzPuGRGGjBEU6Ad22fkENyG3M5bPtIMOxB16yRJeq2V5T5Tk
fZ33lzJPOToilMKtlzzrYxy7taK9IUF61Hq4gMy472YTzWgJO5GFybpaltb77qG8/mbg/D4D4KvF
/m9f598XdL3Q30Xcah12q66e0KqhZoWOYbu9xnemDieldAT95+ieBdmyRx8YB1jAquSlLOShXHHL
xsTKzvyGgESxg2myz0PrMwS1TT689hKpoTJddwn5f3aahVu7GPMD0rKUEzfJnA6Zb34zg04cl6Gn
CwqvaKlnQjkMi7IH2BESupu6lofff1Xxo2n276+62ni/+6rW1KkDWazDcQ7G6yyLTk2R3FiNfsFF
3ndDQVoLzUoX5KR8CpByk+M5vhgxk+iBKHDK53oPLXUbV+EdsTc70xFvPbLaHV4e4iLD7FkvBQK+
Si/A1oTXfVgvf5jRvHPf/v3R39nngVljR1RUcg2DcD8v4y43j7EqPMeGr6mTC2sEt3azJRgy2kgn
e8Gl9milncshyUshuFeSLH3IGMlGq+vMY/6fbHJHOzs6jQxZ3obTePf7q/wVsfazB2q9+t9dZSg6
kZnKqDn2Pd6PmBordHyyOb156C2vm8K3hgZlaZf3mZ7cLQ2GxSAK1b0xWG5TVuecVwX1vDz+/vP8
6qa/G2tZeFBJA8ibo00Z3UPANXverD+ho0gS/t4W/feNWWcf333bInKsJFSb5mjM1bnO6nPbIbyo
kax7JlJHd5AF2gDVovo0tB1JU+S8RMALMpHfhXmbo7mNroKwO/UtGn6cPDvdpNsqs/hFzTBTiHZf
JvLz76/Fj371vz/sO4u8REM3zWXZHKciA3Hw2UFClaLnNXHdkC37hyXlV7QD8x3Ew2T9Q0/Q10et
HA/ConNU51yfcDdgzTPWRJ2muuwZInA8cX//zb7iNH/21L0zwgdFSNmfFfWR9u0d3OpTkpIK6BgU
vu1ofUljVGTIb5WHNCQWdEYWb5nk1uGnVpjz8GCAEKbD1FHNqc9J3VOYNsNHp2T+zDGWHFhp53/6
rL+4Dca7PcwyZwXogl0dOT+/VCs0XpCmyT6Fu8pGP7eJ0QtZofOAm3cbmaTM20b+1Ai0t2AqQDu3
oT+r3XPeK14QhpedRtoRQKcRzHUaWaeRrJo6FrfjGiG3Zsh4lQYEMVf/QGj41WpkvNszFrutR8T5
9RHbV0JXCFkbmDahW/fqIp5M4Ny16PFjkDMMS3qurG2P444++FXltBczDgtdt26UCR6d6G/HUj0B
q31jod3jviHWMsS99fvn4hd8VEx4797PQkF/SkTtMWkVEm17YZ9X2hVuhhh3zrhYfkga2areWQN2
JwQOWnpbWpV6Rd4nyQQklGwkbigXfeLGyUW1MQOsgfj3db9L23afieBBGZNH9P0PM4B6B6HPZiRo
mdy7Dyq6BiqRWHcxBpaeJueTneOLYyB7r6Nr+/2XfBdX88/32ni3OwQ1k4PS0CqkdJFLA/MEROWY
W87nwdT2ZdFfps0zt+tkLvqW8KwTYXvbIiv+RPuy1hf7Jy+f8W7JL+yu6QVP5hHqvepCk83dIafo
sZChXFeUFAh1R488PM1V1PFjqhtvOPQ6N+5BFBP51uy+nlyQ4HjZqoF3+k9TPuGhMjUCB9qEyPBc
6zmmNySowmbNPWJtbio8xzjPXZlbgJ8bQiaGk4GYfAOSdgS2bZu+g/p5W/TibFcjoQlKuM8CTABC
Ie8AHK9b50DcNYVqSlWXh8XODnoLU4NNKUPKqt6WjcDHHjWEFiT6pjaDaxzVBvGfyiUJNg9pJp8i
PX1BzxuhYy3PeajvK6QiDK+abR0ZL7+/wV9DYn52gd9tYlLl/Ig3oj+S2kJTPKzv28GovWogC7DX
VTL+IuwSeqOXaLU6GOcj+kmLRdFjJ063NqWI2+HQJkqJ8pzj7JbuDOGdXXdsxqnbNBOF8O8/69dF
4Gef9d2OSNQ6LWO9H46BEV0ybpbDpc553tCzU9sQkW7A/TBHKbxJan5DXWBD3qPhNNDVoRMZZrsp
18lrWL4kRXOVTi9LmF1Ixd7VWP4ru95zgEVrYwGvMfbNou8yrDRWEBwDh6FgankEfvhp+UpA5j7X
hYaYqLlNLUlo6bCzGBWix/MVcZNZZ9ZeGvrnfPg0CbkNLUFTJPN/fx1+ec/ebbac6TO8t0NzNBXH
2HWM+PEVptLrtCY+oEeXjCKYcJTqtLhrI40nU/WUhQQMzVw+xEoT7o1kqRluFZnfqrX09NrOfU0M
+AGRMe7beVr+9GHXD/Wzm/Zuy1Zm/AVhmHfHJE9NLHPOHB7oZc8XQREF1Mr2FTMYxhDrC6jqePSM
MiEU1SnPhqWFt/iMaIpGZhRf23HS3zEaB2K/GM2FM5A9axdl5xLjp7i8s7Sr2j/UM9b6TP3sY7/b
9ecpJL3ZdMojcaCdt6Cj2KRdauGIJEB8cKrFJ4a98xs9oRdmlCMSdvKKrd4k7SCszxCCbyFlXlVI
ERA9RgTAUDMjF4x81JyGO6iYnmPDcFw9TzqfNnC2tZDeEbORkFAjcxW2LJKwVotfeie8Jo8sdEUo
kP8p9LOZiItNrQzCJYcgXIOm2NpVdGhV18EpnJNbM6DoW6tG2FClF6XtfpizFxzH1/Go7SqyuC94
iw5kG13aSuEjN1voc69t8lBXC1e3jPZA1HTKe7RW9WpBtMJgPXVpR1FNAIOPqpgpSpaNvhxtffuH
R/sXT4v+roDBBGXBDsiqY6B0XK+Kw0TbjhX7Xh5M7tDBeAhDYh2hvXye6P5uOqUiQ3xqK98p+tEv
dZyaOJ6ftNY8ppgThkQ/60tUczrRzatJDGejKFyCvrU/1aTrVviTJ2Xlh3xfp9Njx/WfVNkxTe0n
7EOv3cQ9wNYUeuRqXEvHehJCPuUiukL+0mHaalgpLbL+lwLtAMai6xbEAjrJ299fxF+dk/R3lYnO
khutefbHBHHUlTYnKssPCqi7QC+IirHGR1M4tSeq2fQjzdA8MBnjPsMujQUhkoSEzyY9cnpGF2Gw
xLumD8I/vFe/6vu8z+MTwyy7tlOrYxghy1URZW5MvQ13emYRQd+L6ZBi3JeKdQVVGNqB0zFlgHXg
yxzXPgFvazBwqW6VsUfkqKklC3fyR/7n+nb/7F6aP95LDeenXfXacCyMlMwDbTeWoacq9oW0y4PF
q273y5bgN8QR0c3/5916twMz1FI1kc3jMcD93EGnI62E+V2MEZchW2Cou9ZxvNqUXjoRmp8ED20b
kAHDUKByQstb9OXajro/RNn9gqxMmtuPl4Cbbo61pk1HOQwPepJZrt4NCFzT6ZpMfU51LX0UMy0+
k/N9Klgl9HWOx6nfTYzF9PVOweCqhW9lbOAebpIPlq38Acf0K9Sc/v9ufGrVK1O/JrYwziHt+DWg
Zv6ioVQ+NkNJXGlIEEZNMRrHwymlG5a17atqlucmphsARkPdD6jRtnQM4iPV5XjThRYCZY04jEH3
Fyt5kZIDHQhdn7Seq9/f41/t2Pq7TRBZi0nnz+6PWj08MBu1/TaZNiSJkSvT5C9a2r2OIRuEMRvk
E3cf8HsQj16RPWv20WVOgHULDYQCR+pb3Hnk0E48/lEdfw4BEmx+/ym/Qod+9vS/2/OsSlkiZSR2
SpDqtYZcXGCZJPtBLT4xMub0VIZXFgdfEBz12TbKs1ay3UlU+Uh6+HissPeLzYZVB0/4IC/1fvRw
vnS7r5/vf20c8O/Y6eel/3Wj//+QPdbEH35o8PMX/tHfp1VvqRL5qyZtgyDY/27vOwS5mqAzLZNw
JcfBl//P9r7h/MUwgAxFVcW6YxIt+LdCF7AVjl1DRa9HvYH38l9p7wtqlB+WUqkKhMAa+a+myb/H
/94tb0kYd5G9YOknISk4tn3uOtnMMUY+c06A2yfro9O0O1Un2kTdMynvsA++Smo9RLusPkCQo3va
OZyiDSVKH8ak9GFGuYAuN2N0v3pS6XuZu4D8fyfXQxqDpoXoF85EJvD6xfftjPBHM7rDQGRZY+gb
q4xozhOZbIfDoXfsjUifu5ZFQnc+NuSozDSTKE6BYE1N6mHQ9GhJe4lNF20iMNZaUUhCXBTUn2Zr
39SOSujMkwIRsAMkjhUaRBUKgkxdrqJxbL2Ao4QIRA24aA1IU0CtXJARzWukkAufHNVsfpk0xqXE
NOxqrdrWCkSTIt8YbfA8zApUXBoDU9L7sUmvKXwtC0ri8ahVr11HbkrMYC/1kdNzYnvpCwaV9Men
p4Ht1JtToe+lk9NMJyuwRVnU9OpDzeC4aMeHPjXeSIwCZuSkDwxKxRo67aTOFm3JOWO4oScFShd9
OjmpspfEUxuas0XtEh4xoi002qO9Md4iATuOUYEqsdbd1mbKcSXrhu/JTtlzNJ/K6apJIt0ttBwk
YIERFMD1TZ1YOOTVPRnAKJPJ259eoyFxbjLNUR9LDmT3mhL3F/jxHruOkKKme82d0ldH+4nhwiZT
6xdh0OtKS2w3d0nUuujgkOSGYwZHqQs9K2S4HDTlPiuFL52Pi61cpO1y6jJYl9VUYfsfj6ZAAJXO
+mFguQUuED82mNPqEYcOLdTGJxbllhj5uxHGx8el7sfPdvVE+tTGnOYPTZp4YWBfQ+S45kTvZvWN
hqZEQfmoEBro6IwxcpLp8G7IhuZrvpwFCpu2Me6Zr7WPU0/uXkZwwEQU+x4ZY7KtE5xonUriV19q
u0knsQgltyS0gYw+moX+qP1f5s5kOW5kzdLv0ntcczjmRW8iAjGSEZynDYwSRczz5MDT9wdlLXTZ
lZZ2uSirbaYUIhFwwP3853znOp6zW2lXJzvQYNdjnO3IOkeJd6bjhTESAcE+3ueJdVt5GMhKLim7
hTQ9mplcYZiGYGSztckPpJtogLmu7APxRI4iYiU4/kGS34R4ShuZP7pSoVB+0FS4pjAndfJLmzP2
NuBfWfjEet6kw2lRYnEzP8iIhoHs5xyewil5lNWJP3oNVqL35WBu7OFtzn947a1tJkcj6jeq3PVe
xXifUXp6AkO6UmztVgEhoVHrfsBxWAlVq7UZ3XKCXREDXyV1E6wbjjZzyBgaCmBRx49M22/omXme
QvcMoW47026GWcBYbO9oOmvXOWZukdGGBorWqx4oXrjFImeo7LBUcW1ytKy8LbEXKLem4a0m5jSE
PUAitdda7VPFTnyy3OSGEM01b8JP5mhvedNjOJqSl5L26l0UCR9t4uxJXs69FtebIrGmn/pchy9z
Vbm3Y1YWzLGKjpwfCgrnj4fIHIbjjFHuks9ev4V8SucAL+ADQwQIMBoqc+E1N7K17pFf7lJ3vE69
ZpdkSfGZskV/ypyRMVqPfFjL4MGCaF94GoPCdRW3d2kY0+oRHUPB0S/SrvtUbOiDIvXWvs2DG9Fu
YyM5yh961qBddadm0u6DzqUAKXk183FNw1fnKxciP6o7REJ30n2yhIQqNTNaU9Qb1u+B6smrFs66
HOSlMD5HBDS4cOqlN0/lPK+zqh+eXarJ/MEOo48xGNXKsLCOIIRN3rRX6YTzkxo7Ug5FxShVvI19
6lzpTYRyWrilD2SLSpdUeBBHuE1r1+nZgjL3a+sLMV64WqEpoMF16D9G/ZJL9yHSG7FLPGw/mAPF
TwaP2HoI1a5bZoC+bTl+XT9ThPaSOBm8tOClyY9a47l3dfxRkckOA6AjWJlXE4ss2Q8sjgoPn03j
xCUWR5MkSU/9kvGzbAifsTQqnpD1acrKQx4Ob3bCZCxwgz2uOgxTYktpzaoquWWN95gGIjq+4CBN
AF9MLNnZJphIVCjwEAwEVABAx9GjnZheWp5n0tFexZwQW2a6Qzoi3VlzSeODQ1nY5I53eoDhdmyu
pDtfcVa+iyz73kBvidciK7MTeYMz7qg32tZGSgDUlcuvN9CcMjT3sbxqrU1vL+nmoxTzZnZvyVy+
5jGeWnhSQexuemj+lF/xfK0BMRCSfjNxIcmUUWSX7sISm6LnXZhTrTge0Vjchi9BV79hmdxE9CHh
6yQJt4IqgafR8b0820QO4B8tPEPB2zmldm2p7DV21MGuH/OseXErNAyegicgZ6RGl0rAQjjNyg1K
gAt2to2Yn5/tKozW5sL2Gxo4HAwpmMQMV9qYYmxrqwPtNB0g3XBG0JvXuXMuwnHnRB5Fi9E5M1HG
Br7lyfswp2YbQoV3XUb7iUXXVZQhrw/xSSX1oZcRe3C2GYYFug4s58ErGMQzTJg2lZm+Utb7EIzF
DwxlJ6aKMGcgOOUJ0FTuYG22t2VXDvd9oW+jFCIW4VsqFc2PzvaeCd5V/Hrd0WTlk+uRkGTyxt6S
pNdOgWYGq8LiVvHoYhMO3qfslSwQDzw1G37OYMQcsxfwt+qgalz0sIQXbtXM4JVfRgwPtUrIE3nd
utPire54fuI0L5aRP2h6cKvXs76tu2ob1QGtMDENSpi+4p3JowoSLp5zgAqU1YF2OFXY8wO166lF
I0ZB6L1/6uzh4ORQFqOqJnYQL4Qlyc5kLv3U1U9lCZUnOZiUDtLdIsUON/JJ1dPKLtJj4Qz7DEdC
YI6nGF/p4vEzlhAxQhZVO9skc3Zz7m1sFV8QyFe9ALVsNJxznY2HwUjP6/vKyG8nrb8AHb7TohLU
TZC/Qh5YZb19n9bdqxCfeW7s+pJjoXEc25MevodWD9qoOGBKBNM07h3GYLg3eSJcVYJtXUE84Xpw
3wJ5FMOTzooOChPXhj9CXZieC6/wawEOLdkvEY5CR0GKho3mPRkTxt7xvcX4bjVqK9NzzF8cmB3w
dfLdmRslrIeEct+iVPtRj3hd5G/JssHrRCGfm8zaSJI2JYBjd4Sr46ppL0eoNWy1T4Qi1g72RKH1
+AJc24c0SsQ1+RQuS6lPobSMVxCuGXVw3Eqig246JwUEobBzcVZUOMW9+RPQ7dpTwmQnU+71TtsK
I+SpW+2rDNe8rGLEBSwRbnlrp5LtG3GYCj/CTDVLM2j4IOVRxvaBGnckZfAZll0+ugkFc259p0No
a7gNInnbx5+OgC2J1ZmU1LGN5JH00Y2nS6jCucupsUt5zpODCXX2H50fxIG+MojUkJPdVrH3ZA7N
IWbrdNayuAJPFRBgSnlwAmbkD5oR+OshB+D923GvlnovmqdcWjkptKZC8mhY1z3sMh46xqcdzI80
3NLXZpAmiHrnzkuMYG9PI0cK0CplDSBkyG+tqvmBM7rbYBxPQGSWpzjR7kBkvKmp82ddu8hGv3RT
ehjLDwt4QUBlErtLszxmYuQcgEZrJfc9pmIzZNbABS3RRFJvE80SIat0r0VGoXvTPHXmvI+96dmC
m5k68jqLYZq50D8l+xomlbUhIEFE1yS09hI+DpmY/qTaWq4rE5ctAdqVZuMjKqS5BcFKmUUqK79K
olNtE2RcJOrZJgPf6KSp+oeknfce9ZYcdB4mLjn5hk2Llu7RU3aFdu5CYczAyg7do0uTKxZ9iLUU
ge4I5k7gfaxNlXTvbcwpAMfnT7auzSs9Ay0ylC7OIcZSHh4DoNIURkFgQ2WlKk2zNkFSmM2azrZl
AlKfnKCK96GcGLLoxp4qWOuQ0TIXd8F9Zi8CjdIgmrdN9djMDKJXEcWIzkWbVHrBIqWY9MH9MYci
33iLKDkLkkkVPa0D/8d2N3YBObuHxs6jj6rVQntWbhncaIsBaDCgdmJb3ZJNP8yNUe2d3npQmnZ2
md5xw7vckVWp3G2j4Xm0BKAWWVDw5XLsK4fed51Ie45cjgOg7oI3zSaXjSV3JS127LpML5hq560c
05acYIeWk5Y8DkzHryCdpV5wR3ZTrMqS2EIMc6ooihvGUsyui484sfys6eSG5JEBsAc0GGzyd+r6
khusqe0Ho5p272ZutpZCZyrF1q02CDmNDn15bqm1Vx3RJaIiGTuDxdcV996V3fEia0Jt5Sq89tZg
PkgNhxXe/5JJAdSFoiD2J98HCROK8W29x+mvbUaiabTGgYN0hsY4sP/ZUUrHw6+CXCEqKDve7PIl
bUG862CxLjQrHWKnuW2Fd8nZ/i2+Ex2YgcNUaTTnfmWjcQe1/mm72VUx2xenJ/K3LBa5UBhzdo+d
rnH6K2NIJ2OBNA7lh8QYZ1wCn5AZ58JmZkKx4NQYcq3DZuJM1L5VjXwZG/3OqOR+ap2rsq79zigu
REfbUxp/1qb72oh+P3rOZ0EciLnYrwa2LqH6d9fxoIT/dL2ncNTJK7b3TWY+WBBBjsEU/dQc+91q
2jfCVK+O1t/FBr+9ZspLHjWZ38z2exWyFETsAyhly6y6QysreGgM0uKPnEP8KbJpvHWJRy00WXtl
tQBZpp5USIqJHl6zkYAubQRY0FKL2bXTUpC41Rl+w7xq51tZqWhvZG8VE2k6sAdqwqzuUjq17RP6
yjZ2317PJGjPToJGbk3I0G65nSmLmYV4anmFtFn+0C5Hwrj/ESkqdJ1irnjQ2IosULKTqjtiyX4G
OnBfFtkZgNm5kilpGzZT1fwxxD0iX4OyCGOHAVS0qcmNrpTNpm0a/cn9He/YcSq/g5K+Ze6bomdM
74ZjH50mGK4cN/ykeVzqYXIiJ3dTiOHD6+x6wzfLod8JWY/FiwtdXtg0E3vUuhl14ReN+9Ik9ABT
uN6tisojMu0wfpcbsJJvcdLd0Kyyt2Z7ZSwvEmnXMBmTzAdQzWF1qeOcKXTwdk1rcefrx0I3TmLs
QT/2j5akyi3KmWooZzvAcEjxtMS4tRy8ExZbSYyl0yq1J4KpCq8d+lBvyOc5CUcGdMgbessxu1o1
Y3eIelonHOfdMHL+NDJ0zJuwqw69gaQBuTnDX5Bitfeyq5At6jQE+o1RGdQn5GuoDU/03cN81Sqi
TthHwQuxbaWTAcgtcJeIrSj1NRmhFWjvXffMjqiH+yZ/mrzrOvxE+sjWz6XJdy2G0DoP00hcxlgy
sZDG4vPoLJsTEN42JpTKVbfOGGbhZrTs8TZpBxokRHNv1Dj1EmFML10ljxRFIEp5ukWENSrWfdL+
qJnDeOojUeYmzbuHKFbnITZ+kWoD41mO9Tk0Kq1aW2YzPYaBPaYIUjlCEyVubDF6QmNLuLYhi5TU
5T7RWnFXB4uDtu3WiWjvi4lvcGaR+OQN0MANdWGwTxstVQ4DV9CgCC3jm9egaY0lzVEipv8I4iSM
jGLjCmlvzG655jPw6hFQInxoEsNPgVX6roks04+WdWUh5pyHuYTxyBHZSKaXKnMPTTWZW2YWVFtW
o3m0IR83fRpfUYIw+U4MwBuq6y7v1HE2eClTYapWVpGkD3VTNZt8GsRKHyMAtFWKOxIpiBG6+pmX
rc+Mt6NyeiKBhUpROCYnkf3YOWR7ISrmIoTbCayJPjxu+24I7TMP+fTZlQh7kECX5/VrPzE3DEf2
L51NrsOKqbXAKnzurVY9Tnk8vWsZ2PS0QOwk4pJr+7gOfxoEdHeE5MgVADJau4D7B0SRpeV5lWr2
ccieQLv55MFoGiX06/bWfQ9hVnRqn5L/3w3GoVXmpxGjfaQQ4nMCIaostsTptqD0OJBRgHod9dWz
ZohDrlHuzCLGzxvdtfRC0tFrfXZRs1v2KIDV/EBcRclJ08WGVO3atNqd3mQPrvGTOdJazxjUmv2d
VwzTJq+Na6cfP+RY8xatwdk06Sl2IGLKObhLzPoavPtOKKQpSk7I+mPYAXPDdSEvdNfgOssdT20F
KYmVVhvxcxa8Mle5kt2dl9/V8NHKuTmA2w0vCFO2FS6l7bsqIffmOLX+NrcTLS6kRP2BVH9Vk5dt
1TWdwJVxP/Wmvh6sc9wYL1PlN9aLRJZD0lNzDrs3OccKHwJvJXDB2kYrAt+sKYEh5POC5nHEcr/X
dRQQx9CPDKshseicBfSaWhnYgWZsvWoi70HO4d+02aCj0sMPdu/iylolnf024Ufnve35MKNi2ttz
sFgJySSIfKGzsXiWdbxie7QEcnqnrNSPro3YEyMAtfSXhmKCBdGuALCjIkjzQCRrP3lyLUeGed3k
PisIfjjOXPANJrA/XjYVPdurontttUuLKD2FK7fC68OLZyL2ipeNKjTqApyZx9EceAxG8fa+FKb+
qTnh57KqbOifgpws4fWXLuMBPBTzHX0YKyw6x7EA8HxABz22jnWwIzorrXidDLvBe065d1Qgbvu8
fCMKaq2HIfBllR08LEf92N2Xy6NCeyhtD/I7RZlc+ER118Ng7mpMSg0UgkL9pIfiraUpbQ4AKCar
ftiOk/sr4YSDaeIIJBBYGDa2Sexspz+mJAmj3C/w9Mh7+j5k/p65LxOggyD64JF9wjnkE+Rd2+lr
Gz+iaIg83lVI7cIE7BmO5zaztm3LkUHXzyYlQRAckNSK9pSHn1XJW0XPqX1WxKCIpvUe0PAJHmFt
QoA32LBZax2UKpWx7laLngkqbjnkcgHN8Cijt0gaBxLwB224IYNLptnu901u7mP6dmvLvrGKe9d4
z3pjRamOP5TyLs840DemtuvlQHywSS9Ap8jOckRnw+DrdrYBDLspZhTqWutv7Xn8kZvhR6nzFsRC
cZO5cpPU4S3IuOPME49e2wM2RQYTOdjGRsjnCseCXT/Xw7lgChKMT7oRb6vwUzFLwJbRyOdivIyd
haHxiTJWLm67Nm3oS7PWi+NoFgdN3aUDowjV2jt8836WukczHq5EUyIIY/o3XuK5O8TV+JDJtwyo
VzI4d0Nr7pKpWNkKplhwCi3c8+6+qIaEmYvz2Fsl7d95cWWm8Q6P66nsLgFB8AedzvRU0/Y1ldR6
qTglerAs7uMkOGEqXZPn2xly2iZWCOh+XKcSH43prrvipo6c9azRLZrfjeZDsRhopcyvbUDx3Vsv
jxNib3fQelzxQJHTMcHTc2TGozdXnKNM/ZRX17Pg0iFORsfUPbQxpefhsWB3HCU+dHRiEEXxlM2X
zM63lnjTeIUnV1UJZ97ZJ+wfIvVgUlAPmz4TEy+QgHvn6IEgi9Nw49b1JuOWWY6FJmnqeP4IDLXx
EnUL8HBVq2cXeEYoKfrO2mv05XJcZOf5rFscIUdjK4rwRnrSz3SDhqB9ZMbnpgabzwSLYT/TfLZJ
KGuxOxC6lYTFrQtWPi945vFPJSoRcmyfxQmuHImAVtuXHVLR1oj1VVn9UsWT0T6Dcowl77/KuatJ
0fAeug5i5BCZ7bMBxP2cRqtce2r0xIcOyPM2j/EqS9+F/0GwB2vN2s2ok2/OjeS+DYG3jq9Gcour
cioQyx1yIkl1VRQ7l7YA5OHO4MES84ySW5PgoC5adx05GDeb/IYWQcmUgtmHa1Ex7Jw0CYE+zGGt
SDO/HrIEzI5bfQbVuNRL9PuUsxd7Jxx/80HqOHYtfdPq2ET5BrO6pHQB9q3vGoGzn5hmwOKlvSAi
UEeslmFNxJsnw4wg3PxgTi1ns+yqgnlGy8NVO3cL6KO6wEh7H+3yzQAnRMP5M3WeNSTjjM4r6bEj
hAN6PdFNnSqK6WcALW37E4TGVUMJmtGnCD14zsHfu9GmE+421y4pLbWLPu5N065xNJ7F+MmmSyD4
pac3kd3FLQxfrfL7uoyBKorL5JhXUx3kW9XulKS/AdTF4ksSDylziHrGUZUnsZ/3TNVI6dTT+1iA
oH+a9Kc6ORsSyCBDj1mrfXA7REKzbSCvaM4B+P1zNDTI7s1Buu9eF98liLAyvgkEqDuH5O5MxQH0
FvYJY1oeouww9X4UvEiwftY9Ive5yQ223/RzSYskjCXQoNq6u6c/OFprnfHqgfjLvFcsHVeVbWy8
iiFbDR7UqV2eJvkhyeZrMRkfRfjDRDumHLH0Palq6LFOvK2XfJlbGkhRdDCn5nCFH/suaTFlF6O1
p/EuvRRBk75SKWVv00nesLyIXTEm8edo5yJIeNorx2xWlMMQqO1f09/FD/PWyIzbMI+oQbbjX0Fb
czSTWBbD+RhDX8DHtq9bgz4QcD+hq0EcSbiZax1xGjV0o03OfnA0j7lyyoC30X7QZ34uZsa4mjDP
QInckxt3A8wa853aqJbJj7rTEYeU13z2XX2YKIRfTWnYMfVC8KePU9F+x0hEqVvPS8R7R35+3869
e7QbTpQzdZXW+8ScnWiDrlCKUFjCwV5YItM1vKXa1x3cRgVwZSTBqL7VrOBu7jl89Fb0SDjPWCNE
VusoqASripxaAtD4NtfBHhtUIcWXEb8KMzsaYfLYwDA8x6io4cSJE1NXzSOJWvdp3JfSZIoeQrJ+
5lzocQt58ynRw27njp52zGtcrL49hekWlwx9JXmzrxz1HCq+jXo0lW82z+Po7rXIAklAbzdFuKiH
8gmEJScwuW0J8KZyvtgDRT9mtgVkvW3a6FBJcdV54uxEA1VrhNnpdFDHZBarqveiK5Uu7NxZEzuP
O+nGsaeTXoYwB4FjhocitSjjqpyposEky55lX5mJLxFJdm1rymgDlwx7PoBKqfFUCR/itK8gpkNT
ZKAV8e9ukikBLIQjtzK6o2ZYts8Qxzj1Jr8TIGg0UPSqYOGMxNY2CCog/KK4swxZ3JU681FvCpxL
Fcp6BwK281M7lo9OW12nI4kCTprlmoR2Q1SYo81QCbXJS5SKORLdfY3oQjFPrd+MmYCXqCa72xtw
HBlCq3zGMoHf7LYeakbkpg7qs5IcjYWJ5JAb+n0aVOTVej09F4E0vHUWlsbrmDv157BovCF+ojUo
U22TpXXzOccAJGkk6n+xBgfeJUZ/oabQ8Y20QVzJKVnzMPFf5/w9jAzTwKlqpqGI80toUvune8pn
kvkx0Ae2yqCo3DS28zR4KGRmFewTnBvbqC+MVybuzKXLqr/0ctZ8U+g8PYpR34hKZFtrjj044OTp
Vlk3vkGM+BUVtdlRtjFaV3U7Gu9NyMw7xO7wi00slqipZmcvdAwno7b3gi7HXT5jm7RsaD4mS38/
CrO4sjU0pzLY8110PBuVdSzq5lc36NWFyuGlZ6nMeOViNq/0Gal/4dOztRvFIdLYmmHJ7886cYUX
SpPqcq23rfcpYoUF3xTasJNZs0X1GC0/TgD7RhxodhCckX0DUuMOTBAXECl09OwXCI70HoJxdTcU
qmV+MpfQk+a3DvjwVuRz9ovyt7jZtOhETGKHipxtHpNdbPvQIXLP7g2Om8eX7HG4G1wQRFA41l49
yled9MOlpo7iteNcc6hSK7+W41zvZGPJc875gU1Oxaaq5AUjN0ai6yQFanOF/h0w/swCMGn8xxKo
lYc6CCZuVwFu8E2X8gGkdOYpQVoRUhXXqTtpDBKV6X5U1pD7DLRFs6HORF5EWXg/skajOWbWHH+o
Gus6cCwBOaTQjgjU7KN4n14oL1DPzqCmtWykfUOxAvT1bCAqY1eWfWoawzu7qeFshqrDCLNEHyCn
I0ioGjQyz//hRzaGVrOLNY1jC2yBNbiaQhyb1uX9KUP9Tu/AprM/o5098JjmcgCbNtjIS4S5lD6m
EAbwNY4Qs0ETXmKc6L8+58zhJrVhAKw6Uscvie6MgGe66BpwNPeGAX+EpcxRDp19lxohiTqggs9u
EMwkQfJY7U2yRG8DdVDDWqT5XG94i2l3Eo7NxnG0DxHkAGGSKfjIG3qsMP3T/2Doug9HqyxQKALv
7IWIJk3m9ZsucYi4YaICsGNBHKpz3pqFHtOxmoYoG7bOSbF09GczC4wb9B2vwVZUZfoZ0EqvrZKA
SkgbsZ9cE9VjmrZgc3RdlmCxsGkMCRXFjmltXFlqG2NK3FunCqedCsbkJID7+OWIYyh0bGfvlk13
F2QKsgBHjBqW4DlhL4nnYww+4wpQK1Ga0L2mXfhGedW0i9JirReNIBRmMMcNZkTiit6PeKjClzF1
zGMyWs9jWdQXk7q/Gym7mce1NHx+Lcm1DoI9GlJ3qtNAf1kehVvL4xglq2J6HMXAl8A9cRem0oKv
RwRuoIVia5uNOECnnh7s3kZ0UbnOrhAPDalv71Y0sr9FqKo0Ju9TPMIyHqhti34zzJLfPLOsyx8j
BgmBO5rkwoCeBQv+zB0BodGBoG2Uq7u/zBi+EWDvblsu6DTWEDOVmgPPSmen/5GMEZkKe/xR9gzM
W7faefPAILlLUWMyBQfQIXtRrJKWHX5HDckhalIBq05yC4/GjsbS7dx67sFxSgR/16F9hVRwzVH7
Foc7cCItMbcYQqdrSjYnX+sy1ljSFCSFPftOBXRbSBeMHEUlap8vaDn3N2Wu+k2cSxb4nMGQBJJ/
LAL2O0N6oxZMXbSIsZ2M7qYFYTfx3ZLMWsB2WijBv8O6ixfoHVTR/grwUvBMO7BAcEtfdHSGdb7g
8gD/gOiFoOctKD19WKB6C17Pg7NHStH1q9/svXLB8LmjAU+trENbrWqbIhx06a7aNwu+D4SyvKaw
gMF/iMmc7Q9jpAX45y7ov5n56AWDNK6sHBWIQfJJpaNxbukeWjfp/IbQgz5TjupHEBjUmcIYbAls
gXBbwIPqN4Ow+80jZDVKv1J5xkFcBAyLc8iFwwIxdMaMtlwZgb+r2YgU4OjoDRgOOWJetup0DjFz
8CbDVDd5YNsF2cFKBZuw9NJ3veCrg3XWHY0chgNQ9cV+QUFVhcsLy0lX58GvItTdqwnVr8Zag3tc
w8iTZBvhlc5aiBH2AVn2vSdH50eeejgzmUle8HAY/EONs8vgZTHk0aV2FjLi9y7TfdD1DSJMqOyD
GAdmQMqAmzZPXXDhbuNoHrd1htUpiO86fI1sMYnI+Ukl433H/gPWDJa+LGvafY2xblq58cDXAtvK
GTZtKyPaX5xcXWTakwbQMLGdwRTpNw0NHYdEBgl+z76f16bTJs8VZwQsX6RUyaaG6nPM6/hiZjNt
o/aANA0dq0W48NQR8ysDnYjPi9kfzyBwXLeqb1JQ8D9a5XDpSrvneJRp9Qfd3vNnmmXl0ZvFBOwr
BADPG3EZwKrwDQOGddF4km8lGtRRDkMM7tqzolttKgp/hlx6GntU8jHq9P2shva1C+dwE3p0HOtG
Vt15fR1fI2OVfj5KdtGReoXdTHytLelmWHV4PB76QM2flOLm114QDGC7Zi9fSUmlb2uBfukFxr+5
VI0/TagWnrSwxmZ0YG3wa2NizUe3uajQ26uFt1HxSjrYbqEfpcMbHjgkxTawzgiDTNNF0eraNrFD
UVhlbJVjJK+Rm9Y2hteZRLnWlxtN2X6jRfNbHajqoe083FkJJNnMUd2TIElI7DkWDRodjVvUb+BP
HG8NO0QxbPEiiKk5Z3UCmrWQ/UWJgPF0nDreY0OV4L60s3E35LQnaWXf3hpUs/mlGjLeQk7Ok7Sb
Z6xsLoD7dp7c81zguWLNaFeRoZs/mpCLGRky5P0Z1kzZC5Q8l8nQijKT8XZOaGU0BlvM+HvspFgr
POx+aiX6Mw+THz1DxQNTYW9loi5AK9KmLUT9BC5SwhoJwoS1QNfG+G57k3frhtdZwOQjOnnWTZBH
+TFsvPajViZvp+CqTmeaGwJQux1bgAaqnKMvb/OZvugQqdLsC+YtJ2vAdNh0K6HTJDDmJ7OIu03X
eBY9gsGsWPSuES5xJ9QGNijWT0YS5itvjmCHVZHc81g61k+v1oKnPqeBAEikx/CcCb1aZY3Q2Ngn
9sapdLD/GVWWK2HWzVq60S7Xmz3YpSeBAkg/6KyHN65xdB3t1AcF4l4zMjsuFxQu7WJdHCLEACNE
dKxeeytcQXa/Ctz+SSv5PwakkUwi5FvTX4Gh/zHT/7+Rgv6O8v2/MRngkcL4+2jAzXuKA/K9+Lds
wPJX/goHOKC4Dcdh9+Kagi65JXjyF/zHFv9yXZNXn+14OhTvJQTyX/Afw/mX4K9YRAYAf5MhwLLf
AluL/u//kca/SAQAcfcs11wiBeZ/kg5YrP//X87EBt397xEjPZmjlGog2y+FJJ3qQWQd5+wfIoR/
9+FfQyx21iuaqW1f1/In6ZmP0mz+CqBwi4S/ypu/fsI/iTZ/89Ffw4ldic0s8XLLNy2ODaD3tMVM
Y3/z07/kCNlxxmPZl7bv2upSmd4Junn2D9Gev/vJvyQCp8m1Xco1bL8ftLecjU4ovOibn/0FEcBG
tk2DHiQRws19ptJ3jq/f+y6NL3G80NQofVK5jVAIdhxen8U0m2TUHyvmP/g6l4v1B2DFGFptNCV3
SlB1GScO7LuTsDff+/AvMTqjspwJDcDynYaA7thbn7WBg/J7H75kbv74yT1vxCVNpswPW5MpZK4p
jmjaNy/6l9Xp4OcDZcUbjfmJdjsgKx/MHGbdN6/6l/XZhpE9uKq3fCvvXwPmfnZlPH7rssgv4eFy
hK6QV3y0k08JU/QaWnV9+N5nf1mdWZMB8pRI4RxFkerxbFKP3P31kvtPHyzyy/IMkl4FTVDyferF
R0JoO87rm+/93F9WJ3cJfU7LMyucaj/IXArPgn+Iii6r8L95jP+GYf1xF85mZbdS4GNLCH2uOiOa
LyHbA85EwT/gYP7msfU7B/rHvxAZkZbo4It9qYuDI7RTOH5877J8WZ7wA7x5FBGtvqN9bKwBb9d/
xRT/4y/zy+Ichqi28N3gosnFeMjdID31uvyHJOnfXZEvi9OeEsjlIlD+YJhXzFX3gPj9712SLwuT
LkpLlMu6N4fUj6Q8pmLcf+ujfwdO//ge9aCHKKZBTak12z2GjtZ+eoaTfG/Z/04y//HpDCcHwQyd
uySYns2+OcPA+d41+Z1i/+OjpZ33UyBi1A4hP+bRYwSl6a/fuyhfViZVmoWlYORSyKymLft/byMN
ig6/9+nLov3jJ2eQadfh0Co/wyoQeNZujuuH7330cm/+8dFa0dHOOCnTjyv5OFrmRxzQSPG9z/6y
LjMTgbOPexpOautkZpjc0uEfcG1/s3T0L+syn+0eX/k4+fBSDAJDyTkbvY/v/dhfluWE3DKUYjT9
gojJyh2GnWX079/77C/rUuKUrGmpVTxPTHKJjvep5fP3rskSEf7zq2w521Ul8X6/EeOvSmufQuPt
Wz81lNB/++TchMfsJVztRs/PdHCcRaj9IwiIz/hvXjziy+tSTwyT4phG+dCp8lMR2/1DL8vwe/tw
8WVd2uTgZFpVyh8N92dmmfd55v3DG/NvbkHxZVE2pVVP6dhPvrSnJeuHUzWI3O9tCsXyj/6xLIdZ
x0IxlMoP+nGntxJ0jtp878v8sirTQLkaSc3JNzR5a+DftIPoe3e3+LIqs8Caa+QaXmgOCe/Yiq+i
Pgq/+XN/WZZJ2AQ2AY/Jr+L0/3F2Zjty21zXviIBlDjqVFXV8+Bu2+04J4LtxBooUZSo+er/VcF3
4Kbdb+MnAuTASGgWxc1hc+31/GVEcxu3VdjOQLyoLFRaNKDyrSdQ/ZpjOuMiqwwfglZvXLdff8tc
2dydSypOqFBHGVQJxQ0S5kGhCRjX68apSVqk8jBR5gniDEP/KvBaHDJRxJn89escLCI9M/AotxNE
fMicG+hHaKODjrIi9QKz1tz08K3HlmbHv0gnwE0i5C6s415kNvBUx1splpRuQO0WGMzHvUJpd1jj
XmT2oNHEAAyvUC3Y57Eo/5q0CBxwLzJrUIryEuN8ojjMPkeumr/UzRC0XMHO8fXXRLmJZmpsN0hy
DOokxPNeNkGLlUi9yFyRSHWyaM/7POCv24znLR74Kb3IZGYVo3PNipcUegN7+Qw0p09BH1J5YQn6
tiJToiHH4OBbr7b9VOo9sG0vKgvNbRRDTn7qwL84NWN8wGtDexHWcS8ucRJkiqcotp4G+RMSphiS
h9kENu7F5TKCl1PQCnMQVfN4aDLferM9hXXci8sy6culJxjxMh7vqY5P3FVB52+hvKhMJwLYvKox
Bffo33VJfzCyhwWO8qKyBPJdlgyPpDUMPo+5RCFgj5qZsCHxonKONwusD74lkLXPOkUGBe677zgs
nX/77ycrobywHBrYkFbQyZ4YS3qAVQRcdtslCgt65UWmJONQK4gRTmNJ0lOxTFCWR6YK2x6kF5xS
1xEqtvodfBIUUzTxmH7Lc5AugkZdeuEJT4O4BXluPe0d/0xE/SzHsPCRXmyONJ6AveHIKkfjRQXU
awbMTli2TUgvNgE37gle/3aI6dmT2fAIOJh37g7nJv4wV6QXmkAEz6IicFQgU3WyMzmRcfkO15Rj
DAeBsEH3QhQG6XAbA8n9tPblRYyyOaLisLkovRAVHPLwIkLvC4g74Kw+fV6QUQnrthehxZoU0u4d
SoomC9mZhv5+5tG/YY17IarJsAkURe+njo4v9bD83dugi4+QXnjmsimTOaFYx5fmn2aU/+IuW2dB
vRZecJZEgfOwAj1P2u4r0PEfSPk9rGUvMDfUCIN7k2Nrq8cPrjZfyr0ImyPCi8yGDFUPzS22+wLm
cWsKv4wNEIawfnuRSXfabDUKn057tX0sjP2I+rawQ6HwIlOWvZqljeCdYYG0M+KjYzZssRJ+RLZW
KKwoyakfI5ywoDc6JcH99mJyHqMo52DnwJ8FPgw5+ZRugUdwcIdfXUzKHY4bA4epH3QeX3BovhEA
O4V9SC8g4UsNXTKBIezeyo9gD3/boY4LbNsLSVEhzyZRvQuhBZx2mICyqyrZ56CO+8AT+AgyrQlK
vLhdb1dFnuBFEpS4F/8xVn7JRWzVYCvCMANbaj9FvYNzwzTzsEHhXljW4Osyi0KF0wZGMgo2r6Ji
fA4bEi8oxaiqjrRoOjbJXxVbP8Ie/z3D+DfOVtyLyqqEVXnCETprUoEqi/yjVNOXsH57YTkTB8Pe
DfVWXbX9aOz+VUVNfwxr24tKOAtWbtXIU6ebfoR7CTC6uPiEte2FZQO1i0nysznb1FyYfL6CAPmd
leo8G/5wPOFeWAqlUfouzqrmuqHfqzk/wLvgCqydTCL0UWcTGkZejCYDBGLQ/GG3p83XJZmOzZj/
EzQ8Ps4hHxNN9h3TkeDiLVb2eQfDK6xpb9uUxK2QZWN4inJ81qs5RF0a2LQXn4WYZnClkC0syPRY
oGIT8IzApr34rFm1OdTRnRN6FsJykNIOtAtLi/mogWGUzpW63qGqt+uxbuCuZCA1fee0fI7EP0xH
dv7zX1ZEgDVm1cgBK2K0jV9hpOvu2xzi4bCv6cXouimO6hxcOI2IfxQjag7BvPkW1rYXo6zlix3P
J2Xbtk+oBqmzZUjD1i1fCbSyVIIcjedM5DnLDNUhc0YA7Q3ruBeYDk7EYGHh8U7O8j6BxX9Badj+
5iuBKNAcAsUieLtrcmhpYaQ3OB22Jvp+4gtccRbUG+FA23w0qv/WjmlYxsP3Bcd+73JJix2vPbJ4
YJspvp5V0u+MyXkf+8MM/83Zmy2GUHAPoBEsHQwky2Z9bPg+PrsSOPRj0DdNvIlenwFtM8dP4Kq/
tShjj626DGvam+elpQMW8nI/jVv8LRqih3pLwtIqvo5pAxNajgqPsbDEgXMC6X5MWxW2JFJvYRmJ
aMFPQFY8IeNlHauLhL6X2Hvri3qDbUpO4r3Dzq9c3V1zVOvP0HdKEeVhi6Lv5w2inmiqrUaCudMf
yyT6DC3vP0Ff03fclhIuVaw0eLIyE79mdEbVTFWsYXOFekvLRHJW2AaZ8aZ0/6aA0gJNY8Ke7oUv
Y4K3n4vyFNcrgoq8sxPS5wJW3EHDcoZB/roNuVrRDQ4zmIlVCk/SAa44KFkJa9vb91GSZrpNYFFE
2VSbxaX4sYi2OoQ17u38CWrGpYIRyqkttxJGrfUFSvnDJIz/2WH/OiojGPRwU0TaHSwe1N9BCtTD
bDNwWLwALaMU3joac8WMgFq7FkWDM43CJmLinXKdi+ExKRD9C+wJC9Oe2mH+EDbi3hxfSN1vKOHE
YzWxhz6dbmZdvwQ17euBUHaXwJ8fR60d7imohqX1cU/KsOS7LwcaNV1Wiifr05DrR8AmHgYeuF75
cqCiKXljDEa7F/X3GAeVmPCnsCHx5jeUdKpKUUlxsmV+ueJjNioKS13H3sUz1gZkPrmsp3iDGnqb
zk6/YQt47M1tIWYgf02Muc1Qvub0w1SnYUfa/4hkvxyYu9xVExjq+0lGFL4fFb2dZRPYbW+rj4YO
osiKw4a+h1famn90YFiEfUcvIPPWxagzxikih3D2SuZ7ea2mJWwR/A+L+OuYbBEq1VKUP7c8urRb
etVHxSmo374SqIcNYjqUWAJRQW8f5qVKrpt+DVtKfDFQuaP4F9Z+K+zBojJz7QbMnenC4t1XA+EC
EcGrReGY38f3ZDC3eTcEDooXlCtq8xNA4XEAokCZQT//U5rA24mvBVI1FfXYYw7ahT+MlbsFyOGd
HSc5L9F/OIr7UiC46JUC9N31xIUudpjSNWMH19oqvSGMuY8za8g9bJzUUxRvsENqlvsYYJsvJYPx
BklhS2vrHV5m80rZdLnOxt4vyeIeKRGwKRlGkl8jN14+bQuJuiBhqyBe3HTj6FbQqzHUkn5hSX7L
rbkKm9reRpbksxggdJtPddy8JMN4nesxrLCC+0KdrbTGNhRVonv63fbiadzDroHcV+ksMZ53wZ63
MERApfa2HBNVBw0I91U6DUjSk46BP5BG39meIgEsgnZ2lBC9Pl9Gc2VEviLxu0SiPSZ9heJ1uQSt
rTz1NrJSjphvbrenXLr+wHIFm/9qCau/+a/q6ddDIIh6BehmGJWetO3FnsPfTOnknXPa+ff/HpE8
pa/HJWlyEuctviaMxfPntIMr/rjBbkpewPY8DXp3BCT69V/iZN53UC7a076MFTkt+ZiCh7APPHA5
9H5EKhdt9xLPsWLJ7xo+3xRp/E7T50/4+/jAseZ11yHysP1IsBqqyNUvQ4QTC4x+FAw7EoNRC1kI
uC86yre0Mi7pUbJrx+04L61A3S/IoGGte8tMl9aOaT4AKpKjJr+R4yWMmj4Fte0LjzbQHmA3jJ6T
KbrUJLkwdf93WNPejXCfl7iCizwmDRz3UWt7E/U2KO3BlXchbKOiAtAvxcLbON5kcjizo1aoasN6
7q01+cCjDh1n0BnCZ31BIhtmAMl7KMLzEfb3GcnVeab+ctbqq0KAkAFJN92WLwmMqEvYlL2zQb/V
9vnPf2l7h1NM45BYPe1kuItLeDbvhAV+Ty9It8JyZZRGoZKegJcvK3doVh7YuBemjOh+QwU/sIFc
VNlY7fcD74KuKdzXHhWSrbNUGJRl2H+42VzLSn0MmyleaPYgFAPOCDpdEUWwDFrcki0OFpJBrf8m
PGppM1QOrVeJPkVbfVPR5Z1t442J4quOuirfJVxlOWpCwZYU4k6tYXWy3JcdxU7KleUoNy3T6Qwl
SeHGhJNG2JB4oVmjmA0cWvSbTMW1HOX9TAPj0pcdDXnsNNWo2qRDEp36uoXBX6uOYf32ApM1/Ti1
sxUAQ+3qCs4XoD5t73F73/qYXmTqPVmhyqjRuLUv0xx/2c0cdqKTXlzOfVLbxUJDti8V8Ebwz0nD
njq49A7mVSVmQivME2Ha6rjN7ILxJiw3BpOK1wsh26VIWofSLZQQw9DQ6c9JB7PxoI/pa474XuhC
wArqBJuPB2XIBbzbwub3Gbr36wK+YHPgvAfifUUW63ocRgZhapmErbK+7ggfk8ysQMfXfH5BivyL
HcTnsDHxArOEMUNy5gGeAXwz6BTDoRpk2H7sy46Uauy6sQaUks7ekq2HA7wMHG8vLuHiC8uOekH9
uoyLE2yin8YGuLCwMfHistBrM8E+l580PDkqCZcnC1fMsLa9wCwJhxJ9QseJ2vWRIHW9wf/9ENa4
F5qyKlq2Vys/bet0EPCy5G33IaxpLzDHiYu2qGZ+ipbuLod5npZh+mXuy47KSOcCgCYUgyI6L88L
ShFvYdI3kHhfB+ZYNOAjMAwJX4aXfCIwo2ufgobElx0JoLw3RuG6h+ocAPqiwzqDSx3WtheWciKJ
XmaMidqg021r8jKXrf0rrHH+ekzyxamykfiWw9rAz/6M/xvse2jbNzY1H++p4sjMq0bNfdSr+3ZL
Py2BRgSce3FJUH/Xte0s4DzbXdZ19aFS6iJsSLywjCpJIoisz04BVpqMxyJFtWlX3oQ17wUm2A/T
WJ+n+MbGC76SBl5mcVh9IudeaK5RLF23oe8seklGgCfSaAp7wuO+4CiGfr4aGyQMtpx9WwFqO81t
Giahh8Lq9TyEcx1Z0vNUmaJl/1QB03pJSGHDdnvmXTaxp4G0FcGgAezqB8qa+z3s/YQzLzjjFXIM
BJEAtnW62eFQm8MuLmii+Joj15POAQojTvA0u5+T4gRZWuB4eFsmwSMbmEH4lJIJ8KSoqy6GtQ+7
lzAvNLs1GRMHI7hTkxS3+VR/0lsTOCReaLaFqWI5Vjjf8+iRag3/d124sB3T1xvF57rH3OCIIitw
7VNXXG/DIANH3AvMuZNrlMB+FCKstQGCa62+b1WU/giaKr7kqOzgM1oyeL5YC2d6Tl37AU9vedgH
9UVHtovXEpbLcE2qN5gLI135OOmOfw/ruxeb+QRXxgmCADgGAObklLYZHNHD8ga+7ijfVjj6AQgP
n/b8xypjoOCWPWy++MIdm+CZqipwZUtg6gj2kzaoKuTv3drOG/AfUky+dGdlkcQzChbEltHyfgcR
BrW+LaUz/CJnG3aSo16o9pb1+A0oONUg4pQ9LOSIC3p5g9H06wVdwEYQm8V5FRg4mHMD/GcXse1h
Z35fwZMkgA3uFlMSFoZw58v75jCtoPuGTUkvWK1B4yMY6Sc98JtqFJ9WI4NkdtzX7+i2kNvAMSyw
GGQPNamXh1m+67pzXr//MGl8BU+NKqsUHpBoXfGv4KtcWuPC8rW+DVEdNTi0GLiEjcMEz78KCEJu
AV4NGvHE20blas9wLQwLamfXQz7qKVvEHjjm3hl36Jp5XFESfpryCeDCBGAspmDRH9Z1by+NBpPI
KkJ6payBllLjleBhgizuCxoB/Y0W2qDj/JxViUvt8LAfB754JF6Egg82uNQipyoEA9hkT0DNKfLA
D+qdcuGpmmtT4CCaFgy0vyT+1nSB74j/vWz/kiGvV1HusCbGZWubb2NYs+Xbe3WLbwSQLz4qIz79
31RJgUuY6U8yz89B88SXHjVrWkR5gl5rAZyGLKsfRtUibLh98VEP7toMsilmyrhfpxWUmDHrfv7v
jr+xE8VebPJoa1sommGhtJbli91NfofdqboA9DjMnoT7KqQ1wXVfGYyNY6idT7Qcb9JhHMJOjb4Q
SaWrqIwhGPkpf9BwfVuFCjtf+EKkstcJjXY0rUB76Uf1vW7nIDUmnvBeb6CxhAqukhgT7sj9jEQf
YKk67OgSe9FJmNVmkniViNymb5Z1VxdcmzD7E+4rkUoYcZTwBwXDNFIvq0EiJIWmPGym+1okU/CW
o3IHDypgGFx3CUSkuMu4sKnii5HSOmdtcl5aUlBICr0MqGBM+sDGvZPuwkrVVSMaL9UIxi29Vfo9
ZdkbMer7EtlqKgo4s7JToSmVmWGJ+7GaSHUZHUfgOv/3SvDG6ujLkkB56/PE4W9Zirq+Gwxgomxt
wvxhuC9M6rp66OsEk3Kl23aYZrEci4S/c9J9a4C8k24HzTeBTTkeEKPZPIPoKuF43DjB3mn/raHx
orWRFmn5/Nz5YvoobH9N4rDKDMjqXy8EjOVRW8zn3KJNAIfok+tapS7wk3pH3aGI822MC34arblP
u/2qpOopZLYwX/4EtXRrV+BSTmCG0DOZqQeIUQXlzpmvgOpBsF83g1xuDr3aqQVqw0RArIT13AvU
OgbyZgFK8GSj8Qa0imfRAA0W1ra3m5KEzVHHIrjBpdWDYMWVDPOZY74CCvBfIOXIeVFX7HkCcEUZ
qQN77R1ywexVjjGkiYEolaCB91/WbQo7/DNf/7RGw4BKfQzJvGwfy7G8BpYnLGnJfNkTB8ys3yJ0
3K2ACQ3tx6jTgfPbi8s4ZnDmWLAaSpOcpbH7RQQXwaAdmp1du399RKQsN8UsBbzwFTynBIlOk3V7
2Nf0FUNxCb59bjBThrx8mtvp0Zbx56DprdTrfuPmzDrgxHAgWpvnjRB3qlFrc/zfjf95EWe+Zkjr
FnIECFaQJE6+5ODBoxTush32sLBXXmhCnF3OwwB/UFGOGywXzPhs6aKDjoqwVHo9MmPfzzYf8UXH
BvjkuUgh2CqTNijdgkzw69YjQYwm56FpdQ/sF1CHJOzBgvmGRZFxC5A3CCGtbZ7VJf9QgKcVOBWT
1/1OgcuhFaDMpxkQkNo0L3sZJl5jvmYoWiFZ1ik+59QColztAEaucg4Lft+uyLC5GeIBZzm7RACh
d7eboWGf0pcMCcASqJU4qtAOKGXqan2o+f8hE/4/DYiZLxpq6lySlKLfSarvix68Dfrxfwfnn09A
zNcMaUHmvT7f4cAePMqO75A5LmGCeOZbFREgk2SMPMXJxtF9a15WZj+FddsLS6yxREhJ0XIqvteD
/HfZ5fewpr2YnOOGLQP8SE+o8koz8I3m0xzoUMZ8j6JG0YkWHTufxeUzXqEuXDWElbwBiPo6KKd5
FmXnEiyEsyHQ9ugkg7g3SMDCfM1Qmc7zKiaMSsFBQTLjo5lE2ALuK4bGpBqKZAP7aBc7tOXj8OTW
MejZlvmCIVKWA1UU412N9ZZZgHY32rVhu70vGWJq0maszjsPGIhPtaZgogOQFNq8d56NZh0D84dx
qVt6qECxatOwRDwT3p45gC/TxtA+YD3ZujiLQDS4VQtkg2H7g68bcmkEJzhG2GnbFxDYy2NaqrB1
1rcrige2a0UHPMlNUZd1e/mjpNtLUOgL77q5gwy39qANndqkfJiJILcq7kTgVPTCc+5jkpIVHZ+E
fBgj9RHe46ewfntnWt7kCRkmCJvnUc8kG4t+uq7lWr9XffTGJiG8Yy0HmpWLHNIv6eaXJmnBfgU/
Imyu+OIhENjOqCeoEddcnXpaPORLmGsb86VD8H2NDOvxNmz7ObkRU04OMWu3d8L/jXOtrx4aI6HH
xQ7QCSYlO6S1pf8WSdWBPDaWZdiX5V6gltMAPycgQVBOv6isl0s2R7J75we88Vl9+yICjhjumlBB
kKZn910ES2IUzIRVezJfRtSpDTYjE4YH6bPbTdPvKYDhgT33AtXFoq4qhxfQng8KhEx1DS7sfAyK
Ju4FKsH7Z5s2ONxuThznMq8PTIs5cLb7oQqahirJucJBx5UFurFCPdVULGGro68kap2b2z7pQXyY
qgtStB/3PawUiflCIjvH0QIzHTwl5kpnRdV2Wb6F2asyX0ik26aIsehCkJNuAIk3wME7IAPDvuhv
QqKVrPMiwcEQsjikQ/pIRNiDOftNSdQjPaw18NWVaIoME/OfZQybKr6SqO0XrYsF8pD2DNMFH12f
miIKewBlvnvRVog+XZXEysKWMqOkuo3GKczvgvliItNouRUxEScDn+kHZorpNIhiCIt+5gVonIBd
ztcYrSfjkJFqfuj64Tko+H050W7W2sJIWUAlt603YKirrFqrIewMwLyNtOclrWl7PqIPP5I6/atR
YegR5muJ+tWIou/PquQt/9aI0iF1VoZ5UQEB/vpmgbtn2+9dg5xZsUMoK6ttuIvEmn4OGnPfxAhk
8FYPeB9CeSPELGTkVzAFsmFR5GuJAINMW5P35ycEegm/0tP0bgXoG/unLyXKrTINXs1wCZ14fr+3
43dFcx12K/KVRCMOFzqecBalUx+dSDf9dN24B6kf2G8KotkVYz5oJFmmtDrVoq+h3kjDjF2YLyLS
/aqHVKF107qjrtmWLV1geTb7TUM0lt2Gf5B62uMxq2P6lZZzkFqG+R5AXTfpVEy40NmR3Oo++aYK
HTbivoIoBhEo5ec8YpznH85NC75cBIWPLx9Ki9SQscdKPq7pUdn6vmA2LPvpy4caakTEF4WreT6P
hxVHobQhfdgy7quHOtdO/d6jzsbo+kNu+vvlvXvcGydzH2NWFC4Ve73jZF5RcgKdjn+fXIRszl4u
6aewUT8vCr/IWbYuJ1GEK9YJkofr3FGdVciDhrXtHW8jsrRWtyW+aKnHp0bv8SXkUOad09B51f5d
bsZ8BZFpe05zg8t5k6/1nbFD/okPMwSWKLSImixtEnnXAPH5c7WCBianfFcjQG3nup8LXK1de7ef
czA5TM7eWePTN36Rt60OggLRVmFbRfEw+dQOvIUDLkQeOkuAF5+O/bLyKDPD7rpDnksGv0MaubCJ
4IuPuq1NXaUAN9+hEjyAsfrSj5y+863Os+kP38qXH5EKJcVzi29lE/GlG0Z9iOM8zPmZ+fIjOg0N
S4ucnla3aCDTWXJs0kmGhbcvQMLDelRtGyYxr8kjs3tyJbaehS1MvvQI5sxrno7oer8N17OF3jOP
wzZeX3e0roaZKK7PLz5IMGG6Lk/QCzfvGDq8EXy+9EiAwpva2qnTisIGc6pUrD4T3eHJdx4rEDmx
ZZL+Qppmw7vH1KohbGvzdUnEdStQkUjhpBPjYIWwKL3LY+NI4ET17rUE75HgeCAKRD3bzNh4yaJY
h62HvjRpT91IZN7IE7Vt8mlmU/1YzUNdh81UX5xEK1LoqMJkkqI8uELtmbNx4FOZr01K7JgsRYGB
aZalPm4lvbFFGZhN8I2ShIjSRm1oPE7r/oJE7bdx38J0Q8xXJ+GOFQ1zdF7YSpVfNubF0c6EHYd8
TdIMWYktN2wHeeqeOt22j7EmcZAGD2nm11uzOy/uVdGAYkpmnD2F+vtch/O/t+Y3jhbE25rXLt4a
TVLo+8p++g4OUU0yHMx7ehxts33833/JG6u+b53itC01iTA6OlpfcIAes9jEYRdcX5dEHMqIthnL
MhGDPrQVhMmm4aGz3duJBWnTbnVYPAWnRdbBQPJiSNr6ncH/87hQX5u00rYSIwhWOLks35Nc38Ek
PWj9omdA+q/HOThK0UjBPuE0r/EB5ssPXcGCLv3UF8rIGG/OHcWY7DtBcrgqElgRubASJepLZUbm
Otk1yG01O10yhZt5vIXBeqnvrtPthLSkhlYmGt0n2Bk+djKq3jmzvfUtvZnSAhY/9FN7Tg/rCLWg
6lTl03sJi/8269/PTdTXyuzVONbVzKB+aAfVXk0FWWQWpWXELtvGNR8Mydst61KsoAdVVvJzBAXp
fIw5nBCyvtXldJwggjv//wAoXSw2T97zMIjj/w69f+idL4MrUrWTYsaTB2qQVH5XOOHGrFJ1EmXT
OBUyq4ZWPFfFpMtDLDreXZmOrp29TOZxmvfMbjvMcCGMqrcYf7aiqqNmcXldTXL7uVVGphnU0/pY
FOl0PXdjsl2UPNLj0W4GauQNhPsJLusT3OL4Ehl47EyVzHJh25dur4U6pUu1tsd6n3N9SCaTf+fz
Zs2x0nr5vBKri3vID+WU5aov+8O2zdPzss27/JnoNi9hgFXr4cZ07fK4geqHiplSK3EHM669uNu5
GNWtjkxZgGK7D+YFr49yud2WuuvabIn5mO+ZGga7goNOwAOU69jCNRL8J7VegKy9a+hjuxgCQtrk
4xUorbq67BYkwL64LdnSy21TTXIY3JAXn4Fx7D+0HS5+j7viTZNpKkx1kxJWkwdTDzE9pBbZ7Luo
K9vlAx96s9KshC0OxwIWdymSog1gre2h0Q2d76YhXau/F3xse11sWkwxisjEUD1FFJCduzLZJ7gu
xROR3dPEpsLi2TaGTDtLpmWOn4aJGHeNE32hsnbtlAPwp9n2C8Blwdw+8iFv3ImVRcf/Hk209DIb
6ilptqMj0ikFw3PtFgAPplanPxbb5/FPgBaG/hOVUD7d2YYv5jFiMkpvhyVK28dJ7TM+gJp1PmWA
Ns+GH1Cuv+3nTuIZrz1IVDWUn+Z64t1jUXNVswPrQdyyWTvG3XgHlIBQLzoZ8PA0Ob3n5VVNMMqo
EamKC1XueWczAZXXczHxeHkc2xZJCGnKuT4s7WLcP2m35MN0GnsDa3869O4WSmc1UpyuuRIE5c7r
/NHkNd4VYNLUxJ+avKTJ0XaFOg7OkvoY7W2Mr84ZAaTPsK48kH2pdzzPtONDL5P+oZgrBkfEok2/
5kzZ4kYoOeCm5/Ji2PGDorrB3a9n3UGo9jw49rLDKMRHGi+DO46aV1/I3nXukqZtdIOM5BAhTVu2
5LQNln2I+za+HtVM+4NpuzrJ4q2d5EVHC62ylIEmnam+ASIzZTzvsnlukJtuQHf42lZm2TJVqCLO
2gjvVdqR4VKBkXEBCzn5FaXfeLO1w94dTDlWzZHly7BlsWrt5WAX+tcyiI1njlurIVSu1HIE6riY
Li1n9B+2yeHzvpTfQeojzwDW6Bpg6HrPj1yyorvqeouXmnnYi4zMPP1EN+6OJhXLeuFgeVI+rEUa
XUSAO5hrSAzd176Pi5tqKstviY7RM61hWXhoFrHQ6zHNq+7ZRqB4HcoYvjrHvWn7NIttmw5P/ab0
U9OhVj4bljz+sOZalUdXE6KOolE14G1td92lu33KbYQL28ajfD6Oxj03rhdXmwRk67hSuQwXUWs2
ezEO8baccILmOoPdxvTvUBhK7kmpuzKDCqWvb4t2wjtahyKx5drUujsMedSYK7rnxp2w727uHsrg
a6OW4d94L7rusi3qo4vmosBa09Nr3cXjiykZ/nO8WvTjocZb0VOJinyVIf9CPwiXNs0NEEwceoCi
dvyCslV91H2sp1vmLMqBys4u+mKa9iq665p6cldAzqy3pgExOVMWzkyHuaDJ8iGhNXwOab83F+2w
rSvgz2TbP1uj1kuJd5K7ipW1OcYURcacIbFxl+6iIYdVbB0qJjvt7hqxCPNzWBojLwo+yTVLtRqS
LOpMtT71aYn3kILuLf7NULWMV0Ct4lO88Fwft9YAPqvXtNqfO14u9AgnYVTXkWnYn/GEKyNQJlKr
v07pCLdsQPFmeqxMudznUPjikVuNa3NatoRuB1XBDirTk9DTZdU0wNtmnM5NRlHtfRvTkl7MbT28
pBtwhss2qOGq11D13gzbtg0fltbYHO9OEPqKJ9tt9XSP/Sjn925Mt89bauPqItpRfH1Zqwi+Cwfd
U5DRwKkRPwspHGrIU0JzlARWOr1pJhj0XRsY9Gqd1UVP7XEa4YR1P85VWoEMFZP6FjOqvy9VVaG0
fWkLvMCC1nPa+jJenswZlPZIed3Rw6Rt/DeTcJ9DSq8t4DJ/9k75rKzsy+aWFkryI6wwSV7BeWOM
jxVT5DR2xc8awvMXJO33IwpSMNHLNO0PkYSfHa4ITD41eLf6Ilw3/0j3Zu2zuJ5kesjTnF/bilrY
8C/rPXNkeq5qpsShG2ALaHVNb908zyZjS9feImtTHEaU0h1i25Br5kx6u3b7SI6LEoAZKvxH9Vfr
Svs3Qw3vB93Zcq0zllvRHVmHef8MkZhjVwPdiclW6Uh5UTc6rQ/10sz82CeT+BrnqUB2PRrX/YCo
ZlHWJVMfvyCopvy4pjrq74pmL2GjV+/dhXZ5xS4htapthqnnbhvmYIpO9ri+LikYwodITazPYL8n
r7qy3scD7CiG8krpVN4DJNdPWVdFzXrJy7piN7SaYzsdhnXYxiUbyOboo9WlZIfFgFl0THVTPDW9
Ff3ROlJ9KpLBNRnJFzoeXN2MmZlABMsGIfTyENWpnA6VS/V1Z5q2vV2l3JvLUerIPSdJvE8HSHLw
5EcLHEMKtVX0QikbdVdVXUtkfybWZvD6+aeNZ2MuBs5rd0x5Ed/o9f9x9mW7kePYtr/SqHf1EUkN
FHCqHyTFHJ6dg+tFcDqd1DyTIvX1d0V23YtMlcNxYaCBRpZtSuK4ufcamjzbcFjYdKtmsrO49PgQ
MUchpBoKt/miYHCswnHAORAaUj6VvA8OGVjhIfRwb/Oig5dtxnKK3R40miJONeHDmiLqCDUWYxIy
Q3BQK5vn17pMqzCzi8mGHbjajgXuEf5E/JA1hIV4UhP3QXKjZfbVtHAOZtplW50pjkxM66HuzUac
ZdLJofBpaWDT70ZbVu4+kakrIqXbQV6Nc5+oyBsEPJXaLrW8NWs7UEwFaH5UhghkxLQjdu13UTlW
eRFqOuti3XJv7K6ZSqWMxrFiYtvMBXSFdRak/n70EZOEXdcq+cPQ0g1CZy7h7qcQiE/xkEy8jLtO
UDvKCOIHSLBru//C08Qa4o7wRMaNgFcnXkgPj8iVtVk0Q3/6iMAevH3mJur7JDk0ahonsbNoKjCb
Dp7fBdfIys7JxnIRYG3KZnDNY9D3pYu5TCc7qsVoqtsuVexr67YUa8RYDaKUILG6iEOGtkJtnDZZ
PAyQedswC0oEa5YEDtnBDrIMYsZtIe4F+E/2dRW4sx8iJBDbqiYWRQ9UdLzmFBeNOJ2mJIjaMiBf
pG/pAvm3zCvqrSVhtBnWGWLXKHCzil2XQCmkUZEN4N4oPRQ3io4ohaYOhBxCbwZcb+sGaVEeupST
R+TnlR9h36w3PiX8JtfGHuPca7Phfib9dI/3tr8xnkAYsYHwQbazZ9ihhBCq5eplVobTFQy9kavT
1TiZOPezwf8MgrHXbz2MfuFHvU8C8U1WI8xR5wyV2lDoOnh0eaNzCDunnr2y4IubRcYa7Xotaijs
xrIfpTlAZ0r2kSNq2sWlhJodHNK4fcxErRUi4KGsDxW0rr5ALYXboYVQ3IRQ3PCxffqtfg5orUkK
oMk01dtBYYPeDuVYN6uhL8CQw7uqABbzuZsCIImjdyVZZ5U32McL/dBI8IwOs0lxX6XaFNVOa6jr
xr0P26Y40WTmMRmp40Qz8Tpnm02UY79RNIVq9ziacUtmD1fBKUdY9RljztwDzMSr/rWtcYRuXM+Z
u+eCgmIUMY8IfWvc1JA7piyZriAVlPC4zu1q7QFK+7WhZLxOGc7+mJJOurgxVCM4EAzE4rh0umSO
g7qRctsOOmcxd/La2gUpEHd3CEaZjOC1mfWfeDW37VUBxTdEXKrWSH+kY7+20fJ1ncwIMqsqZeWn
nLqVPOa16wdfrdJ1mq+KVrZ3Q/Q48a0hnD0q5rIW86xsbxrVu9m2h8WPGyO0JkXUQfK/XmkJ2fAI
BAg7eGUM+MImzMg8AfpnpHW0fC8Z906L0kc0l13ZYsW0zRx2uRsAxesDdufvMesD9D9EfKybzE4S
6xbWUAgH8sTCCgq7Nk+9EpQqjNOaGdtMKJ9AAC0k3ihtcBac/tEZSw+TDtxx3Ty1jcynlwBClMnL
WCRk/h4ozNzhB6VYqPbJrrHscU0NuJdEsqS2DI3faLYaupNLXJYF00EWQ5/HpcbpFRa9wAVXZGP2
7FSe9zXhJEjXkAIcuQvHeB8rAJWiSaxlhTPTxMzC/yfwASjkpA+JM3WNuSUwuUxNFChWqDbGXpDW
GFTJIYuS4+LUxDQfcIMZU0MhzYc6ZLCC1O9QxCwrzBDBCoHaIdA4osWuoKEUonDh/qwKEM+RiAY9
sfJjhI029N49PwEgOOSqNM5XQnPmI9JoiBU5aZmJG0UmJl6xzXZ1PAWYS+tUdj7fcVe1MFxwA90H
T0Ha0+FepsgS3NeN35bR4Hq1wE1DSHgJlwybn499NFm5hIgsAMhrZPMVhtXLDjOsTx5o7WX5hiim
uhtrYITGCjtMvm+abnqABypMW9taps5dmxUK0SnyBfardJlDVr4NeuEWwCY1Rz1CbvUwmMFWoTtX
Vbk3w5SoTToQhlLXTH8A3TPZ4dQI/WyDSPDApZCghFjt0EPdVLI6LhvptAd/mrLXujbJ0IYDhb4Y
QvimwCwkcDks1lNp+zm+kodKDO111fJmi0Uov6Z2mfCQKcm31Jv5j9z2cWX17NJ3I4OCybBiReaX
VyNGpc3DopPIVIdmrJoynPOJYSTk7N7CABvENzM7OrQxvPE0jI6KqdvRWy8YaX1gKNkxxD443kJR
1m4PEGcpKeSHBxx6ML8M2Jp20FVdBS1lxYsmopYraIsODhwOUxJgbSHABnYVMzNMfdHh4HVL94YG
cLi7dWGa1UQMqeg6mnFRLuNsHof0MOvMHbC/lSkLAZgGUTzDHXTcMYjQXxkpRR7CWGrix8ExPe5Q
VsOyIYSxrPfFLQf+nWnLHp9sMgz6JvXBxlsjsQthWdq4CT5B1y7MwIBQSyMPXvR3aKJzj4pbfMQ+
RIhEl0NJDprCVZcXW9ubKnimS954LIJ+BflMbGSfQg25iYeC+MjMwNUlwU1Tew3f4bwBpdABYGqH
7HrjbSpZsAA5HcgwRLbV9RngAtjmIPaiNK4BXms7cZc0wLLJSnTJoSf1DDNy4ic0whWP309pF/ih
HUy8jlo+ZF89CKPtxibpaSRoxT8lkgMx3bVB+tiJzvtSSL9wI2IX2TMoYPMDh1MEkibGhgqhaTe4
/ThBqFIW3CK5ZoEm26rRi6ypqHd4krllhlkr7K7FXSHykSJi0lMVyYQPG1fo0d5VuQGUGtQtkkRt
4cK4JFcwRFrPiAXEGqrarcBhJ+FCNSXYN/dWPzXpgzghgP9qixaxDkVJxvkBfq5IHyrg7FGrITiq
kLjhuD9kCTJu10UwlsfBuPYqlxb0fDL0Sbfq+7zg91DHtafItyi23gRHVy1j1NHdJO4lIvwOs8wi
yKlZZR+6GumkaNZpBfVppElCN9OrImiuqeubTxMt5FaU3DaHUTR1/zJoO8GJUY2j2FtmqECHtHnG
AhXm4NbcapuxMgqKrupCsGQs65Z1Jr0aWcrtSIytv5u5tpLdUGsIgTdFIrJPlYCL3i0yeZIfc5/y
IJKZEHe2T+HElLFZPkqbFR1MB5PGXGncrHesm7qDSagjI1ygIDfkJjhNR9zLitsaKNRvpCrLLC58
hCdh42bBA4PL6B418RZ6VlL1CDVVpj8jWVMjjLbAeMX9Jm/Gg9X7Hiq0/WS+pJLmx3Su6iYsgyS/
blVT/SiJ73c1khEEW0Ziyrk6VAq3voPqeZCHciZSR6bQuOy7dWlBJcrFmG14XqohDaGnkyUPvita
frByK9uXbVFOUe8U2trTRMoWvemPrzATLEToyjH1QzI7pts4UJt6klxrFSGYS24yOtGjkwR3UqZA
kUL5jusYe+d8NbCspccS1e5XMOr9Ow4lgifDccPY1ykpk21PStvd2I5n5AZ2L/0Yjt2U3bvgKd45
Y5J2YZ/45gn8Rf8rrad6X4ysXtm1WpsUCRe3fpmYLcvQGYbpKwoJTgiYDEI2lO2xfTb2tcAl84Yh
EQ4PrQFYgZVCDPU5JbPedThA70CmGaxd5WnkSksvme5AFJ73avDdLDRJUO5Fu3lp5ykcDRzPtGNP
sb8ZA2hMRN4pJZySXDzQUqRfCcfkynhWA8TkuHIDD0nw83rgGNtorAoMRQ47omsjSnrtidk8J8j2
farcZLgxbTCSbVCTz4FtQjP1P1yhHueyJMgwj0Lsc3cuWuT+3PTgdmm6w8BYYTt4HlZ8OVUmHod+
qkJ0v/spsWatYg8RdB9Jq8wAGkKi7QebEfdiNTAko+HoGNwHuDnfZIHkNxbLqwFHjxFDSDBtsU4H
U97l9qTVem6ZU6zSzCABq2yne4Kdi01xfDOGNH1l3ZHAGneE2SM8XpKpfnHc2bxyo1obmUjjdjgX
Kv6jhiTad8dVOf7U61QRJdh8EyQ/kKNHSjKlD1QgUw2u3SSfOlpXNJxqBlWDsu/HJG4CP+9DKtxE
I0I0+ii1zvLIRaL+EXAYpiHJY9UCN9Nh+gt5wrZeK6/jr1hYdOt583Vtseo6yElxxeZeFaHXMnnT
eYG4wp7tfysqmJJfgF+cqzotOFUQeB6H1s2Aj/cV3YHEaiLGgo8J4rClVUppI79BixrQEUxxSyHm
Kqn19JGaMFvqBIiszTqVn6qIJN/mCtsRodPHPG/Ykv/dKSdrBpgHr7Q+zZ8WDuLZLK0PkRLYkgBO
WGPSBGfpCqKbhG8zz573dEBJ9EMASLZkgAO2ngcNykyrafLu7eRIg/zrhzp9yf42Jke+JZ0Bv3KG
cBbereXRj83EJfUbVSYwP2rMFSGSb+1UPZGeX0L4nZnlS+63rP0yYSnadkXyZeBzlPsfs+JjnP5e
J8+GrHRzjbJtatV/uRUKWkL99bHOXkCIGPZXBokAKJvVsHRwJ4+hGvr6sbYX1WY2dmmAqyHY2RV9
nVFpCTqiP1bJXjK/UUMCM6Y78TR96xvM4saYiNL5EBqNLZnfuN7oirlgakIGJ49z3KI/o5bWfQya
sGR/M8cgizicJqEkyZEgX9Gy+aONe79PFbjvyqkqGqAy5XDtmTyi7fAhHRm2dIyAaCSy7x5YVM6o
PyO/CCf19MuHZoq/AILwEQUzi4BBlfSG3WZF6oTTLOTHNpQl/xv1US+Y0xR0ewv1nKmzdn6efkyK
ifmLtelOtg0BrxYKXgwJWhQwgGHA5fpj/bJYnUroxJ+h4wUMXvBZdShMIUv3wbYXq7PSkOhHuhs4
k55uS1+uypp87OxZEsCVN3eJz/HaSOiupzr/Kyia5w/1yJL+3UNH03NPCns+k3M0scJss2GY44+1
vohUuAHCQCTQecxlMMA4vI8J3CkunJinRt4AoCz53y6SOdDuBSmmnCRiR8ESGKr2tgb+grUoDiO3
lRfttvKI/ttL639+07AY/vO/+PdL0yJxAJOmxT//89hU+N//nv7m//3O73/xn81rc/1cvQ7LX/rt
b9Du38+Nn8fn3/4B613AZe9QETb3rwPcEH+2L16b02/+//7wX68/W3k07euff7w0sh5PrYmsqf/4
+0e773/+QU8Yuv/5tf2/f3j6gD//uE2zMmvbrH4d/vFXr8/D+OcfhHr/9myoBQGCjVrhT5WC6fXn
T4j374BC2YMHhDswUwHcsAbMOz099d8B8zyXc+StXfzOH/8aGlz0/vzD+bdHPDsITroGDiWneOv/
vtztfwf/v+OBzvj73/+qZXXb4PYz/PnHW0BlTtjyaJhGK2mlW81HiIHtnEm/0LJyIpxFDCmlaeWa
kq+T2f72S9e88bS3JuTpaYuzgk+5EFkSmKOk43eH1U86018du360PPc5J/LCbvAmLuz0nBOs8xfW
hm2yVCSk00eIcEDWGCBycqd7X1yXeT7eebBcvmuAQzk0teN/xhW2Q5ZapemVnPIKl9Cmtu9R8hqq
sHQrlBnf//i3MKWnl1ocOYA0mAkyIOZY8/454C6NPVnNe2y0l6g2p25crvfTEzBZfv1smLIHPtTG
1ZFYyRYs8mMP5nc8CvPUseaSo8u5h9DfH5JQg9okrzjcoXgEI42YVFvP5itLXYB/nnvA4ghyqnzw
M6TJjlYZFN+R8tfbnuZWhNxtdTcqy47eH483zVZP3bU4j3wB0KCftdMxQM3/k9M0zdpvkiYSSI+A
iT+odes4Y9T1NtkC0mA/e2Uq11ikLooPtiWPFsRcv3TJyJFaVFN+P+nghBPuaXZjkIKioeJOsU87
1d29/8o/ofBvjPDynGucilUsHdUxL036HIwejd1W2I/yBPYNuYX6Tqi5V301tOVV2Jc5DHuzjl1S
gzvXZ8vTMCH9nMC9Tx3LArUgnt52bHhp4Ho9VlPYll0kO/d2cr5wQDp83w51yeMsD1aukrvJncBr
Qb5kcO5mUa2sOt9k/oWueesyhMFcWi/NElJMDsGs6QCe6EdQHscL8+TMfFyeomkveqsr0bJoP7dB
FYLLH+XJddBfWlFnNoaljEqrUr+zNAZVmVtbrG1+lbeb9yfMuV5Z7DnUTiePWtgRnP6z016x6QL2
/lyfLHYaRw2dYR7aTbmDa+dNlebhPKAW0H5E++E0notthnAvaChyIUdB7my0rpILN/Jzvb3YXjwp
URqdIFQD6cEcAgrF1VC5u6KrL/Fizz1gsa1UAWrJqfSyo6P7YVVDpSlE2bHHJcbcvj+qZ47RpZaK
W2ZDC/CTf5A2oEEQIA2TLPjeWPV+dsVu8C4aJJ4Z5qWyit1w5Hn7hB8yEWxGOw9zCuQE4Mr0I5L7
GOaluopsqgxlO8oPLeripa43XVNdCDbOzP2lqIrdOVlqkG4/VELKdY7qJIwHvQuH+bnGT4P/S4Rh
NYFAuhWNJzbFLpbyIS6NfSFFcmYGLTVVyo5kFaQ8/QOAMkczFvdeD+qs6e7fnz7nml8sXjWVSGVk
iX8QmX+PjDyAji7qK5csms41v1i5SgMC6faud2gms81JclCWRkHNGeL3X/9c1y8WMAUOXFut8A4d
cEik+NR3lyjWZ4LhpaxKbnd0qsFYOKS1R04g7c/cmZ5gRngNi8AHoNN4mPL+Y4t4KbRioeBeg3Dg
HoxVQBRauJtMtC9jV97ndVvFg5rX7/fXmd1iKboyzCroWIEHAXd/6OxsrSTES0SS7PquLIEvzC5F
B2e2i6UAywCjv1JOeFIuyBD6Co9JuDPHzdjsx8z/iN4g9ox/iLFkdTHxBo8ZHRqENNDAZLOPGMec
Gl8s7CCwx7SH4v2h6ixnbzco4Rh7mD4WSyzlWPqpGLIuO706f67LZ0deifZJmQvFg3P9v1jYZQMB
8KzOsG80d/V4hWNuPTEdykFfWHpnlvZSkiUI2EQBwPAPdeOk20Q1r0VuSXSQ8C4QWM99wmJx17Ce
Bmg3wGSlpt6IU7yFa1MTwm7L3kDg/MI4nNlDlgotgAcw5cBJ8zB6QFlQcHHypnt+f72d6aSlRkup
uhTSDJ1/UAnnW9HQFe4ewUYDH/yxB5y2r1/OHlrNad8Mwj/YFky2miqJOwvykuVQfSBfjDWwVGpJ
28CawTf1DjaFjnQJyEXhAXHx/tuf6fqlUgsQjLmhTeIdCK2scOrbDKSJS6YsZ6bPUqtF5awl3oTM
Vj9MkIGwnhqAJuBfTlA5tS7JVp8b4NOX/dL/hkEC1ml8dE/GPk2SPinRPVMC1Mj7PXSu/cUyNk0+
CQlw2yEbj6C1xDmAyba8JKR8rosWx3MCfGhTQSvyMGS7JruDmvpN5fixZaXrj73+cgmD19WkuIQe
qhE2KqwPvlaF6B9K1V4ygzvXQYsIG5AWzh2JAXBSwDwHVqM6DXpcnPb6kmjemV5aCrnI3sC3NsNH
qOTZHawTvTUEoDuak4+wXLHIlnouvW6FAZ6pPQLeNH4G34BtAq+45K320y3kjUzBUtNFsHG0oAFQ
Hue0FNAoHqt0naiy/It7VnJtj9r/okqvrlfWXCqQhrhV5SGB8uNjCobaBf2Gn2ZIb73FqXt/WSpD
YnMCMkFztKYhh67Z1H8jwKPvWCIACZJVzrKwLG2I4zmQKoB9b4mYAVjYgW2AlnE2bTGaQ+r42R3s
YVwgLWb/wGnepfGcmeQWYiDe3u4TEzrw74mzNNF9SIRvHVvVXTy0z4SFS52ZGuhTCB3x/sh0L2ZA
AH0xwoh15gBx1il2SN9M1A2BsqXgkgwMhK73V9JPiY63um+x0xTAUwUdgENH5asYqMmvuvP2jUr2
AQ+uVCDiIs33Frsa8Vp941/pQYdDWkCTwdvIDMDEWXkhd9NLbN4zC2/peYVETsYhYFEehSJqPzqd
uyO5a13nwdCtLnzzaZd765sX+xPzTGGDVVAeiQv83nWQTqDCFmVZIczovW1dCJPHDppKY88oe6My
C2KopYtUHLTQnKusas2RUHv8fuGF3v5ouoR7VD5gptSqzcEN3TUO8zhb3d/ykIfDLgnx5M0lgYoz
aWvkEX9fLUYWSVlkeFIFfZ6v5VOxB7+P3/qr4YX98ACxFBHJY/Htwoe9Pa/pkgxPeqyjRuBx/Mq/
Edc6zrtYIZUZqvAlvzYxXYvI1xFbpVt94Wb79uH/s5zx636Qo5qoVNOYg9DOwwlhZUbn8cLnnBun
xcQhWVNoivD00K1wY46q1RDpsIig0h6xiKzsuI8umVW/fTrQJWMeDGqUbwD6OuQTiLCtf+uAMx16
vIXrtn2pXHruexanXICLm5yDAsPT2bc5iDx95u5dR10q9b79Eewnbf2XvTlNik6NTVscWwfARNx4
0xgsmyqcE1quZCMv5fN/Kn29taIXH1KNLUBSLKiPSKUWf2Gzr/c2eCF7GBaSaJ5BpY5RoOnDwSvE
1mA/WSP7IWJc8/tjo0z1OXE7va+NaX+A9GEDm21bMFFzkgLyLXal1K1DOAFlBRXgAwe97nbUxD6U
tCFf63wkkcwF2F9pMJoP3VJQtvt9oQ5W76je4/qQQzmrbf7qRgmva5i7iWb1/mw+M/hLqNbgYNcz
MEc7jP2uNENYgRVm0Yf3Gz+95j8HhC6RWhPk3uDUkZmDVHJ8GguQXQARLNiNCALviO1Or8E4d3c5
Kt5hCcGICzvO2x/FlhpaOvNYjVC8OJYBhGCKY9rcZn53Ia97ZjovNbRALgJF0KmK41TDJz1rTbMV
oDTGNc7JQ2+Z9gOgFMRtSzktQXgwy7wpjqofnajxyxUQMJfSiucKPEs5rRH4UT7NdXNsg2ab5FPE
UiSp5x9ul4c9uwk4cr4gIluf358J5zrtNFK/7AFyaPKO+1VzhOAKJFbB46IPdTEiv3v3sQcsIphA
wvN49lo8IN+n9nHMIJ1QhjVW6/vtnzkzAZ39/QtqSFiMcFGrjy3l87fZwC2vR40sHlK73oIUS6AZ
3dZf2OSaY5tniCG5qvdNSvtPnmAEej4q39ZdX1044c716PIUcoQja9epj3nPt6WZbtrGfim0e5RZ
eekK/XOL/ucCZkuLQN52wCHLvjlOkY7LdbfJ43oN3dY1iZuIxzBpDaed2qhNf1VvrPhvcMdv2I5f
wQI/FTLfeu5iJ0f1L0E5FuH8GJuVu/5GQrnpIrFqolcVfjker1n0/OlhCtOVHfYhDR++f5fR+wN9
Zu9Yqnf1XTOyoMmbYzflm0ErJ2z1dEeoWr/f/tuRCVsKeCW6TZitoZQo6rZ9phmp1yNoRxc2jTM5
WPv0339ZZ3kHDDLkHoujsK8K8ej6ftQ6d8X8gnj+/fc/M++WMl5lz2wiIBdylNZUR7VrgaYE0U1w
JQD5by7tT+dGYbFfgBFeB5DIwCarqpXKEB8GuLbyj23hS0UvbRlTU4TARzqDo2Z9V7UIeWbFrXXh
PnqukxabhT2AfjyczohUAxfhZ3HNRNz4N1Zw//4onJtFi9Xvoupc80zWR1hU3g11s3N9Gn+s6UVa
BbYdCrsWyirQCRmPllvAaCuxLgQ058Z1sbBBZetyAr7f0U7b11kNX0ZR7RIK/ZP3X/7t9ulS0quH
2j6r7TI/akGudEZf84TsgZN6fb/5n1mNf25MdCm15Bu/hgoSAvIxnmMIqK+zFebnbrhWN2U8b1+g
GrAmVTw+9yGoIK/1BiI5EdSQV2XELnzi20NPg8USJ4MorUrj+uEAYpSBUlPb/YVp+2bvQUZlMW0b
rhQY16LfywaU6GRIQogEgcmkyIXN9c11gQcspq0pQV4ZXafbo/y1grQp6cE0FDdz8Pn98Tn3AYu5
m84gajOkAvcqO1Y2+GL5i+N/qGKDl1/M3Qp8/U5Odb9H1bSG5YrVr/NUFBeW3ZuXZNtewr7dHpIQ
0HRUe8jchIJ+zcDDFZyEo792krWYnQsr8M3pg+cskvoBlxL0uUrtIUVlIg8Ii0OeN9b6/QE41/pi
cqZe30N5Kuj2EPMZbiTY1/tcZe2FPjozfZawPlu1paB6zvfctjYE9LkIIvVXDWSfI2g7mQsL7Mwk
WoL6BuiPpeVs2n0u2BYWZmU0Qy00JL1+eb+T3rwWYQhOnffLIe35yIozPYLiTEW7MlkHq4eaIcCv
QaL7lrepF/Gu/dZPPnjsLewIL3zYuSm2WN5Q3/bGvhKISpuBh3kpXwLkFCJo8YMi6KWwVepqf5+C
cXthuZ+bDYvlPoEAXw356O4CG/bDIH2NcMqjzQVs0LnWF4vdAYGzLBWY4opVKgzSrtm1bcq37w/S
udYXq10pOzj5Ylf7xs/EqgOG/8YNnEtOjW/fv2x7CbBz+Kh8oXJ/x3r9HVxLHfLavS1ZdU8ARoJQ
RLdLxulKzcF3mKJOF2bAm+EhnrpY/JPXlxb05uo9KsOl0JBmKXCLuYHqyhY+gxcecmb9LBFyBsaZ
ALO6ORySWHqj80ynkKm0mmuAV7ILo3PuGacd4pclJNqOQCZPD4c0+6STNbwXQ/gBffADTg/9pfFG
tdwkkJI6QFVi3kDKZYxF5tRXvQcPvA/NrqXtWAF5DuUOQXsgHb+CcNou8NmF4Pa/wc4/ghSM8nKd
9041F2MV7KEN0Fsnw1t2w+DPMIeqKuWt38A6pYVoYzRTr9kI1EIY2MkjAAiFGGMH6FOIJFX9sKlg
VP7E7Y7JKzO3pg2l3ffdltpedT9NFrjVhubVd0gsNH3oQbDhmtHCO0JLEVonSdX3B+IBLAAJrUmG
roHU2uCmfjRDVQyCTbaABUAQPHj1qHXYpdS5GSrPrOs5H25B984PkCrPrkq38/eMAAYKd4ZN2fXu
XVUkWVRJCrEX2w3WZmI4jzNGHkeoG0ImytjrxEFWP3KmKX3M08y5GnTvXA8JtSDQV3kPU9HMEQnq
Z+inQo5yAFNhsEkX2sy2N7Nnke/wNLe+aChdPHutm68zq3CmteVauHJ6it8T2rvNde0WOo2yVsvb
om3JtW0B21vLAKKvKItBX7HIUIQOYXFUHl2BwziCEqOUK5pM3qdMWATcWItk4RwIetXhSIixMw8b
KKrZU1h4ZcFQYE7avSCGrZq+aa4haNXfz37g7N22728SQ9VVwnBJSkyqoqk17pXSPLhL7dHbDRBk
PIwFy68SKdzHDmfRKimK4pQVZxsTuOQvFRBoNkLtgYfQ4axQwOvKXQZ1IyhjJvVLpaAPJQNTbn1o
xuyIafON0na38WeabpkkwTfuQKxAQPQJipodm1baOEhPKw+AilOtxE3G5muFT5kju1eBDjWTwWEY
J2gjWCOwOlRDSgMJYRLxObvlXkpBdp0ZqMteV0ITrYU+yGbkJoBqaY3Jp2e5dmAtsAHnf4Je0wDb
Pi9JNnSYEVO6qtzB55Csim4yxz6AdhPUqmC/Vwf5tgFXImyc1onthvUitNJu+szrXuwCQ/UdlB35
GtoIXgMhKuavkQfvvJiXNY1Z2aSHonKKqFE+BFVFPa0cmIauFG7465xB8sp3O5BoewUXaO5OdGVa
SJt5Lg5YSxbkxuoE8hdWL64CO9VPQ31C94q0P+qA+PuWJWSXQ7mpj3pikxCCVPAI0xoySZ6n9Nr1
C/M0VIBgAJA5HNrB73eQpwheA/jxXvc9hCoiysGixyk7DQSCNMMoI902LQ/rpqghfTWLsoXsglOu
qeFuCMem+csMyaBV0tjOAyxcIOvZEtz2AOs8FGk1T/vAuDXw8EM1ruostXdDQ6uolbittUMrNrRN
mwfPlNmmgvd6hKAS6iiWyh8I4eUmSLwyLFMoWmERQpKF+7EHa6vDTGGeoBPxw/M8P2I29CdiNwWx
veTSXLsSqB8FiwpUhKDiVo1QNNA9UeDVT/oWkFMuwECX/DVjjrAPLczlwQ6oUdRObRsl3cCIWMNm
yYEyBoUQhj9rSP9gbF6IyfqYA0cUSj+DVH4xugcfGmPr09IKVNQHrN95QFyAwNQ230zeVZFWOtt1
zOlXwoY4nNs36SvY7NNTbgfzYwrZgW3ltNOr9gb7yoNK7P/h7EyaY8W1LfyLiADRCKZ0mUl27o+P
J4SbOoi+F4Jf/xYe+RLGxHNVRN24HkCiZkvaWvtbKNiU+kMpl4VjZJqxZ6i8uMJ+zHRGta7cJlas
c5ywZAdoL8gc4VSrNmU6KKCMiO7M+Mx/1VuyDwH2z65pFiLXVlcyOIjgr+H2uqzqN2IWsXGQ8D8A
yYHMC95PAkWKDepUegbvsC0BOB2AAqMK7bSjSuO6/926u9T4cWiaS4n29dEYQNKTwZl0MxnaKS3P
tpzEVpb2pbivaWCowVA2eUzLyM+q7ljR8QhPht+dUJaiPgoqnwXBVHXselTVA1+7w01X5v68rK8c
UJaiPl1NdQTxsDqa8kOMcTWGutsJEEGkX2kSZXkp7FPHrAV0LKqPVCpfQB45wwFiI3e40vBLJTzS
GrKcJGMY6K2he4IDvJPKBroBKNNfNY+x2LGPrQg7URRhAAHNDpyyNxR+cqdI+/cwa7YSuCsb96W7
KHzo1GRmfx/JUN2YmukUo9hooZXt81IPryk5trFaXh8b7oxngH7ixMXWmW7dYK789KUMHghESZoq
3QpElb8T8g9Gkfc/t/xK3+qLc7nG5UJuuVYfQYIB3TZxcGthK9LWQW9l3C8l8BHwtCZWFozKTL1N
22kP+qAPssirWkUb29q1tpm/7MumvGGD1A9aWMNX8FmPH2jx9nPLrD13/vuX55ajlbemxuojyJS3
whJPShfd/fzotVZZ7MM5cCOFUoTNsVHBZjdPIG4erOxSDePGfFrrVfK/v70rU4NMKdoE2+TEfMjp
Tug3P//2tWZZTNUG92m6IvBoi/wr6nsSbqQY19pkcawusUa1EeCMx4HeIyHgyxCalF2405vfRsg5
6/KlQ7HAS1IKFPOxx6EdBEjgZfok3RiFxme275vD1VKa3PQ1RJP1GB46EK58gDujJ5GV5r5Xh8Qf
lCj12ooIT9dZCdGBnrDbpOSokCM0jcCLImzwa6sQEFuE3Y2UZC2YjqVy5UZE/8ppk72qRt6CyqjE
D1OFy3hofLHn4oKd84YMl1j0pQdE27RT2wb0ItKo55i2wHGrSH4TeyqKitljz5X/xlKqvD6R/uXx
ML5VuVkBS14DCC4LUH3dAYsLwybbBAXV6GMkhOqZGdblZk9x3s2KwwTS+AFeJCRzqkkRF6B7EtMR
QO6g2ww5RPkuDBCLiTY7S6jMNydNu+Okq+226zjy3pD92YWmcsmWZHV0JaEJLwKlqM1kyZVQQbrr
DUlcjGSibyD9idMICzEf0KDRUfjEwZeKBC5OJAN301AGp2e4Ik9/G4qTXWx2lWFXPM/3jLdDv+sk
XX3JegU0f+hAhJ/FNY4gVoxCybDK2gsNo/DCxtjaweUguZuisXcVs0slG7whdm4xV2G4WufGmepZ
8zI0gOCZXUb3CdMbN9Jr5W0yGX/XyaT4CqMK8mYiexix43QBArfcqh/VAMdq9R247eRoQfr9GBqi
dOsmMlIPG1nNz9iMtky6IRo9hU6xDyhZ5GS0Gh02lv/FOAO/jgPHyR3V3Xc56At7nVkaCHUk/psY
sFQkjUSf2KgO95po4w7FQLHl6mABHifKq4OBv9pFkUIxAgelXQoE+j348T02OnG1NwsRFcCUS6bl
5rCafUVdlzWvv+ZzTVqGqpPKiDOghgp+0cKk2IHj3NpNA69oCXK3C2jt4b5XSnqoRqgtXYE6f+zx
w0Y94mcmytGIQI3weAqwpVOVdChg8ZmOsteYaXHEwtkEhq6LWyHg4Dop6eSn4BTXtgk0Ywf7DK39
SxQtCu20a6w/FFOK21CGp08WPAOu1AJpc1L07CWZZOtfJ4fJ+4iM5RVpwCS3CSXVowEQzoOSy5Xq
yFYILLoOvs914FTDgadvAMXuw/aC7Egb9Po8Aia9OJIK0L2+NGTXbIXh8KRKfFjOKp7exE0DVbc6
glI4SH4LiPxe5mHtFlqSBWquFSkOn0LC+VVNg8aUiK8pTewXTSM7Ok5pQKyEOnITdbOnoGCdOOa1
BwxCjVOVDjx1OCVebtUwV25QuRchAHgFiJCOmvbkVJAKh2gqDzuQq7M9iM6aO+oNjAfltHsmmcZK
HPcKxeVjCU6djNvq22SMEieG0eztfKy4QaSagnRURrfuEljo5GKqMHKtNIcrclfcjGmY3Bl00LmN
Bhh3wFrIpcMisz4AKTn4Ipzac6G02QEnQvOB4ezv55izH5GGkIOTTG+3gyHhuaLLXN5W1SMD0Pwl
K7jm8jLhZ5BiqUdoDvsLqYuglRV1iC7PhVrf5uYIKnqqqi0wkFLX7KEnHV3Rj5LXGXzcp+Ab2LWm
5UFaZ3BdsDrpFsjHDJBiGB/s0o5OryjTyvZDjpYP1Ux7bvIhf4OtMUTACHi7FOiz+5SF4ZM80eTA
FdbYBdBpqCmetOwUKxCgkMEaL7E25TeshEc07JiMvYAALAhldG+dGNE1lxnfG2WneDkZpb1MC8tT
RWS8maintSc+da9ZChJyGKtyZE91bThR2MV7WlYJfL/l8lGawgEYRLVJnKI0oyBHtEbZN1JiKQHT
G1+B06smjblXiSL0QTVkj/kYTv5U68JVqVAzyNHqAVtDA2TX1MTRcubjykx3eFZFe61CAi/vrAcT
Rgp2KQFyl6AIay9rbXgoqWbdAJU5ADtlIHNlF2ZW+41ujkdFS8RNw1G5jcP1eLEyIz2DhQ+/Fg2s
RH/Q1AaZFoMB8C6jW4ZIO8nlkD2EoZyhHBxWIgB4665hkfhRk7sMLOMoPVJTKs5QYEe3+RDHfl40
VrtrSZn/kUA04o6OyRdIBWr1ai1rduGQi3fJiHvk7TQgz+sZ3FJLoT+VmAIkL1Iny0OIclsWuzKE
uDv0bg12ayzbkOqg1JtjL5vFWUhsFbqmQ99CO2fTvE53kEP0yHQO9CnhiCdxMqfzC80C8h913Cfg
UvmfoTIEdlCh6dWlZDijAOC8HM3qTwUKoKeg5tsxI8nYDWCZP+fhmJ5gV8N28ATgdxVA224kJnU/
CKNzZZi9QiHYxQ5I1W0AL5fsKEHMgl9DzNEztFTzw9yaHLhxU5Ab5Ubx67zpHB4PWTAwoTr1SMPd
YMFvcoTlFXyGpjelNaIXTa2FB4kwzIctAqCeaVlBW1sNxlVjwp+jt04p9lJXWeD2CvlMqflgWTHs
u6jRn7D+kGNYAMhkKxxRxMcNx4MiidqLQrkiLpyqxWDTlGU3aQc3j7JMmhOy7IVLQw4pVS3V3Svm
h/acEEUKsjHHtNZ4dVcPLTmEcT75lkx0TOFmdK1QHe9wfbJnBct22C1xjJxaO2Huajf5aBnvHfJ8
bokDp0eBYN8j4civVqbW+yQMVadQWbUTY2se+Ow21OTQfrNKIk6YdtIFG1NlzzV5co1WtNfarKDQ
TxLpHh6d9WMXK9ljL7oi6KzqhgGaaKdl27lYGmLgJ4t2XtbBs4ZtkS8wJPdaq8nICsM6RAmxrDda
DFcMqzb/NgkWANdgIj9lSmHB/QE+R0xOel8AT/7BW6TRsLbHN6lC9OskNUitIXf+VKMA8jVF0s+u
LCTUxlqxoDRN1VtD1pVbCleRG2MgyX8j6FA+NTPz2LXGnZ7WiVfBBGdXmlBcRSNR7lWlkj5Ctczu
AaYGPDNFmZ3fINJcrBhyki4DdQwA+f61B3sdzj0mCfDBwkOpQnVgsI24Q7IA1jrTOD5q7STtDEG0
D64X499cbxXP7JrQx1VUYbdKRc7h1BnvsL1IzzovpscIydgIF2vgKic8AraWF90/LPOQCFq4e3tN
UB5+y2OD4pZ6qMmdkcqU2QOEsqrdphFShxZw/lCup1Wmelqcp4Md8RCsQRmCuT0WbJiXMEUrLgxn
9UvXpNYFhXn9aUw14pW1Lj3WQpGuIC4PcKzPKUMqcDByN1dpH5ST2buanIFVarQGXGx6IYnHjmYl
xnpZodIedtGs1fkNLi1Ap6iwBdvFkoykZ0aeACdD5kEY2c5US3NnMVjIjm2m3BZcZOcCMsVdC+6V
R2DhcQrzvHbrwowuMRlxQwIdww5UEv0mhWvcYyQyDc4XRsO9SBtmB1+JA8PO1FeuqXDirKll2gKJ
4j3KhqyboZPhk0IkDel6UQI1a1DrI2QJvUfeWszXMZ2nG0Q5JT38bmwDu2PoZy352Yy73h6yQXEs
i5CD2RrKAbZAjKDzQDslUKZc01jOZ5CmKXC3EipuFYvCleBDdqcPOgYGQTr9Cl8vA1gJWfZ16Mq9
uGt7rwy16FoyPb5IhhT7E7xEPqRYLQHOI8KwERy0q9xIriYpmZ3HNLmh2HBeOI7l/7XymAHszSpi
awJEaH1ErtjQQeDF1rsR5whbvdtMhDAKqqX0FshyoqGGSh0R47vKU/m4A2PG2JGwMHeAyNW3SFdo
DyRpJLhk6ZOXaFW/GxtcKokavmo2AyAZ7hGQEPWV0G4geJQdFGkbd6MK6xhnjNRYhzmJlWxo3lbO
2driMEyKBgn+kFRHhuqQdnzG3aCNwfTzSXvt4YsTsToo4O7LanU0QmBVy6BoPniyAShaOW0vS0Rb
JIBHSeDZcCexEfodlaIIEmY26e9u+NXFhXJZov4FFj+gIutSYDJ2paJ3f26XlQzEsji0boDgDkFE
OSIqYNnHCWQjF7b24LmxviQIpqnVLCGlYWDIUgDi+mOVxxvJpJUE4bIsNK5rXC0IzQxS1HSLzviD
QpsT7gpQZjOqD3WYbHzCyphR50/78glwdOAjy1hzRJLGhZLAUY1LUvo/N/zaoFmkrZCftXA2pFYA
JKI9EKicUN5awpdB/o3rqSnL6iJvNZa8HEE6sIKowPlRVRlYH811kEF3//kTPn2Iv8nSqIsZ28Nq
AW6zuKcAeDj3cICCwZibPxp/qdPhsIaKrq2EEFr8uxctZm8otxYVbVEfszZIugpmWIiqQEfVKBv7
+VtWumNZIQobo8E0adQcTR1huukBRYZbHEGt2hZIY2XULitEu9YcQP5GxiykQ+/Agi4o4mYPpHbv
wudS2LBG2UrOrwzcZbVonqcqrWAmcUw4lE8QTRalk25J4tcevpjYKG+Vk1FGer4O7wsNt8R6a0fN
VpHk2tPnv3+Zc3JrSqMiGXMKvXOl+I8BH104/GyM2JWgRBYzumRNImWlgg09TMTgM2S3dKvM+7My
5ZsxShbTDeak2KMj33hI4GGJmkZWT7CGSuGcwhSuv5hNZjxNVjjALCFr8svUwdkH9SbjoVFVI/Zg
PgZAHSEt9rSD9CFyXOIz6NfswYTagsFlY6MN1kb6YtKiYF8WadarQTddlD6F4QDOvNBXGOR3t5ef
sLEvXVgTUuGi31SCUKT5KUoV2FJJmnipY6jYfzVbl6VHeUQg++5LPZhK2SnhIUhRv0lVHEE29iIr
jbQsPwplnbSVUElAFYjW04/MuolGeIpKG220MhCXZUdZguK2PhZa0FCkMhI128f1FilpZQoti45o
zODWOPYkSNgd6JMOTFTH9lcgL1lWFvOTt61KpcGYELz4bV5ItxoyXT936lqbLCZnnk8Rah6QSYsG
88+UFUGW5u7vHr1YbNUe9pSi6kiAczOE9hRJtUZ5/fnZa829mPdtbZqcygRnwn6wOVxu2hajZquK
eG0gLmYrVzv4WowYKMjgWxl1K6Qq4tl3datD137+YmllGo9b0SskQKrAzg2MceVva2y0zcqatyzz
Ua0Iipqw1wJs6xNcUgBlBo/LB8vQglKHH2Yqjb8bPMuCnwjZiVEzlSmwwldoPJww39p8r/TAsthn
ojHyhZZOAqhrOx9XRvnewvHoqnCcQvM4BGjhVwNpWfMzTWNqSSNTAmLCJgUmENxRFfYMV2D/dy9Y
zN140Iu8IjUJcF/qCPMBLg6i3Fr/1pppMXvhmUz7ymhI0FZOY0CbVjwntWHDBeh3IXmm6n7dGURR
Rk2k7EZIhQvLbafUK0Id3nXhI1gJW9LdldkgLyZzWeQ58lSYzJGZw3JmsqXiw5rCjUG6Nh0Wkxm5
3CmpM6wqcvE01kho7YsEBNLSxg3SxiBa64bFdO4ySZhyaJEg53BQQ9112TC/6d9xQP3FR1AL//xv
P2hIV9SmFZMA9kp2Gz1YSXRl2T+geOGLu0nQ/64j5rcsjrygwMDIR2txBybBNJ1qXA1gS1cHDJT0
xxRuJrcsT4QJq7g09qEFGjwpYbhvKwpkc5CHhzQshUPQzQTTlRMKYJRDOVPhJaijnWa+yoJdT65B
+sZhKUeB7ERasqtdGcolp6/66pS1LbgN/VC1J1iqlJeEw2TPLHX9Dmlsw6MDH52MdOwJG5we+cyx
gn68Tll30OBf5hLYfOm2MpA+gEaWo4XKIugpM/s9rh+Rj+1zba+XrHsySLgFw/xufM2NNv/9y85L
YSapce1KcJGTQjgJc+Ois8U0PJcQJTa82ch3rPXNPPa+vkY1Ow0ep9WxgT0wsrMJKhsgI90Ywd9t
A+aPWEQp5PoIH+upOuoVfrRa+KI0frENmB+9iFHqJISJFHYNot2dqev21L///yPr/OBFbOriGO7s
KCk4svSliZC/w01pp/353cMXManOBxb1FFq6UJNtEsdeRR8MPfR+9/RFTOLTZOFOPZuCjh8lYblS
/8SmeOPh39Zzzw2zCEcjynzi2JzMQ6ymReYksOX1DTnHdSyF3y6cmKujBXchXE+a2Nk4JlwyPDj2
5jBJa7sLDK0tv2Jj7cKV7jdAV/ykJe2hVqG5r5NBDqZoesnSBDUhtbyTcEe8MYBXpscS9kCg8FZL
uF4FEjG8Nr5H5Q8Mj//7ubtWZscS9qDochiV83Ytp8W+VlXgrKp/v3v0YlqrKPWiJG5JYEGgErIb
BSyk3z15bqkvAcOMik6TOFoklAUQdxSbp0JYG+vRdyve3J+LSd1zs+UpyAABoeUTxP6PaqvBfzyB
ad3wG0TZ/I7F/O4b2Sg0yIGCnsAWPDmjCsIWoPX93DwrYXtZrxlmBtS4pSYHY/2Wzb5F5D1sSnvE
MiPFG5271kqLaQ6/M5OZUBIFJr1vzJe0tbypaRw97jckZ2sfsZjpISgNqIgh+rz21K+6bGj7uJDl
0E2SCrmWJO0V3PVQ8fZzm61MsmUhZzdVrdl1iRwAKHqUYVOVlmJvpH9/fvrKLFuWbyoSFPtmnuFQ
pHG70F8UbePBaz97sUJrEJN3ndkqwSh06uPG5ai34oY1krz7+ZevvWA5iSUSiTgv5QBor/0U9xEU
OeY1VhT/5+evdPOybFOHcTxBEZsI4AB45thN2bWi3pctDnNq8kY3nbbW3rOY1UVnpBaDg3bQjbB0
ZVV2pgndTWOj2sySAiPburxZa7DF1B572LKlujQFUzdGXi7roW9JFvV0OGf8sk/I/4Y/lpQkncIu
OpbZEEhU+5Px8CU2flMJiOBEF1M7twYl11k0BLAyDpB4g/N68wgh8kZ8/bwvWCY25+cvZjZukUs5
gd110GsonIlaifsx9Ipe0nWo8AA6Ii9tmGQmr7QVyhGn4upRwe7Yg2It2qH+LgbraDB6t5pSq3IY
8Gs2LJ+jvSgLy3JTLYLvYIzqtjPQ5yP0lxLDbUUudddU1eQ/hUnY0zTpEyxe+tJXez7conKYBLoC
nVJCKqD0KIHgbuLj8PGrQb5U0DdDBl1pqNaB2YyZzfLunCbmjW51fjLwf1RlG++ZDzPftOxSRN8R
lTKITOpAlNLfMIe0hzcHJrKbPLccoxLPg0Y3enEloi1F9RBDzo7HYYMiN+KiICqylWz67+fmWnv2
4qymDKJGUNCbACil/acvfAcj9o3FcWV+LjX1Y67lXEkAG0B5n6eG7YvIBh9oqF9dCSjEXATMcUzV
NoEi/VjTvrxPoMoMeln71fUqnj5/1ZedTzpOcArvqThK8A0QqNCqpt9xg8ly3yNMs0Y9nyGOI0y7
y8TWKjTRRnr6u92CiZ+9CIptqoP2TRTop6dznn6k6kVr/lbJBhzhu9g+P30RD6dBLuGiklm4V/0Y
VRzyhsTOwWPgOVR+7OnnQbn2kkVUjHjHGVTD4jjxDHpCyTbNk27l/qjBdZZtjPy1dlqExqwtlAiG
6eORoqLMst7TvjsR7T2m8sZXrLxguc3hraxDQYXxA4nSQUx67tRISDRp9QF0xm9OROiP5W5nHOpW
g2GJOIbVe8H7k8WEO3Wp/3NHfDeB56fPHfRlCgw8MjTS6eKYce5IGXcZSJRsI6x9gsGWIXR++txw
X57OGS+qqNLEUduF/2BUPZzLc+tyz/rXPsAR6r7cyHl8Xi1996LlTO4TZlZopyM7dLDS9aYT9Q2n
cFE4aSs7eg6vepB/mH7tF7stfsF3gXX+uPnvXz6uJnM5I0PvaxnP/BaqRgcq0Mef+2W16RaTPGNG
LksRvqhu7MlX3cQ3DvIBjiOnxh6PmfMbg935KxbTPWehroYDBgCu1N1Ke7barXMlmX/qd52ymORQ
ZKumaAdxbC01uaRtZd1AQmgeMzUJD1OvG6kjkHnwGeHaOauNzDUFSoAVNsr3lQxPaRM671PK63gP
e3Htj5VWwyGXw+IEUXXq5IPSOsrI1EuVDLEL9LLV2VVMu62k+Sd0+LsPWAQQmKZFBTY3AjTa4mDe
iufwNr8YgbkrbeZAtodigSu9cBtl3W76t2ttw5eC9qFy+o3l9VNd9c0vWCIyJpmRDlRicURFh4vJ
6Uj2c3aAttm+Pnh3h9h+y/ziKuzd6e8rVMgOBodsv97MLNYZTJeADhf7kmt6WzdeK/FiSc8w8n4w
h6YVR1nzGSe2xR8VspXfX2HtkSU2A7fGEiR9+Fxp33rClWx9D4swW3L+62yKyNF5Jkh3qQsAPyaA
vLHirbbyIkzJBdT2koa5NjiT33tgOp+QfvRV/Dt6ozM4I/5NDp0LwoZN7dbT3d5W0QkwELczMIpR
6bHvArBkXpKL8R5aAD3YusO8rauJz9v578bBIr4xLWoEKfELG4wC5RQdC790qNN4A9okPkW7yjNA
AezwzsiF8P/nILTW2YsI1wkJWi7Rozsws8qocsF8NZTHnx++Ej6XhA7eayCMzJMLSUe4WmX87efn
riBwybKGNwl7Ik0oQj7y9+iJosfmgaS6/SXeh7sXKObtyANN3Old8U8N5p4KhlNiV+d2Y3/2KRr6
rrcWgc9saJGGJn6BjneDyuClewZGcuR1+/AUnoAbchvPOss+aJhe4klu6GH3fOj83sn/bM3UT53X
d79iEb0GirogLO8Y1bcj5F/VNQz4aXIVRJEMo4cfLU+/g2P7odoX9mvlFA4LunN5rYL2SvbI/97o
7kaXrKwEy/NNXXORtBIaBDc5AgEsuqNY0maaZbev9imm1Yv0EkJIc1Gc0cb94VF6qPdbr//2jIw1
bllT3PACp4diHhGu5jxDQGzHbuiYO/aR3ER71P2MF/WIFfARQvBre+Kvmp+7pQ9vIvSO4nGP2JK7
1S/fZt3nX7PYcolkysyYzXsVCDqv3UOF0/Ef44Y+RtggndorXE/flJufW35tG7GsSkbdhBWi6Bkb
7Su9L27gpn0GDtMbfT0gJ/TyBodqbQOmLwIUVvAhg4cqBltQnYqb+jLsyh29Q4PeIzEEqrnugEHh
oTTmMO5+/raVALJ07rISk1tDg14dmOKUjenAI3xj47oS+PTF5muc6pKlMlqt6i27a3fmyMAk2YKN
r+0r9MWeS6ZNgZoYLKKNXyCTDGzJrX6o99El36vH+rF2yXum+0AB+ZbXvaVnzS6wlBdn9p+6ken8
1L19Exz0RYgykFXj7bzkcX90ikN1MHfRvt9lbhoA57hLndYdXIHB3x9MBKlqN2xt1de6bRGW5Mma
IEEj2NiiyvK5uhnO6SM5jNf0QIP0bxbE9xDl/TxC1kb/0verD3kIXokqjsYu3vMH+ZzcG9hDm8/m
vrwWtb3F61j5piUSBLWbUa6G+KZIH5FSV10V3MiNb1g5ZC5ZIMOYSKMJMsqRnYRv7PTndK/uo8A8
xQfZrw/9QXfSq7URqVcG/pIM0jZ9AX9qNJgVXqn5V5IPYf3nlx+yCBHCBEeTiQlbx9v8DtDZ8F/2
V3skf2tgNm0tRpU36C02iBvSYYtBu/Y5c399OaKBXGyqUo5X1s3kjPExtHIUCm/Intc6fREk4P0F
/peGHIYEyA8KhadN9+K1Jy/iQ6sAFR4xJHiaFgbu7C3vxIZM57ucJtaeZRVHLYYhmrHSR851uy9i
BJ93OXmsxLuGkiRzS4OwthwsPb9ws8wqRuR5R60FxMuAzE5c6Q6iBK885YdkD1nImR5q7Hu2rspX
Gm1Z5zGJEJ9WI6K100NaPMI0ZWMxWJmAy/oOhU2tpEboDSR37FDmDiqcnC5UXTFupTm/lycryCz/
70CVjUjqjDmANO70HL9GFxLE+8JXjtKFetK5PEQ37K65AFq4ceZZ66GlNRgcugYTVd1IK700MRgB
tvKg/8lvy8fwb9S7OD56tT8au/BITtF7v1c3LiLXdufL8hDQ2Dg4D/jS1M5tPbwKv3MHrzmo7rxB
Th3Y6LnsUv1LD/mhegUF4I7ATGTeOWwF65WgsCwcySezKIwS/QkA23MD2hnTzy3h7s9h7vMx36ys
6iIsqCyaaAr8BaxRak+3ZRzZ291wbnFcbNyXB4atN0ry38pdejbd4tji1I5jut38l3nJsfDwX8+6
yc5bqOS1r13EEuCMp2ZSeiSLiYhtoqPI2QSorOLU//mD1+bdYicxDYkKw0DE2IbGNhcnlv7384PX
8kefZPwv0TsrdaOgCYYovI496QqX0GPli4PlJ1fcJrsVjlC4qsXoKM7jPr8a+wYh5ed3r7TasuAE
8pYKFcDoRNEpdlu9xjqx618pPRXcVf/vZE+7aTSaAZEK2Vcvml3Dp72k697PP33tfLGsLwFdJkrK
Cb9dverPzYP2JJ+z++YY+t1T/EGfUJGobOwire8TfJ9z/EsHgX9gsTTFm6iFknSROh2r7Cr8Yw63
aoybOEAdFb612s77w2/m1dIZjOYARhIZo+GZOC+KnbgPL+fUxgH//BYH/ltp+7F9x1xkilAi6Vg7
A8le2f4HJgT2zv+OT7eZ8/RzC6+M+GWdCh9EWvEei1smq/90o/ZUQ9l49FoG7HMufGnSWNIzuK3h
2aVX/lMzR5QALdrjY3VP76yX4tIeaj+Bv5J+KwLu6Y5x3KrBXPuqRaAYZZMVdY3O1KsSVpG9XQ7T
RkxcW2w+v/bLV4VhYugK8DnH8HF0ANM8x0FyDQ/hSbKQp+QeQJYnlN/jcJjB7eLu525am8OLg0aR
UshLAT47DvJZ0x5y9gp+5s+P/iyo+GYwfn7olw+qgF+QMvAycXySrvykH+Pb/NE8iaC+Qf8E8ZW6
9ca7VvplWexSRVFNdQ1t1wsUpoHw3dGN5MC8ufjuIxabDkgTZKHO03dKHiHbthUGUh9k87o5Oahp
2Giqefx895Z5W/WlqbKk4k1N8RZxVa9jUB0sG0ZHyL/J18YL339+y0okWha+ECAnUdCKvkYZwIl3
F1Ij9SajILtjp1KDIdmo7/M432i4tS6Z//7lk1osDUae4G169QA4bq1uPHftKxZbh5zL44iqRnwF
5Nr6eEnGyRsH3c3b+4y1DiCotrZVB/Z9eahCPv/+5SPUAbeXPBTYGACZFReHpqwdsNftTEOGO0ZW
FJVhRHukzDjV9U2f6vbPXbUyLZd+OgNoZwbPEOH68CacS3afIvPl50fPQ+q7obac8aakwCsC/dL0
02MVZtCe0GAccpTbZxtdtNL1y5qZEfDJSpQdPVgJn9yOFO2drqhbA+uzCuybL1gWyqRTFuaTlFPw
XVFbZEMDzyDS6VWflgpwp0on+zQrsh0qQ6qbUdL6HXQArZO0lrkX9L+ahJ2jFmVd2aMOBrLHTXML
+7YSLZaVNk3YW2VTafRQSgOwOn+tibvWdGtZla0CJ/NzD64MjmWVjZGGRcRzyzw0fFCvDHDuq5qA
rWQm5VbsXnvF/Pcv496wzLTrAG0+wNuzeR2SmO9yLY6uqir/RlKGU/bSW0cxprasRGYeMmRE7XCK
zqXcfETTsJFt/byd/26YLAJFaEJrwHGZe1BJ1B+Jxiw7m0DOnoxyRFlDbH7ESjz6piaA9eiT8IGU
3bDPuKnu1aisYzttqhEZxaTVDwS+vl6rhS3oLSqY3ZLG8H+V1JfhJOhHIworWla1TzmRyweFlcU9
YBgMK3eCskjo028J9HNuq9HKy4yoOZBI6dwYYD6ftlYHPGgRe/AElB4I6FMn+CNBSyJ6eEzZJI3F
gatWPNnTVOOGSY6CVlRyMJsBH/I4lf+gNkR8GCQt32iaE8PpZbBn4CHOlUOtle1BkxX1SfSd+pCP
QzMLBPXK7wzYnrRRQqiTDcigNMUAX666iQ+UwDgad06D7KcNwKu2nKQEOw7gX9w275VzW+RgcouO
VrtJy3GF93+cXVlzo7gW/kVUSQiE9ArYsU32pNNJv1CZnmkWgdjXX38/z1MuE0yVHyfVA0bSkY7O
+ZYo6iCWVUm/gEa16VG44t5OTtE+GXJqH+Z8QG17JPX7NcufLr0uM5ml2o5rcYTU8jGr4TDWj3cV
uwYeKihd4v2zmcMrRAl5hFThDD2WepjvesUhi0FgcaQ5bEv9YtDx8fLXfL9X0iVypZySJldt1YIt
3p+903sgCcctD5fvw5gugSv5kDlc22YV2Markd/T6TXjG1eN7x9tLmlmeReGvGvC8NgYJhiXs3Xb
xqAvj9C9ujwway9YXJmhFQNNGjSGjiMkBb2sAMuhyszIqytN/OtesTgKnTZykjmLjCPLU29EzAzJ
bUpL7/LTvz8L6JJlxiDfboJpJo5d2r1i2VDPgDKZZM6vqRSGb/Pi9fKLVpbQkmimhW3htiXlkevs
sQTeAMpOGyf5Sg5Pl3ys3rC1RTNLHjVr8iM9yzBnbRuD01+0OA5CbkA70vEFa1yp89CtdVaAHoby
ODQCkJa7FMah0Blt2iToBXaDy5/8fRJDlxbIGmDNvhkNB59Mb6bsxuK12wsbNpEbp8famC4OwKYt
0g5kZXkEv+exIIZHi+mquwpdUrh6x7STho7iGNoc4mUR1JBiECg2nr42MotTz4REI4mcDHEJ/I+X
xgOH/AJAOaR5iCp0jy+P/9rwnO8xX/IDFWU67BPpHBUEyeCodIDU31ZDauULluymtoiANTGK8Ihz
R9xxQsWbLar+vjZL8uzMZOtm9/0GQ5ckJ1a0CRAQAvxMPu9r+A6ZY3cY26vSbLpkObUNM/rcyY1j
hZPXm0BLf+05Y0eTtelHT4ytisTaV5xH8ctMkNCc4YGJ0aIT/alt8Zqo5AQhlj+XJ3ptMhZxwMI5
B/mNiCMZAQgZb2ca+aI6qXHjGFl7/nmBffn5tbLSFMDZ8CitsPAgPWZ5dRTeVaq+n/Ny4yVrY7SI
CccK42JKYshbTvxYQKLPPbNY3LrqdteN0iIcUhXOyrSx1Sv1kkbQi6OnJgdiYUtke+UoEYuzsCQD
VVBTNo61NQlP9LBpYLq5a9sxPoUMkQdW0kZkr03I4kwEr8NJhjMLorTfxgS6TtCBp3BMSoeNWsfK
ZCzxwMUMPVWoXLYBBRq+gMaqCwrygxr7n5fnYqUiTpd42oTLoY0gqB5URWocetMq3rJC5oe2F/Lg
QGjvRdU023PI9PyZoDX8YNLprL0CFWtcC9r4McSKf5KQOG68Akpzt2zQ3U73fePCNmx4LLicOi+S
54SBREMm931Ku2NbDvaWsZTA6v/v1YUuKUoGTWU7i3IKoLprex30CUOtIaxa9i7Nqyc2De9DtKVX
9G9R4bu3LWKQGFJnodWA+FJ0zu1ZePEV9z8FoURoxfrQslZwYeoglu2H0Ex3WZYOo9tCWtEbBra1
jznnYPzuVyyCtM3qyBKWns/iUtPoNhavhCtC3Kh9C6qhoTsJpv6SRYZ0c6hI8csepv4Q19CxbqqS
3Zg1PKkguBi5pKCWO4+6ftXO3LucGcpTbSfuobuafDYqz35ltM0e8qpsP/s5n1yHFPUtE0nyDilb
soMZD6u9Cm5VJm5hDMnOXNWBPY36EWCa8hFsIlm7aT3rGw0FeZgY6ekNNhjzI5GNgpdP0ewIKfrG
h4si8+vJ6J7SoZa+WZbmTUQi6+cEwC5eq8dDVzf2DUpzFVQfjQaRPJg+ae0cGois/THlcOJy7XSa
buWgGghryBneOQSAtEirG5xqlWdakwYxILOecHVpdxPjLPaanCgFxoAdm5CPJEnh50WD+qWj+uY0
93oI4roE7Ylr06auHvv69+X4W0kNlljpTiVNn/R9G3Coy/qVNCGiNsTiyt1jsRNG6JlDXBw6APAn
/G3E4wli59pVWAbX7X9LqpjsTVFGuHoHFf2osbPS/K4IPyO9xXlZ2cqXYGU2Ql4V6gtQB8twCQA4
a89xk/ZI4pxSh32Ai/Z61TwsQchQ+j/r1WpxlBB5D2PyqyvCjS127RvOf/9yaOc2a2PdFjTQEaoa
bVb4UV4eE6t/mFpcYjuZ7q/7hvMh9eVFScGg13wui0ej+SNlxY88rvzLj145hvj5718ePQ4adLIe
lV1sK2e1+IweNSktSKKC1Xr5FStHqb04Ssc4bO1MdjTI7PzJrAfIHnXkra/KJ8MRn5ff8V013JG4
Ovz/ZxTQup0qQccTQf1ztOfEDeX40xwJ0PhJ+JnBQivLZ8hJ95usre8+6/zKxXGRzDGFvrTZBYUR
AoxpDoknaAG3mEzb3qS3DED+Pa+XB8L5PYsDIQGJElrhbRzk4LciHC1pe46azVs+RNHengfup22e
7DuApBUEZRVs06LGhE2XCXcKiDH8mEAQOdFZGtiG5uFx6A3+k1qFgUSzEvEvFgqoqzQjgSOWFZqf
UHhKXqZYQ+U5so3SnxIF/LoWrV/GMfXrTOtHfdZ2V4WsDhaTDXWTqo1+VnHYn2TLmn2Tdr1rCw0a
CpfUV8BI+onZGftEldab4lz93bNC7wQfQO6wfOEYPjzA83tcqsVjrOfGZ2E6wCEvHQ49DGv3qbJK
P0vP8BN+loeeM9PPHKO/S/vY2sN8EGydETZxpTI9JFbyznHEeBKdiG9SzawjHAG0nw8aYsi0GB+6
quYQiwELFoIZ8JseWf9icOhpknnIfEzsbwCEin0nk60N9btAwzSSxY5dFNmsOAwlThGIU2l0K5vO
k+mWHsrKYiSLGGt1jZKjgB4KnAPUfRUzcUoNtR9pmQTo1W421hFO/12LfFnLAQFnzEorKgIqf8t4
n0JT/nL8fv/7UVf///hFWauHM2YKC9EOOkoF4gmKQGycbtSw5bn0/QTwZQmnqUKB3NTUAewE3axp
YaqVu8PQXrGRnsN0cffJBNZvCVuHE5H2u0ymp95mP/uovqYccH7+Yv1UERwzSDHGAde1H8O0gjWj
O9fKdZB5XZ6EtU10sYhE0THY8zhwgIwHPzGG6U4yC6Za4q2a9F1R16abUpw8NEvMjVeeN8v/Lihn
2RtvGDfi0MySwLRhMyLU04RT9PLXrD16saTG8dwfQvc14Hxwpf3Uxc6VT16c+5MdqpyLPAkGOTzx
UeZefHaKuO5nnyPky4EcGykdy6YZkGcH8I3wp7zcGOvvA8BZ9r1b1GENZBFxAIWnJ5UkB7uObo2m
eLr8w9cef56HLz8c3nsqriosUKjl/xpY5ndnn26nsKKNkfnuNogI+Be4/eUFrRGbXBuyDwQPn2Hh
euKD6CApK28TEe/GJKT7sYX/znWfs4hnMrUQLkqtGCuz/DlHkHwwzANMdw+XH7+2OhfhbBqkIVFf
x4Ex0G6fw2rH52XVbCA2v99OHbqIZIPSkkaQkgjs/MNKDI9NQFDO0o/V2+WfvzLZy9Z2UqpO1zFC
oKh/0xjAY3KHTtnGQmXfYoDOh+UidmPYctigMocnYhk5MoBGhgdld/U9NkBe34+CVX8yGNyR4zB3
YwQtrciGSG1V1z5yS+OJ4er8bhcEzfE2ssqXbmqT96kTw68B6jwBDC2iH7Ak4hA2jHDDbOcevIqK
aTREZ7hecFYDyTq346NOC/44VrI8QXKev5U4APeNYtEjI9APb8Kzm0zf8L8i2ogPEdXNGSgt4f/l
JM7zCCnvjxItosJNTVvBjTSHI/EYo/kK7V7gmuu88KGNYkB52VQg1SbpR2ZDaopC1mEHy3uAxNOp
6W+tOMoOYVGEsNQNp8NAcVi6+VDFt/Agkc+kadNTJ9GHnBoY6crGMv4oVF1xipYl+Q1H5eohFpkR
uXDoaG9Gx25uJp4DxjGTZpcNlfPXCOrPQ1YKe1/anQC+vhFh0NNWvxT5UAcMfrkmdK1zqBPAPiR/
gl9NtUe9MvqRtV0Om4rIrh9m2PnsOKnsP7kslGsO2oJ1lcTn83N9CwrJlc9r1e6pDXnfqS8iONck
/e8CHbQX2nfhsIuFXf+yJpPtKvgkTbcwKBP6FoLM9aMok3sbCve+NcApToy8uIWlE3c75dT7urdS
P4eWCdzQjPwOf9P+IJXl8aRKYNtBDZgHg/ID0FrrwTle33YJRVd7Lh04zzq14411M+8gbdS8MdiO
/GjTzj7MdTz5uucpRGY72LSxkCQ3Qzczj8Nc0attmPGZMH9yrZDx42Qw23VsyDvHMQ9PYZLOt0BX
hK/WMIWHEn6JJ4FgPIDMA57o2aW54T3zRVpKL+pL+hesvsa7PBKo/UK45mWuJrm31TzCZ4KZfw26
F7/lnAxvDtSvd0ZEkt/Qv4Wn+Gi3k4eLgIDtnDn9TaT0QqNpPdQc9LyrEkve9hb+xdiigT9nrhrk
Sz7B2GwWv5wySjzVR3pXKxvih9wO7Kx6NiNL78uCFbuGo9qGrwXBtUuanZOn9LPNKkxVnvU/QBwU
dz2JMKiZrg9jJ3B/r2i6q/Le2cFIF517uxgOsdPVrpWihOeKolcwSpuzOxFGbB/GxrCPwqh8TSV+
c4KuNpi1rCFebcDUYxoLdp8YHayKK0s9aFpOt4yXMGgXMMmJRrjq5lxCyKaHW7dv5YbzdwduGcRp
GugY5rHRwxBrGk4mNL/eoh7TRCzSPMLmzDrQPgmD1IFTlmGFzv2MxvGzNRcwXmIFzEcAMKncPokn
UE0a6YdUdvDplDBAnhnxdI0RLEmZ+XMJP1zuwJPLCgnfqxIu7LilWKT0yiYB+VgU9W7O0QSFlNMM
I/GSRaYvlal8u8H/GjdOERgCizpROvR0ojLIojDzxoEpj8/5ZN1kCes/YSJSKF+zOfsFwEIecKWL
Z0iBNTcoA8Y/+STLvxDWhSfrqPJgDofy3xQ5Vb0vVWnwfa0pd+NJidAjhlU8ZLALp76Ea2UE/Cad
gxQOEsRruoTMHqfayT34QeknONbQDMVA1cCWweTUTzkf3zK7z+9gs4I1D6er6Vk0Db9JU228zKZl
wi/bJMT2Uk4hF2zbcKqD/UL4yxgz+ISV0Vx5ilXzw1DHAg1tOslHhAY8zywrbbHTWFl6LHEHONhz
B6LPWE71cIKFXopLtt3b98OA/akApMQ5ZE6edA8lmQG+CBtFd42hk88YFVA4DgqGXH82ejju1H1Z
+HVa5tChpNQE8b5ypqdJ9wSg6tGBU0ncJ/rPdefjIkVknQVXpKoA7payhxB6R+6kkw/Y55QbOeh3
tafzCblIE+HVFiaNhIPs3NW3sm48JbtfRpi/UGReiFu1kQat5CnknAB8SboMJ+uaFojS09gnT1br
7CPAgTaevZLQLaFPqD2QKhVQIEt5ArmNlN32RpO4NecwwpHN0ZjtByu8puHiSL7sldMWtZpirMqg
Ui9hGO9M4yFDyffyfH+fcPGl1Cn6aiyNy7KAgF1V/BFI706tZVYvVtH2bt4Zs3f5Pd/nXXzZNI/S
biI0z3ABh05WJfKPTv3qoMN93dMXpSYuaB5F0awDqP/t4IEw7Cnsxd3ZjOONcfqWcHCeBfP/11Pr
9H3ZqrEIkrGHr7VZ5x634vJtkDNxE+w/t0Ojg6lFTSaJqludsehQzn27gxkW7JpmldzrDlX8yx+8
Nm3/zcKdro+GPIgr46FycNpRiIemov1h2Mbj5XeY//Ka/3vJ5UsolQGVUtUXFMV6HIAvUzc4d0Nb
hbXXDijWQUZ96F1SoaAWZ10Nhi0Uhz+qMTRfmHIkWEF23322vOAo8PNJ39cad7hINPmzFePW5VM1
sU/gIAV46GhUD25dQr/RrQE98wQMVj1YlxXYG01cWJklfmR86kKYQ2ob0DGr+QktHJh0CROVHdSs
8zKEvFVLkEzYstmhJtPZLgir+rEz6PhkU5iqxhVLDNfM0ARPm3F8L+H+RnZGnYufbIRbc9nzcEcY
BO6pqI3PbLbFL0D6O+vGqLL6TTBRwLHWaaeXsoA5yASaO8qKpEJ3MXUOTZlYd/CY14HSUfnQoRTt
GWNeAdYCc9PRT7vWhuZlPFSuriHO7AsAUzo/7mrjZ0xmA/IM2mhvGrvIvMSKVOEXPIsBXIPC+BMx
oLc757z9QfOJvhqVgLuaWeIKIdJHQPmsg0k6CZyVMP+GdJ2M9rDBG/aOQcuX0SLTQ5mS+pCbGplT
Mp+GGadgnkGpmrZde0KBFBAhG/a5c5LULjDG1CVtCZm9Sozw8Z0d05+7NH+sLRs+ziJ13NBIjJsc
Pscwp7CNu9auIfhAhuJD9XO8n6ekfphYHu87h+q9aoxPVcXFPuYstF3Yi6rUredKuzHM4TxZZj30
EWSUunzU7NGYEctdwsp3RWsBJ02aOI90aFQCk91RPHS1aWVuGRvR/RQPgEAWtMTAIYkLUHer7k1k
9X5ljPr2bPeLNq+FDdrrmyKLvUgM9Afgx+bRDiPsb2qSTvR3kTT2qTFVF3sooqIanjqd5cHAOXyf
hhTY3Ly1PPQ3K8+YSOYbMPzDLUVG5J6MlsT7B5ic4YrwajZyOKjYPDvKWc2plmizmPNk7dtcNVBD
gMUfmXi6rweSHLGqLM+QRXOIWZV5cWilD7CJiDyOft4J17rOJdBf8gH4dEDvMM2bsoD/5ZQY1sPI
Raj3E/510JrR7MEu0rwbSoY8Bs5UBz6Q2uulSt/7vqcekif44o06dlkXsSeN+c0H03yoBixTt4U7
B0AIpOQBfAmb23gM1a7mtfU7LyFblJOO7KIZtTTV1PyD2XZ6mOoihdMBMiAwakeQEZrYuJdTP+i9
Ax3Bv9KYODcKueeb4Qx/rGJQN2UFh2O45znoeA50r8OxvIPV3fg2CZk9FGijD140zMWLEU1Snd04
cUEZULY/2KHo75NsQnO4BCLP3jVClIdC0HafTQxenFOFnTjLwh/AAfc3MDMxB7fpDYqNRNLybyor
lXiltNSB21MFnRTc1F4LXaDNkppZXbmWTItXZJ5zfXakPUMJ4V56m5F5eo8k3CvhvmhRj0J1/t7I
bfx3Bs/mxCvMFGliHw5T4iLX1tgaowztC+KM9K/L2/DKVr/EWwgbIgZTmkC28/wz0bFhIbpcQ+YV
1zjN4GhbQlgTMPXSkBr9qZpbG5fMinhm3p96Of4Q0bjVR/g+IeNLWBi6ODAlqpD4ZfnwbLdzQIv2
+fIQ/du6+uagWkLB4qyXdtuhvM+f6tvkAI0qb9+4x9QPP2BtVvnsaT45J+NG717i08FOXfVz3EAy
rn3WImHWFSd10XMd8DbzavIjt7Yy2JWU6T+ykDBxyucYjZepJS9xG0JzlN1lOf9zedC+T2L5UhcS
cW2eizJlYBrZDe8yL6T0OS3bXZ0xN6+HD0muQRtigS11InEESaSwGKO2Hhp/qmdYvWfWNa5m56cv
kr8pNIkjYW0bwIL2RCnziWRPcJO9mYu/qrzdqO2tDdci/8vGIaFaFUPgUOtYWkCHoc72szanByi5
PyumH6OsKa7Llpd4MYXLHo72OQ4EDs2PNuHmz6guMr9qcLReN/2LSqseeCwJ2iMB9q5nIclda8if
2mxv8lqdGKte+CZAaW0HW4RI3Fd5mUTZdAIEDm4ZSNDKaDd2v5P6GrHQ8w52fvOXyx5t7JlYQzie
mlqcxig/QMH20BjpM830Rsb9/b2VLyFdlGSSQVg4DUpYqkdm5pvDCf7iqPiUoJi8XZ6Ub+Ha5w85
7zJfPiSlucGqPCFB/c7eq3uIPJyGFP1qt3sfP5uHk/xAgkw2IK7ft834v0iuLy+rIVho1jAlhZiE
BV1YWRfacK2eiv0EU98TVVG1G9KhAD0g7Q1IRRnJlnbGyq65BBmVaWrirK0cZBAa9pPsYKv09+Ux
XNk2l1rUNGJnqtDAT0n8zoAtiuafyL/c6x6+iBoUpNlQdTM/mXp6TSb9z9RR5QKYfd1pskQX1T3o
WmavnBOoRi3QYYwfhooVGzjalTW8hBQNkHrsjRhIfuUAuS7qVD3CYRdFqQJeJx1jyT8w/N0q9Kys
rqXMoUZi1KEjyE8c2L+i/z0BVKeBLpqT2GNJ40J3D4b2Vx4xfLEDQAEuFsWAxlGi4MCOSnX8YcK4
+PPytK/sYEuwEdCnbRqn1niKrb8nOkNCGUSuAXq7xZal0UpA8EXgq0TALFOPuPUI9Se32Kc19hv9
zbWJWJyPYhpRqyQV2qdV6lmzGaAe/tQBhmjZ6hWIFt/pQ3AMsn+uG6vFQdk6osLNi4xw3LXQOqm8
Du0SwD5Rvd+ieK0N1qL6MUyEQ+qumE6ccGT4SeKj2bTlAbjSw+NLSfQJHhWdHTEd9JbV7cJ5sr2m
rxu/isHrmqOm8Zuqs/1wTPUvTRVRvsAthbl2Y8T32kHHK9e9neH+FNU/2zG0jmFYQAMlbdL3zh70
30YmtoDGKyOxVKTjxiCI09AsmCWB+Fcx7owMGvGXZ3Jlu7AXa5Kgzgn1U0MHMhoPEToZRW64dRxD
rwFeVmW28ZqVzGqpQ9fHUE7QE+mCPKZ7bms4p4Ca30X3Ik5PFunfiA11iMuftDZei8Vpa9XCAQ2n
eGO/VyyYoEx3+cErp85Sag70fwZruHORtk+P4Cb/GE156MWWTP/a716cOzMBxzYdE/SKEwsQOPFq
kubP5V/+b2/9m8vTUj9O2E4j8omLk3nuW0XVmHqRjfWrjaQ5oLaTHMrQ6NwxR33T0lO4K9VoHy6/
fGVjXWpmEpaLHghwFG6HczcjTkx3Vt1jSifi5um8keisrbDz378mOhSA48TOy6BA7UGPoA+b/RHO
obssbg9a5Kdk3MAvrC2DRaqLzkZIkxkX0bm3fZY+V9a8z+KXy4O19vDzIH75DEDR55ylAvGoVOeF
FU/czqqfp3lLEfK7VSYoXR5CbUESPaN5h6aecP5OQe54zrJqi1u/9vTFOVTmBnzYo3YMUD95Z06+
o2F6Hap8qYZboF7JIOhBA9hkPrA+eYyc6ZH30cYq/W7gz+OyOG9ytGlzPdV1UDaopKlfFigFMt4o
s38XAueHL0K7BWVY1bpmQajv0+ajzCDm4/xOk410eOXxywgDmmJuAEttA8dqDXea6htNYYLMKzha
N3LLZXVlbpfiszA5GNg0Ayo9hM4+y8Q+sbZ0ANY+YBFSjCvQ8WcsSrihmH4renNXSTZ4tlTikFl1
ub8cXd+ddpiHpYhszcJEDrOkQVHEN5HqcPexyswVDWjzs0KhnVZb3Ou1Tzqvsy+BXJtUUUtZAJbD
suofBQMWNyuhXSC7jNxYfdr4lz9pbVbOf//ynkJLy4mSFlwwq73jYXmYhfl2+dErIbE8tAtWCXi1
IeJS1hUHRWf7WKKHcwd38Wtc1c4TsjirixooHTpPWFOC7A1rHl0UI38D2/ZqVmDFXv6OtSFahPbY
ALM95pIEYT2Rezsj1iECUOi6CVgerRLWGX2XagBTKwBrGks1u4RFW4LpK799Kcg6tEOJzLPrAmnL
U2XZtx3sRy8Py0owLPVYi6xKAa8CaWo0wZpz6kOkHU915n7AgcbohkzuShwshViB/pc4/rM6EDT9
h2QGGiLF+DSGkrltUhgbU7yyVK1FtIHQFGpHK6yjKtnTCN3Ins6jbwMj6V0ere/yC6xU6zxBX+KM
ZQwyHaGgATqAgHU9VuGLmbFjCl/ytHQAmTI2WO1rA7Y4QmHUkMzoLJOAte9F0wEVdT/bH3Ykj9d9
yCLkYnQsQay1CWSLTAhXpkbldy092JG47WsBAwDZD56YrzMXoUuh1rQ1iowPsg4Kmt5aAPk4Otq4
9K5N+uJUxd1zmCrcOIN2hLp5d2+NsZ+NH5eHaeXhSxVWWw8NBZyJBtFwa1iJL0nuOk61sZrWnr7I
VrUYRpZomwazMx/aQr1ALAHutuI6ZUa6lGHtpynHRmHSwGpNz5yql1bFNx3EgS4PzsqutNRcBeQv
nUjRtUEbVh+dbT73BXSJLz97ZVta6qrCxHMGxFVWQQmoZyk/QDk9OPGLbibPQJv98kvWxn8Rzdzi
MSCqyJgmw3nVilMXULCXFgt1Y0NaG6FFFANTRjpVNVOQdPkDk/lNWdqfl3/72qMXAZynYsryqAYV
uM3fxjC9NeNso3i49ujFSUnSiRm1jeM4QzucQE+H11u9lZVtbamBWqIEUDrN1AZJcq6qDcnIjtac
DYcKSmQ7YSm5ceCsTO1S8VQAayBTLM8g51p7XdwAp0w5c8uekI3JXXvFInq5PY9i7sMqUHBVSSgk
ETzAJP3L07uiZwfxq/8/aUC5r9KRgRuf16CwG9oXTQYQs939BBPsMKXWH2aUntP2O9rOfznYVu02
er7y5efp+3LMoZ8CrKQwcPqUgEnoECJmbhUSbE4OfFuA+AbxrjIxY5KkqIpz0LD8EVzsPcpf/aO0
w+bt8i9ZWYpL0mQ4RjJJJ0gQhEXrgiR3C1GejQv82qPPf//yjT0rSSeQoAcDZz1kAkvyCPa6eeXT
F5GPmiWwPF3ZBpbzbvdv5vTP5QFZW3SLsC+tCVI3JZ7LnfJWUHIYwUjD795dfvxKfrOkcEXK4k04
Ie2b+LuJykwF7ruO0j0xwamSyuuam8svWvuOxaldpnwo82okATxEH7ucWSClAuzOxmLLaG5lq1ny
tqgyZRazvIWqJReeUZNyX0dd6tvZAF+apo6u22mWgqaC9nHEB8iCpYL9Gs0MOJ78Lc421tHaVyy2
Aeia43DtcMY2MGT3Qjs0XgrO4GrjJOmNpFF03VH4r4Ljl2gA/MyGKRkCjaVzTZCUdwZQ4wD+2LMi
G5naypn+byv0yzsI8BO4VGDtZvQMzspObfeDNRM0In4X8sqL2L+ozi8vcea2Oev7tcg0p8lNifqA
r/tWEX7tCxZRLVVuZXXXsMCa1Ccp0xPQo0cThJsocvbALG0kVivBsdQy7cmsrDiUZgAHgD98Lmq4
VU13hgZF6nL0rTiJ0KVqaZ6BxzE3GQv6tOr+sSwQNqVWaheGNLypKtYc88pyfBkZ4WsIdWj08zLy
CV1O5w1HQx5IKdn+8m9Z2YeXRDCurAKc7olBoqD+0UIvzJ2dLb21lYFccsBkXPPQ7nsWKAN4/8Su
P+YCvhy8Lg5X/fglC0zyImNNNODHgwTgxnP/cyLtn8vPXllsS4VSWwHwz0hpB535UZZ8V0YoNJNj
bs+nLH+7/I61ATpvO1+ixe450Xnem4ERPSvgNcBwdju2MTjnhyzbDbgsL4H5pIISG7VbLGMuHkD6
fo60/AT2+HXm6cYYrf3+xSFuFK0ghR2yoAihoWaZefIAU5baDeNh3ti11r5iEfMxdwobTRMrCLFV
1VDVmUqIFpSjtwmRWPuIxZkupBV3VkitwCor6ptmad51WRjtbCMZrzukltT+OJrsJoJ0UFBFIYIc
pNfB8Xh75dMXh7kEU0lkSQ6MekkqGI+nc+Sm2dy/2gVX/cae9f0ogSH2/0s1qaCMEkthBaa+H5tX
0n5wudE1+n4LIktq/wxUK6qPcRM4ttLeRIVxAopNb5Ravo9jsmT1J3ZiVFaH3Rwb+W0S9f8UpHkD
yuC9bOy/CzrvLofy9+uULMkjFiS1a8pwIRy4PljIPd2ss6Gp1DEvAi9tf91bzrPzZcMQynASU9ZT
EBXpSzSmz9PU37OmBSs+3VhNax+yiGkk4vBx5zly0PaZIActxwfC35L+n8tfsDYdi3gWFqicaVHR
AAdPvZucvApdAkYZdLLyD4Mn9GfDuvTH5Zedh+W/WyBZckkSB0w/whAUDQeSeCrz8tCM4WuVZ81G
Q2xt7S4u6xFhCu57KH9lgw0wnAOtynZj4Z4j67sfvwhrDQxcHSkG/C6Uul3QTeBsVZl3WutbVLl/
2RhGV0Ik0e0EMOWXB2xldpbYYT23JOQ9tMXwKfGTkHy8AcSHxkcg/ttfOkxzw6ez2iLBfX/fIUs4
sd1ko9la0wzPgD75tM1S7sFbJHs6UiP0AJw0vTm1Q2TeY8O3biYri2IpOAlBVIOKyOwDsNJDrXZZ
frS7rQBde/g5qr4EKPgUrTJYiGtPRCigS+PgGnH8WrbTRmV67QXnv399QQNkvKzBjOr65g788b8q
ke07w6g3VsDKgl5CiFE7juCS48B5eCBPRQQxjzSi3c3l5bX24xfB76C7CwfnQZ6o8Qkqw1y/Nc3G
trX26MUpDou8pJ762ThZ+f0ANhMHUaDgG0nI2sMXUQ4xurOJ2hSewEItptKLm+emVt7lQVkb8UWc
d6aKUUNKjFNKypc859C1FrOz8XBzxZsRCO3/XzC46usQTRO4QUWwLgUZpS/+8CSX/+PsTJrkxLUo
/IsUwShgC+Rco12TvSHstg0CJJBAIPTr38m3ctOVlRG166h2JJmApnvP+c6XhpZOk1nYfto0qvm4
B0nRh4isfvWn2v4zYKueuaMfHmCHnvNC0/GgsME4Ig8o3NRs6X4MCffQrrW1dwKOxg6ZGFWcFwOZ
i4y3zGaW9gkCcyo93HFY3HI0t7wf5+UlK8Z6PrWyGLKl0fo+ILZApUDQJOPaJN+16JE6kAR1Aqo1
ITyb4MGZUsN0GGfA4b/JxIQqFdFonoYhAmq9GfiQsWEcWG6SivympAkhJQOX+V4VBDqCDgAZtoHr
GtYhlwLwN0Fy809d14WDGbSiL7aObAZvoYEP3olOOO/J16Ak+vtc0wjek0bQ3GegVqmuOkSF8NOq
LrzjNGrErFEHkMdx0E9Or/60ACDdVhXmrditquWxPdu2oZYv+58VkJ5Q+ToyHTkPcKkmnvcINh8f
KSvV1it68aVYjMX/Hn8O1AyAJM5AROtkPDZOhXmlnpyHOMa4PLdy/wlCGu4EGeI7Rmm49ZhLNiXA
rXkVNt5hBJgy633TZxM1MosWL9rawQ/ulzKY/jgEDYnbVmFmFRNCiFIuQrnlUPhDnCxgFk488aqI
P29qN0AHQ/sm6wLoGI1T8Rw6fT+LC8luvcWrAAA1cw4T3jBvmqIK2CHu9RTsEdzX84yQ0lU5pMjN
d6dZpi8dBDDf5oA5ZhMMYdRuXY8AkqNF0d7gLGoPdnKozBe3o6+SJXZII+rVe0A4/E1LMTjimPnI
r4Flp02D0o1zA+PTm5gR+Q0kGWya0KlMbdYOvrujQ+zfMlrHX5RhkQtQZQsIB/qGezUlXKV8oi1o
6ZQkPaIKSA87ZdvZA0TobbABJKc6SWSmb6O6zgCfDPYjA8TDYhrAMcGZnlti/TmPKk9s27ArHhO9
mEOiQ43A7kJBBUJbtQEnX4CG0U1nJCfciJnqx+IYNy39g1o/+ZYgGuClqxsMnEp0/rgZfNUfYEDy
dx0L6cPUdbWEN050t7WVbrSpVG3f4kE4aWTV/IKebtDkrmKBymalxLjp/MBuxpmEW5w5ZkiAQnIQ
g9O+FI2Jn2N4jlLPneCWK2DciWW3PJYdGfaqB8vCwvN60lEkNrx32Avv0J6MQXh9K/RA9lpA0BXX
/AnFC/ew9Am4BiCrT99lafB1nETkSx84KZ62c3Qsrx9Y7Np2B2Z6SK9Maxcm5LUPgdbMN5gK5CmB
WgHPAtLQKHGy0rabjyflSxc4//2vZRbWmp5RNo6nMoq+lfFUg4S8hGkgr3V5LoQ0OmsHghfA1oJQ
ifho7x2VVg/zy/LDk6m8Zc/mkXz33uK3+Wl8HG+Lu+DLxz/qwtZ+7UOoJO2CisXx0ZWWp2gxFNAn
NWc/rKIAtYkKfqGPr3Th9q3rmY1kwwJpL9CHzEVoORgiKffaX4JcK8Rf2KiurXQFeEV1Mnvk2CfI
sKIjAMM0L6svvYYJtbdXjlsXfsY6FqJ1mn4cQYA78ZFW2wn0iKfaTMZNW3KNAvt+LdCJ12WauXPm
akZx6aTnutkxJYhNkQbCX2EDX276ZeBPVnCWlyMjuR9hIQFGBtJgCIa3PURs2dzra9Am77zn+M+Z
w4nWVjisvVoDCYQ4JRJPD9PC2R7eX7+ArbUqd3WSVM99FE3LF9+lDFCdMhjDvNWjBysA6cDtZZjM
yzaunayqx9Lf2NKfDqTuy18Aby0Q9OP08A0Vl2RMKSgcavPx+/buHsqJ1vMBAqC1X0wmAFpM3wlO
T17tfKYajI9ezQRFkgwhdWd6mgF/ApMnM/GUiulTXzxeEy6mKe5CIE6mE4zrSVrb+dwtvVbIfpel
EOPdWu23GSawya9QgE367kbFIbYVlc3Quv7RFE1/6PTwE2XoJ6GbejsXCigfu8cG0EmN5djYJfLr
x4/n3dGK77HanAMjEy9CV/6J990/IYNkIeK5h9yzTHbypwzR5P74Qu/OcLjQaqOe+FS5gxoVhLWh
wX6GnSJRPZEF5WcZjFdOA++/bPEapelFgP9UI8QR0O6IzCsQJlq3n6mFYbO+2q2jpIPICB8aqpH7
DeIu5ofRNO2Vu/P+F4/WhTbPY9NYeBIavHjaKnpqZHPlYPf+AwZu5t/LJWtZ0LTxCKF/aMfHoSux
hLVSHojvAevd8+mupw19+fghvzsrY5Jajci4nGcQCnhwGhsNHBBNUQMz85Vf8m7VBR9+vnd/Lfzd
5MDhoqvgRFmRao0cjSYVTQDAOizxaknLHhtEcU2hcumnrAYoaONJhUEfnDDNp87s7wH7O7relWH3
/miI4tWwa+uyjxIYgHGjEMIJI/9S+KnG0Ufo6Mr8deHBrw20o5gIqA3oAKgepwE9QlobHwky3SKU
qwAWuNLLuHSZ1RnZNFOkKI6QJ4MAsX6Zs8UXBwgy/UUha+DHx+/Vhdu1PimLqAD/j1ThKRmDTRWV
qZEa+GSeggVxZQS6/5/Y31lh/7vtSwARI1juwV3hmbEifkSEDt830sgC57yieGjqaLRpoJ3uh+hj
92uZlPS2dgY8vynsMuNZD2AY/FMQz0iygwIPcEI7enwfjC7iWXwcbnJjnHbvLqi1gB8438TEqzYB
5xE8JqG+AdQuyhHRNexZA6gqenN1/OTClbAhiDZIUQ1gm6Ie37A1Aeti1FBmL0G0E8wiKTlQaiOS
ItkI9E4OuhrpY5vILougH7/vzBzdjbUubmZPLnhW7tKi4xe4+xqslJMjimCn6AjmZw2iT65N76dB
b5cn04/lLvIgEvLDeT4o2CQPxSiCBBCTor5rEEqYUR/kOm2ZZ7PA8YN/ihlJpgqZMbfUmuVF+C4I
VOxnAaj+PHjxzjEtONHQHTw0dAATV29Lwop8mhg7Lk7N8hDwsyVN4iI5+CbsbwTSjodc4wSOY6L1
gaiQQxZEfpFb06PaHoPo4mCs1qCsEfzkyonGnxUBmQ24pfiJe0lhcz6V7t6RLd3gkXoBbnssYWqL
6nwacS4K0Md+GEtD4SEbgLrLK9UIduUFuzChrLf4TQeahlPHGhu4cNl7E0FZxRRqS72w/tTy9x+s
uQssjnQKkRxZPWcw6hepK64OkEvffzVlkaEGdbMH7g68bWi6xnLIQoBSMiOiT8WNYUO32iP4kwiZ
7YvupIJmFxrou0aH/CB4VilggDfVjCbjxxPKpR+zmrV6ODRLhkLFKdDSHCqyVI+IZfA3yo3t68eX
uDBnrX3MSaCjOelGfZIeWVCeonyXGDZ8w7F7uQWvobkyN76ffeJEa0vzOOmh7Yfeh/LJ72/qVqod
AjyrXwk3XbDxATtOUSPV8yYSyNfoHKf5Uw9B/Vrj2P8ZFnSM73BeHf5am2shkrAEbhJyYFVnnVy2
HKt09rk7eb7Df314jPrP0jC3Ry9CPUAx/wuUoyn1Aj+PTDVduciFN8JbrfcC2aCRX8ECaOJfkweh
D3+Z+Ges2efbc77oX7+ALrajKEb1GPHsqGm9h69z87mbs9oVAZwPeqVtgf7Q+hEQG9QNpnlJpQBl
ZgE69XNXWd2dyPiU6SUA470XWd0Mb97QbbuouPO7cPvxJS48gLWBjYE2BAcb60/U0z9BrUQMhAKa
WKATdUUy9n+J6Dsr/NrEpjwgpRIO+zdyj0Bfn5qxemmNC9S1W0X9YZxL8VD4tgGZo5j2k5qjPS5f
fi0RUJVVnd/fxW5Md0mT2K+htygYsJR7Xw4eUnImHe8CkJuf4mIJgJsdgBH0B0h5CaBRh3KM6yKN
l14BBKfcOSORP147PFzYgq2dZ5FTug6nEeJwvF9TTNMJJAvGgOQjPwZ97Th8YToLVyPcw/qLstgy
nyBcqTdGmPK+Stz6l+OY8I8rwmv+iwsnobUX0JgYCDG0Jc7l9OdFTo9wfFzZqtLz2/rO818bAYVO
JsIdO5ywpNy5SIBxcwlA4l3leQT2gsYue+U0/pSDjj2+jq2rv/fYQt+0PuG72hPuTT9o9ex7iNM1
Y8VvJYb1JoZGELBuCWYUQr3Vvo8rWCTVGPwIray2yOJx/5EaBUvYrtUORm+ZpIyOeuMYMaZDkbh7
cLrsNm5pvGOdWfaBbGD7BlrxIXaqGiXk0XtFfZsBuDvGe4tuxQaifLjCre0OJRrCqeZumEeqmvdm
acQhGOV825TG7stYBoj7btkRKQ1454F57jMDz3y5R6ti2oSRQngUjDRLi/hfr78DEC+wedNxXR8S
WolfVYwgr2ysuiR1mfPiIkr+yiL8bo/Z+U/sgurFEmmOXCUFkVuFzmBD80DNuVsmAKWV6XBNaHJh
almLd0dmgCBo+uhoR6uOAWjzeUy1BcTPY59p/uK3rDYUHpyfqM7My6kujkl/EPaWOZ9xHTioxP97
8RiLIlC2kPOpLGs0BELtPk/Rwq9sUy48hP/gE5Z58fsmAm5HNqcFnWWvaY9tM3+ZI7Yb2/jP4iyH
j2f4S1PIaqmSXNbViPkWmwQOSnl1qI1I2/i1rZbd566wWqZUZWNj6igAmV+DSghx/shBmp7DLkU7
71oj/sLrtHZluhM6qNFZpjAWyKjW3xq2KdGR/dxPWO2Bna4HixEgz6NVT/Cspp1fpgIa1+TPx59/
YX5dJzqNhIDtXqnkWMka0NHJZi5kwVc2I/+fSd+ZYdduT+N3tccV1HnA5tY1kr7RepyAokRtg0W5
FwblAwCl6Gr2TXIzV51Ndd9VfYauUbjpXdZs2wKwn7R4CVMw/rxAp8yLBSLEpZ8VDZrQsgIvtF+k
EGkYM6CAhYqzMC7YsZ1UCDJw1D9WUz3fBmHcb0yxmQoz3bXVDDx+R5nACdrwtPSXKaeuFl9dr6Mp
W2QNpuTMiucEgIRvAxLSHzxX6ZtmbtEzDN3x1dRFeVOTLphTtAP/KDKR3Is7UHyMRvtaNIO8RX6i
4RlmbovNFzFIHHaWMB/7vtnQZvF2Yx2Te9sVvXPlhr/vhkGr6jys/9pZtmPjVcKj5Ii6wJb3Td6N
fFOwBdjxHXipz1HxCunWTaCfBpQQcEK4Mndf2HOs3bHYK8NW3aniODvyT2ShRdFIwQjElzpYYO3g
V37fhSljbY9dhqamxsNQKwxonK2fN66bdfQ56q5BzS5d4TzI/7qBAAPA1gW5AzArOrWxTZ0Y6glw
cqMr0/elO7Wa9dBfx0FTOeQYQ87govZGXLFn6PSJJ8hYPzdrBKuJD73x0QelrDjK5OuMEmJRLRuT
3Iyjc+UCF6aNYHX611XIw6RcUHyNu2UDSOZDUSX6yoe/+wxcrJ7/fgaKgB882CI+zvF0JHH9VNXm
+4KVtK66a6GF5+f5n5kJ11jNq2Pv+gh982LURg519yba35aIK9//0mevFn9nKWPYv6BTniZ78CgC
bWixVchG/HjKvnB71pUEI6WoIjotWNXKn72DV6gfHR++s/ptmKIri/P73U7XWZcRfN+yMYwQ2ApR
GaihpttGnXp2u+7V18A5t+ae1vOTf67rEiecUyGqB7Ayx5SV17pi7w4VfIXz3/8ai0llBumroD3B
fsZ2FWl03raRuB9DBLdWSeTu3DG+dmp6943Gxc53+6+LYUGSixKQ09VoqN5aVJ6y8497+viZXfr0
1bTCsXPGgdyHWMP9Ng1fhfz9uc89X+/vb21LToaxLYCop94dyKvASCaAXH/86Rde5P8fnP769Ckp
akkWpU/Y8w82LbDJSQdNilsb8OXrx9e4dGdWg51QAMnjoDQn4GS6wzj1045Yqn597tNXw5wUqpMe
gkZOVIfjQzJM+jCZcvzkp68G+kiWReAkjMViwt6SnZtn41zlH3/1Czd/fTqNsfNhcRI1J27iKrei
oAdbOnNuY8SJfe4S690Cmwv0hLC5RCpAlmBHFrMlL/sriusLw3ddIggDSYWjaXMy1ktSX0CUxqsK
GQS9+FninJ35Vx00l+7VavDOwOYnCxDdxzre2YRiRrIbnkxX5sJLn37++1/DwLSB3yKpoUFzvs/m
ZdcDbYcq9/7jh3BhOv8PU66JAe9za30y9ffYsdjb/tQeGIHJ48eff2GArbk0tjfuuc41I6ahkXmY
0Pa5IKj9Xtn5Xfr6q/HrL2MULB0Ut7VEKXAc0gbx46ZIg2uD7NLdXw1h6bEEYHFdHPlcf/NEckDE
0xNitH5/7vasxnCPe1MOJCmOvprLGy0dOChkcqXEeOG7r88/sDYnnnLgiQJB/Ig4qx+sDY6CD9dK
Jhdu/nq7P1PSNdZAS82SV4Q9YrE8NNWpn8rdxzfnwhBeb+tpBVFdU1bJsW9bNKZNfQfWS5pgG+kh
i4t05Onj61x4R9f7eo3QHga1BiR2SD3Kii70Hp3RY1dG2KWncP77X+NXEkBehZj1CVuIvJ2Q2dr/
pvzt469+6RGcf9JfHw41e+NFaKCcoKBInfGXSRDQUb01aI9+fIHzZPzOTnW9lx/LkNYJwdwGRS/L
pm5IvkDcNGWT8AsCuXA5PqDfPoxIzLLX2I2XnsdqUE9dFPSNhHdBhssuCfoHpy8+Nx2tCTc69gDR
g3keeCZqM9CpkUWvP4NBhak/WA3mrmrqsS+wqydNfLvo/s3T1ZXV7MItWRNupEaKspWkOXUIgL9R
hCWZKrviyqnwwivqnx/+X29R28+zg/SaGJHCA2TNME4il2KerpWoLozjNeAG0l+JKvoIoCVkXT39
bfgtc6FYdzmIDtHnWAUIUfz3jyAUAupG4ypSuViG66+in3dW0iuT6YWRtkbd1J52jJOcBwL56pUs
12fjAfyl07VYqUsXWA1lpGwKVzphcWTqJwH0YtsH5FTP5A6pA9fch5cetP/ve1TKckDtCQ/amfhm
ts5+cF77mX/u5Omvxi1U7iZQJcGnIyU9UJsYvQWqrnz4pRGwWoi5O0CCPmFwwbgq06Udfk7++Pvj
Se5dMdfZ6ffv24Kadt2KeYqPkNdL6BlpFks4MyESPkw++KpRcVP4gqdCftKetQbfzJDJQ1QmgpMp
dR4v2L8PoZ8j1vuKGtW9MOa81ZCO5r6xtZ7Mqe6I3Skb43TDmHwWtXVzOFAaxNyIYTsO2HaEkN0/
47gLekxS8V3ruUmuwhmgpWAZIMjx23mjW09lKFoU1zYPF57nmpzjxYYULlQjiKHufkXU4WgH1W78
6+MneuFF91aTQSuHBpDnDoVlhFm65jub3oi9suZe+uzz3/+aLZkp/KRDoAx4VK6XGpH8pH106nAP
P/fdVxNBO/loiw3YjkTQu47LS9M/NeOVztCl12I1AUyT4U23YL/pIeUQHtSt0cDwxemw9Bt5TXR/
6dGu5gGgW+aalQU2tYl+bhzn5HTNlXXw0vdfzQJ+MypeIuDpSAbyOiXLH8/jkZMuytU3rkZIEuCd
5ebj53BhQl530eBLcvt27oNTWVcP3ij2qqQnEvH7Orqm87hwif/QbzAPmLJ2sDLqwqYDq4q0TXiY
uvCfFyzMP/4hF57Hmn0Dz1RYzQo/BIThbWv4zrXXVsVLH31+Tn+NBeXaCPQeg66p7mlqlEXvwR1+
fvy9Lwy0NYkmid1oAOAQK/pU5igQHCNOvxh7LfPi0s0//6a/vjsB+FO5UMOciqV9IBXJCoXjkezu
nGtXuPC2/r+6+dcVOsfzlfCBaCtihl6s9vN6DnILwiaC8ESfGxDtryyPkHhc+j2rYSeAuPZ721vk
7ihv47EifPJRzD7Mhex3XteqP8NUqjeMn+pZL0O84z6r4BZDXPhWwCn3Ktww3LRwFYo0dhT5bkTD
IBMz1Rc51P7LBFMQsA7zuGdLUT0MNC5vaMF1Fqk2PimEWdxKyKwPPjCoudMl9q7h4fLgGcV2WF5F
7jiTi0C5pCu33bjwTdy67m/ZJHzjoWWdjo3q8jLp9TcNB9KSTQi0+8G4bp48OgEsNuF4dlpqWqSh
8fVDQSr2j3BYNG7PhqW8Qrf+OKoq2EaIyP0zJ2H3IkfibwX8I68JCjIPMPsikkaO4aHxK/tIXIji
oOoz9jBPjLCUdaVzcNpivm9q251kMxS/EjKU26SpypxHHNj9CFaM1JJBPSG8c9RZ38CPswVfZoKD
DuB/01IkHvUJ+DXEMY8tpJWvtkP6GMFhH57HkX2J4HPq07qsONJqQl6lkmlsaVgCFFIPyQeMpXQ+
SXCj6rRwWAkH6awWfcSvtgXymV2ny+sGGcogCszpWAhy6sPF+crDjuH+xkV4Ew2je5yiBCkPURg/
6aCr/U3UdyXNBoYgX8biaIvh1YqtAx3lYxd4iw8xs4+g4MCDTdQtIIzNYIFs0Ky20zN1Ovt1BqU6
j8bCxbtQyq0KuN7WcjgHPNv6CKHrdOiQDXA0jE2b2RMCmtbuHMs4qjyuPFhTp3Hae72VR0d06uDF
2ttwM4aP4OiNbzidIdSgd7i3RyqRSi1contsRmg6dv4gUrytyaNxBvMl8QPk+UEo8yqwmO2Eib0t
YIIiL6UIdotBmjrhU4xWqjW/wrhSNxxG4Rc6xe2to7jMsYbIezNGy1vRTSKbFFoH7uxP28oH/Abx
YX6a4OB+20kRb6YYcup+lPx31LL5AQmMIbS/jb5BPLLYBgZSYTiURe77Bc4EXTDdg4Kgt14DSpoc
pu6rCxVcFpVy4WmA0v5tOXTxa2ncbhuqhj1wQxSiuT0IQQZ4qERjkJC2kDYDjjfZjL47vgTT0iGg
b0aypRO3m1Iz3HQHeqqowqfMRYCkPjyJW+v47g0d3HmrgyTGo1voNqhou/EdZOHVfVjcSTSf0ipw
W8QtV94+4U3/PVDnaL+2FzeMiQAjceA3oQriRzsX7NbtC5MNQRW9OQvUYo5LnMcZnfW85Q6M3Qjp
9B9N33p72kVQNENXumncyd7xCdUIU9Lqp4UZd5e0QbEjsYdEMz8YX1x/+QZsqH8IlXV3wzKAkjcu
aLM71tySGO7a1Edm+xYGvnYfFSZ4i0dtN52jajftCLRrYNcHdz12z1m9SERSJEtIc6dp/jjU46d2
UMkvL6kpMuUR2B5AE5psOUumF6QMvBQWxNIoKLdhODb7cOkcOL3JHL7U5Vz+sk3ZZUy0Zjm2lA5H
rUOSBef4QqIa+zUGMKTPkmQutjP32wcPWuQvjW5+EepNW6eKui+y0/w42sh/nRvqsKydNLCWVdsh
0Dzx76IQmeetLxHj6KryG/K9HCQ89xGmunqKkPEM5LVjXZK2YKvnZdd9m3lDDoNT2xeElPKnspug
pDdt9Q1G6cnP0FaofiTQ/Af7oZ6auxKK1J1YSo5YTtV2Xxd4jw4JojZT7s4tkuRRg93MNCx2rQnn
k0eX4YevDTLzGCjAd8ifA2QuiJLfoaoIDEa1u4GhF7/XAep74Nxk89SEmYmQB860cPczm/0ciffe
KfYV6t81L0jKxtrZGuR7BNuwiMod422v0mFsIpW1UcWgThiqXVvQ+r6IOOjWg8KNdAt34/W0h8fc
dY9LaRh8DL7E65tU9yWkFF+tJT1ay3x5dmUH/T6YDjcx1DZ5EIsIh/5x2YWxQdZNQhDQyPyBvVoE
YOYUBPadRbxWOg8DJDNLJ57t1MeIzMS3bwvXy2AfmVPrJ+GzX/ryC1+6ccOkM/4sBUFdYW7aEsGi
1eMoQCFRXqd3qidYRivr6FzZeUxDVxMonevhjc5+9YAk1GBXzu2cD1EwZQ0hTVY6mt+iUztu50pV
Nwufpl+y78RdTIZ+y7q4/d4i2eYU6TqoMzRe/FsSuOQw1X63x2uBNyQO+YEj92w7g76x4dKhWahm
qAZazNsSj2nMwpnHW9ePneeO8xmA3j4OH3VD4yWrk578GlDUuJVJ0dyHszwb4AN7x2ZevrSeF78x
p61hm+2b24rOdBePsZ/PppBH7eIDZis55m+FbJBJDcfKZcDxdlh4nyLiwzdPi+CRI6845YPXfl2c
0iLFZNLOsElkVbyK2LjHDgVqOPKbZudzXr+2M20xMYeAQix0eGh1RLNk9iG1CfWUytj2u0Gy/lmA
tLhN4r55CZb6n0EAj5ZPUbTcBB2eVSSn6Qk7CQx5RH+ww+LDJRIAERAgHX5oEjgwNBARIaZW+8XH
MesblI9UbdqW0Qyawy826u9alsDDCRxCi2mx8fvULEERI6C28t37kItCbjzkpGzrpBQvCFVXR48T
DC0l+N6PCqnSSLEOAEvDaHmLGNtKZZr407QdMD3C9IHUhCxBkurWatHBUNA4/KvDXTdvTACGRN26
X7vGC5An7+NcwFGM8KUwKTwJLdmQpaCPtnOdDaYtJy/def7jxEO/AZ3XyPtl6tAQn6lNgfRAhxq6
4F+xDaVNS96Yb27sGnBP3MoPsLLViZMrbH7eJBn7ZzcJeZLKxuNbrSedTXhbeGqoV9SZuwTlN1pg
AfB7949EFOvXZRIJNAzwQ+lUNY7vZfMcgroQqRApn3UXb0nRmkzH4XzrB0TvMBWCsdDF02HqCM3A
/gh6ZJEl2Ee5PSm/hSRpTsILnA135DwB7RNBLIddGsk59TElLlF0qKJI72CLt/fYiiXPQQR+MOrU
oPu1es7AK3V+gaPQIFtDwo80ScAPpmlwN81Am501zJGIqCpslfcMZ4B0CoAnSZki5iEs2bQ1SJY+
AbqIflJciU1DbYP8PdYdNacNkBR+2dzTuELwOEQKT8EEDkkKmB2580nZGTSgakz3/ki8Z97x6A8M
NvUPJ9FYfiOLAGJmsVmuORraLrw/+2lEknM/xuLBRHO7K0JPP6mJqkdeYwFpTePnHkJropRL2pQ4
HUJVmI7SsU+z4MB+gOHQtmkLfCI98hKoIonx9jxIWI9KVXveRhQLv4+pU/gwcnEPhL+AYiqi7ewj
S4uTV09YJIgL1vl/yggYKd8oeQdJBxppjNrNHLUaBBW35pmk53xqLmTxJ5DLkPWqCL/rkSP+1ph5
I2CA+jrGnrlrYB+t0nKxATAbZV/8GpyIhHugEiHmCLw5mR8hfxlFBlryuCVU7uteBifrRSWqhvDx
7GCjbE6ECmoQvdw4W8uSBEgOzzMPA0eUTznjKEtjZfN50PAuJdNis3q2rsyEz7GZMYaJr44u2UZL
K+8t7GY6HS3wGynvA/M489FuqTjXs0hi6zdADQj+U4EwRuygMAYcJB4PAzZNCL7YIpIYVZJ2Nl4G
bXVzVFhjedZIjRmOmVHQLKBF96UtHLBz1Ixv3GGfdhCBg+Mla8pDGckCOG2NEw7MtQfpI983TVri
bIzr8cOANKmNDIW4RQIJO+L2upkZE3c7ISYJ+he3vlOmK3Z6oDIdzpFG2Lw48ka5MDqaZETCZqL8
2xA70u8zRbzSIV6I2hLOukcZJ95mKDW9qUOsFxA8LA8RUNsPwleapgq57Kfeqef72NFWZWaolz2T
jDpoZEMlRmglnx0L32bkknKDgGr+TNqR3gZ+D7OC7DoJx38Tbn2mEfI8YgsC4yi4XApesl0hKucY
tFO7m4NEfXFK0n232GTvu3Mq00SnFrkGY9PmbV20CH9eGtlB8G2rLOyd+Rtyw6M32YMJBKRPV6cl
gjEFgOQ41nW+6yAJrY3+aWboHYEybIasasEOwd6uuomZKjeE6/msTULgbcbsiD80Q/nsUMtvkDhe
/gaNxtmyppC71nJ3F5jWyxsEjeewJxcH1D2rB1OPtt6cyQtb5hHAVmjHdgimDm+ShbcYN60Hpqwu
ceps3WPphJJlYId1z9XQyJ+G1ME3HrPwB74/grzauPfAgQdQibiEAM/i8Vf1P87OY7ltJQvDT4Qq
5LBFICmSypIteYNyEnJGAw08/XyclYdjilVeXtU1CaK7T5/whyJRYRDRLdhAcxehDm94ZxbW+Ga3
eNsqXbu+9KoMvXVdZl/0wwj1snA0Gd8MaVU/NQZ5UgjZEDzpkKmTh/V43IapnS+bLjVWJIUK7fRQ
zdqElHj4pKdeW+2Engnm5qr+pvaddwCLMbubxE2QAHDmIRqX2JmDfsTo1p+VPHtvSrwQt93UUMVk
c0vVZfRh2nZ9BKbQ8lWkcyjfvSnwHPgeZSeqL2U2dN/diow00pfCcu6ztqr6Zz0DkvSeMsZKo5yC
OQvUqlu/gBPQDxWg3Z2zeh3+p8T5uk8sQokpaZs8240bQ4fRQeeaVZuFjVdrN7GujbqPcw9HWevm
9gejAjC6tRjfLCc3Q8R+zBsysaENjLnuXvIJxQnfUpbO8h0GLq8I5VhpmAjLoBnSeNoeJSXUbdJ1
teFCVESEhHJ0M3rxTx1Nuwdyld7H0MrWQ6kkKHR2WSnNMInRRAiU+qF29LkNVtN1akSVum6OvCbD
CSZu8TxXaGn9jud23syiAdlJH6Teevla+rjHVL5rjAMw2Srlt+mQTZV1/pG4LhbqC0JiEy/xSfcW
9QXWaByOo2kQhGysETE4hLJdoVnp42wz3EzjWN8thZ1HkEaLDSgt5U1Uk9x75Gj7Eo2pI9qiZunX
aqNu5tnNQwFodze7kEuczipum0mj00IffUV/yDS3poFS2uKt+5Vs26cBxJQwada7ktooNGYSQL9E
y25nKkvFbqQuKkBr1dVt5VV2ZCdlv4XvPfnQgKGO2Jm8lWKZd2xgJ9DWqYm82Kpu27JOKAUcbzuY
/eQ7VLLvXanl5HJLsdErrX2IZ2dkfde8iojZz01CqaR7xfzsFJhnG6Ywd2YsFgDao7upq8a9771Y
vxF6HKeIkJkxPnCjjNrKGfcuR3gkWx6974vFMfW7VrjHVom9Xd0Lcbu6IKC6ccpeMlmv30kfy7dc
maagqrnCQ4HDFvnJBClMK5V6JQOnjZEJ276vCpEfFTH0x4apITf0mKablcL0UdSD+O3NiAviUYKz
WFbPuPlNVNYh0ijqGCCGTFTuKJEGx9UiAjG6T+VtrGELatW5xKu7osnVdTq6YRkAa7VEd8gGxsBg
pzAPs1SNcEq8aQNb26bJaGSvXe0Ihn35TKEim+RNhYj5yGlKTi6g2dEpzCRsVssk11xEpJ/KMh9w
WSnhuhYxyPxG3w8w4lKGYtirB0ahJ+/kUGoEZs7ZD4vs9l4um9teqeWuq/v2Dm2k+dFR9GTbWbp+
6J20PRZGUf2AMeRtxKK6W82wsU+ecxlv6SM6N1LWum+o5fyuLcaydex4LnziVn6HPap6yDVteLLT
wXpNi0ILy6RC4EYUqrknEVRvWmXi+Z2p204VbdZeWewjfXV9b5dYhrpUQFz4qtjFnTNLP89TvAcT
RnvcFPiKVa1i//Jkzs0Z1xUXm970Ovq1nebu5ip2d1Ur3QjTncmL4rFFT6pP3JweiFM07qmqGyeE
yWovSoWUx5MbwtYt5+XW64bSX6x5/Rh6M92uaarduQmmYj4cpOnY44zzVGNxcEARmcl7gUhC4sfK
LA8lNVIdDAg3fqPzZ/7WaiC3NNNQYIstw7pXdCaWyjw4jm9ZDoiAiX7GN6Ocsuep1QBFF2076aGl
Jb0dtPYsPhy3zF/oizm3MhnMOYRxVN8XoyM3Wbnm9/UKB41lsh4mnC64MIv2IxFe8eR26RiiX8cI
VAOPEbmT20eFWXaROs9FsKieejT01t3JRu82TVnpmzZrKIXwG6YP6nXu13jIekRV8+YhJpBGLmiR
nRjQ+ylz09k3w+TerbGU29g2uhuj7uoXXXQu+QQDlzc9pV9aUbdH6O4Zu9Eu+m07wWkSripR0U3t
xU89Rs0u1/GHYuqx5ZdLb7ch+G39IZZutVNFRsa21FTwvmqmMOWqCh2tJFe0fdqDI0YDrtyavNRb
iVGG8NM6RfGwad3krle8FHWqbNiQEervXd3GU5gMnkEN1wEyyNv1aTWqEvUvy2CWi/eNvjUQDoi3
dj8VP11yqL1bVo6J/pSLWtNKUywYZtvezBag2VxW6/dG9gX+VKPdb6fJ0r/Es2yjVehiDlsxIGrA
qX+aJEKu01yr39U6XcLT4wTKSqiJOyQDvEzXd4jVFbfxbE+houXer2JUPlS1nzZTOi6v7WiVG8VD
GRHrZ/2976z23mjl8k0YOZ1Z1xuiYUrb14YkI6qrpAjVtAm5xEJ0wr155y6zspWoCZq7aW70L3Zn
I0JYJ6JFGK5Q6ceOshp8zYbtHVqMA15x+hr8REnKPUmCGzVzWYaz4onNaAkl0GxKu0VmTeZTa68v
qER4fqFY6g91Wr0bfdXKx1r0/ZHWBeYqy+RuKMW8nYjJz9qMZnrBPbaFIOhGGhrp+5QqD9kP0Zpb
K62a7bRqP1Yndp4aXH65/fg1Bcy1J/zM1h+eI5JbXDaVA0wOxKr7TAlEUtlce7G4ayR6+3BWsZVe
RzKBpg1nmzIILY4pSG1arlrutO/Ma/NbxSBcGzKRgdEtzkHHNifqxiL7XpcavQUGGrf41BPnC/BU
rGCG5+nCPGXAidmsoQVlJCpeaTwRGOLNiogvuatR37pLbJH1kgc+60oCQo3EadsU9XpTzqoVUIpR
ech8IMWmD24ssb7NxGg9J0z/Q7IOrlWxZFEaKzLxR8WBsjRa3R2qg9W3tRhgjCEAGSxeWQW6uZIQ
JXMRGRKfHL09te87+RUhEnDXnoromIDoJ5t0uF+qVnvBY/Dr1CsolfdJ8nUe9Q+pKpg5dFNlhWj5
dSGuAVbIBP7DWOr516gnNOTkjDxe6YmomAt4IaZD5PFpuCMAuppokSAaNMA+9dy3tanWl3ZJqyTI
hVVQyBkn7Svbk1EKAxzlE8+JqpRw6Ti0oVF2XG+mQpHHBLzjk5ksHP9xLJ6KKe1QzFRdNEi0LOIa
q2/V0Y3vs75v3tGjXLGXNOptj31KYIqsDKeWm7Cb2tWvyEpqLNKFtXE0x96kC60/Es7iTpIGeqEN
PS6IY0eJzN7wNm2h6/znIna2Kb2QTNSNHFuAwqhMPKahlr5Z2Syjcm28Y2GuVWSvsXjs5x5367wp
aLIoya7tRu8OSMQQIW7ShwV2CyHpqtjGMGk7f0qc0Y9jd/1CTmjd2XmhfQhZwOMdbenPq7UgA514
daCqKKsk1vwjTajf/GYsrVctVZ9N6ZZD1NeF+PAU9DF1dek2SF62d6NOxz638/aruaTOHh7pElmd
W4X2MJy2F9WJzNokzKrCDXpVneEQcUeZdZZ9gzBchYtempsiVY3Mn/tR3HhL3GyNmOGTQj/pPctM
dZco6bRhJE2hlCANcYxnKz2O9EH91IWq4rjjOzGIRkGMUlxVteNLWXjWZqJZsUtM23qEnmPwQxzm
Logoa6giLnRIt5IpwClst1ICJVH1n6DxtDdliLV7xCu1bYOdsh+LydmnK4OarHIM9N/oRzM9wlgD
YmAoF8aceTq/lXaL6Ezf8KlTU2xqBY3KoZjbG113nKCit73FZmOGaZ+NMJibKowrV+xSjV0va1oE
/kIe/uQqbbFVRRof5NzMKM6u9b4pKCWtfPZuYnMlkx7z4gXS9g9GMHU0w+aM0BVKaMPTMVXmTN3K
dWJZUfzqfZPM6o4dqoU5icjNUrYFNB972ccilQgDN2u4jNSnVZwLdrE5PfRJPW3JL1yHs22iL5PE
ZR6SWWHo0vbpLu6zcT+ZTFvr+xpoueMnnYukLK3/oKvnRfOFVTt7zTWGrUymzGJkOVgPoIizFB3d
xgKgOQ+/Whr995aR99NzSoM18TNX1+/lAt3SV9O23ZiFVn/XTDhbbjFq93o5ZvvBsV07mEXBpCrL
R5SUFlcpeYKRC5smMHpwvtQmZmetoJuZJnUVWJVWGX5DfhIVraW9ud6EyWm1miPilJ29qedVD51y
pmGYEhGnOG7tjVK3A6KZSrkBR5+HmZzKsCU9/DoPqwXKqfPy75lRN1OkqG1lRJIa+ydslmbFkVqd
Dl6uZ3vbsO1v7VjU+8Sp5c+REdfg20lt3zp9oj14KUklnUrtFjUKk/2c5j6F/m0GO/fWm5rudhr4
177L4MwKa2JkH5pMuw8obSbbetTKKjKSetgZw0C2w4wqv+mVIo+yoUhvZNuu34Z0ETIo6x4r3Eab
v0+lM3+VqS3v5i4xN0pp61smU7ZvYpB320FBvauMuUKiTDeftdJU1LAWs4iciiKC4z5uu3rwjmVe
LY9yHb3ISpZlqzWpDVWiq2hYDmmBEDAUWZXoRIu21cn/S5SzvTmNnHIxqWdVIwlSMU7fhYIwstT1
QqUxJjkXnlnH30zEYCJk2xFtMvJsk9vu+Fhp1hQ19EsCRyzJngZ6/ajKRAsEyvWbBFeJZydJ5IuD
7eJW1dz8tv3paop4AYAvbdjaeg9FoTXa5k4MSFH6OdsvMFGxzX0osvLNWmK2jnCKo6MXDo+7xBtN
05djkRdUb6rorTvVntofjL0RWtYN3X4n0RlNH5lrJBdG3RnTIE8KWh2D0pdHWuJWflQRHgBstAoG
yKhpPaZdR8/Atgw7mgutKKMsngj9o4FJnoEs5841ZfIWd5ayiVs435tprpSj1Dk3iCFp9TeU68VH
XarZCo7Mir9S+0Ca5U3coDiVwufpq2gBEkA9tJoLQ2dzlEHruqfJPMLBlklBRBoq72OPp/fNJOt8
a8nXW3ew1l9ZqihBU0xKNGmw9oJazeU9zN/1SVNl+s1163ULyVTqvjnLMliQ2C6IEpm462DfHRYj
fXfXuthKzyp/CzEUe1pM4hWBZysYDZi8wdg4r8ZozW9tVrM/lmb4mDl3ry0zfmPbqQVCbykZwjgX
zr2HEvRtZfbgXnB/+lClWsB0K9uNkvF84FAKxadPf6K+zaWF4kI3OwZ1+lJqVKnVetfjFEbQ4RYM
RQZYZ1uicIrmc+GQlMWqqkaWVaHsbBhV++IJ0mmY3jpjkszraiuyUnXcpAMDFG91xmik6tuLBfaX
X6A59stJ7eq5HOF5+OMwdk8rJnkDJfjSukFtCgVZlnTZjZrqBk0ry4eqsCiEK1oAPx1RtNp+XIQK
iK4booUKgkGvMhm1j9R5LGhg4QeHtyFXZJtXDLyA5yBRplvJ42pS+WaTsRxHRhHvhetaL05nlrck
TeNT6SzlrluKKhxrxhTusDo0d3rY2y719Mz6PNS1hnd7qpaBaxnJY7egBunM863dNr/TodbuOsvq
wr6YmISXWrHtqVR8dTGrSDbsUj8fiiK0jEz7mBny3+Dg0t+vXIyhVYzVlnZwg3HW7B2WbKXIdm0r
UiT2jLZhDfR17OaD05Y/aJU3b7rYmh/0ec1uaOk4DzrDj6AXeRp2XUPvQO9HeuQCHjwTo2W3ZNAU
ZorSL6Zrl/fAKZGViK3sgTFPiu9Nz0RL8Nq6aZ3DfgEGMRj1cOwH3Xw0jMT8oLZudm3VjwOolBmr
boG6v2/osf44a3q+Oc2gJ3AdBQRYnRqEiahD3xZMTaDJrIxUhb2Zj3SgcMBpb7WGdrhI6emEkALj
HXs6PzR2n2w6w7KJyUXJdTaLnpS+dvpYR2nBH+7oeqR9jeozQlCANhnoMV/i1p06euZmasg7xh/C
n5Mxf1fJXudgssrqR409xlLG7RZnEDtqMCe+gpG8hAM7w0gWTtGVjntyZqmAzlS1am0AGaAWIF1K
x/jfUKrnhmBmFRtVCnLjYNM2rGAvUSPQtC+Ll38C/52bgvWDRr3pdZiy4g2Q+krlNqCndPcjLRbv
CsLzAnrx3BdsWYF+NROE/qmgGnok4n7+7Jfoy+emYJQUheZKDIpQctjnY0EZmqfBaUCalW2YZ91e
5gYNoGlrABTTUvumB1CntFeAk5d+12ln/IE79JJhJbhZoJ+r1955bkFyf/7DLiAyz0Woq8SlaoOc
czBLJiadL5RfNiD/zz/8wr491zimR1aMBFLYxAt0Na0PFKvg3D7PzhXw86WnPwM/twoXw5xkyWFa
CkrKXTa1tC/df3x8/X9futAYbo8Mjw8rkz4z0eOQqnRj2czGVbW+ZoZ86SWdHe7F09ZWReDlANCR
XOdONdpdPJxc89Yr4ePS5jkjQyRebwoWdT4Uehsk5i/8QMLPF/ivn0wSd6Jf/LEt6bumyE6O3l7N
q21jFGhO9Vei0V9panz0Gd2h0UdgUIl1qoa6O9CHv4fEtPxeVpTCeu8Fizt9Vdbk2jn46yrwdWew
Z60dmOPF63iwtXcrQZwFt5H8qemvKdxdelNnB3ikKvEU1FAPTDjG26RrvIPWudmPf1uH0/n4Yx1E
PzcAATuoNFO+L4R7X9LQ+rePPv2gPz5aAkXLmGZ5GJK6sZ+3kVI71wxw/np8eelnx3ehxJWrAVi+
cQGZaMa8w6IE4TJkUj9/+EtfcHaCy3GiqcdM/ICtzB0WLlMAK/R3pprvn3/+X2lG/ICzs9t7NRqr
g6wAnC9pOMeNcZ+op5TCdjVj65SteBTMER6btXVv12ZGkO3zL760Xc+OtJ1ow7TaMErcRUAT1ZW7
mcQjKOZTHWz22pXF/+/d/39kUQz6zg74kJCJmR5kaQCu2xQwil529wDqyCnlD1m1B820nuNG7Dpt
za4Elf9aOfztS8+OfmJota4YZX3wEIa8UzSPTBJc3xrS+qct46JPl4J82ZSKsPxJ81Dz1Z10M4xo
IM66qQSDIs1d3mPBVVpxvpnaTNwDZrS2TLrNifpbAilI6SD56CS2HzTvc9/Kyz7fpeMgUwBEy3qr
jy2GSGUz7lpP6++y1ZW32iqLhyGLjS2Cy8NxcEf5nA0ZVUU/liaNk1pEY8Ymjnjc6iUTAtdu2qUu
nYO2JjFoGEwfVSdfHs2+9BB4lMkmljaij7Hr5D7jObBHbp9lX2KjewV+rWyrQjN+VnTXdsw7y23b
9+JGmM4JaezqBw2GxmGK7TXsjHnBUynX7xZPlFGuDMa2SnBiKFYzBx60Ml73FIup6jzK2yUGb50O
pyyyLO2H3DanTdNZlErSHR1qt6VotoV08o1jLcYRwKl67dK4cCjPvTUmenWISqHLByr/1B7UYnFz
1RLzQpw994OojAmIAOzivUOSDpkzSa9xmC+c9XM7CGuxTppjJspKbf/QxoMIMYV+WSeEilUy2W5s
otHMbzTA3J+f8Us/5SzyWkWeqQPieQcHRYSNrCCcQ/fQryQFF1bh3AzPTY2ckZDi7Q0G1Gg1Rrb1
RBS+Ep8uPPu5ncikJpPbzSvxiWbzjVcB3eom0959/mYuPfvp73/cST1qkm5vcSe5k8DckZkebXGP
PuO/ffzZi1eUtnVUDEIP4H4f1lUCZ1ZHf9H/yVSOoHp27U1aYjD05/G1pQ7qOA7L5i7LnfDfnv7s
zlMH+vKopcX7mEE42p+Zw3BqufJqNOPSyp5deXGBoFmpNwgItp0V0LoV9/O0bDzm+VhuVBO+cqYN
5kcxwtEzf2ZVW/2YK/5/BW/dTY8c5KvZp0Yo01Nvz4NkGYH3SzZ1lpRgFdrstRSMbVWl7I8M0UB9
1sliP3oGoNrOzpx7poHD1kxHbRtrY4szc7rcJGoKPDHvM1Bo3IEvahK7Gwox+dir4/dUqzIBfGma
H0oMczduI8p3z87mPb3hmO57Yz5Lj/jWuLhrM9iingdmf+8QqJJgGGV5MN3MBTynOlyxAo1dY0oR
ECzWrVCQ4I5X3LtLJVmiMdeUvT0BTKBt6tEOluZ3WnjTd6sq632ty5MF39gAhBjttzTT7NdBGed7
qY7rnV0l62kAYBX0y8t14+la+ar17Xg3L5iTlU4lIAlp8qsoHeNt8rTmTlkE4wnwsvlx8TJrL7LB
pB2Tad/juhzeXdNc6zDuVS0wV73eor9lPTmMPPeKbsq7KVaIk0v5o1ptEPmLq+PxNTfZzh4m+aWz
Ffeook3ItKwAWqpr4Fs4ZBltPBOkeGvlUYG2HRQXXLiyVpVoKdbi5cRvO4yi04CwMxD0pSItP810
6Be2pM0i4voXdAHl2cjR3B70zPymWGP3Q0tjuUGzaTpmMcYnOKqpRzMfAApBfbqBtkKrTwPG1Kfa
axYrFsgF10yPpSMIwGmDJrLoihelxUZxxP5NvbrjCSp/yUacs9MK46rqtUEjAbakdUgWMb6CUktf
MLzHIUTra3OnMsq+z1bKZ7PuxhDqEe04aCa3RWxidJdk678ILBE5ztI+7A1MtNmwdhiU47SgQeop
x0abrkSOC0nluQ3GNC1klJ7q7W3xHVpCgFegX9p3FXrfn4cm7RSD/vYuzzK70gazTrMHFfRZ7m1q
Cx8TdBCBxgdUpclfdTn4wNJy9K3HZ1X3vkoP4czM+SflFhXPiP+9ODAe8lSQcd6eNDGMmRvCp8Gs
L7+iuvH3F2ic16xO3y3e3JbeHkrb2wiPhnHHUQzJs+GKK9f237MQ47xOtXMLeJzlxPtplGI7GcA3
9ezGxmpxqM06hEjSb5A3RGf8mnri3y9b49zfOqXvlBuzQQng6LdaLlH/B+PZq1c6a3+/T2Dh/O+S
JEqRZdTF8I3p4A+r8m733vvn2+3Sk5++8o80wSz6dRoEJ9d1vy79GtjuFLXl9t8+/CwsAIyAoOZQ
u1YZjJ3Ffje6ZONOXDSff/7fO47s1dMZ+uPpXR1EcpnxBdLIdFAMTn4/gKlniK5Nkcgb9T62mC8z
Uxd7ZWr7sB4qZWuTp++oFtaQmK5eCQyXXuTZnd/owGLUljWC6RPWdWv5SbrgtlYt//gFZ3Gtop2+
aq3h7KeOw9+KJQ5Mq3oZ1PbKLrtwbM7r2FlkeW4PGZ0GMy18odl4f8z6XdPEG4iyj0vDwGmpl2fg
fr+urN/p2f8/1hnnFtdMgjptWPlKaWjxJhuHqG2MTdrZP3MTX9PVyL+AecInMXuRjeJdeZPmhW89
62PFGhi1ivbzXhMlLD97ljdT1l8rSf5Kf1eN87Q+dUwMtKuhQZq63OVK+sU29TctV7eVB6h6Bh1w
ZfdfiKTnTl8g9xpgj+hQTlb8EavxN6D597mAiqjA3fp8hS79mNMr/OOAFSODqqZmXm/YBaPO3Fl+
6q6GZy3csm8ZrsO3yNT3Xz//Mu2/+cLf9sNZwACW72iQFxKk6JXyhzMnfbZrbWZuwZwUqbjJSyhZ
MxQMZT+jIvBq0Gb5qrSKdePClzxamVY96Y0Ea5bgAfUMx2lg1ianDKpNNv/wcpd2BRKP4GASK/nq
TkN91NIKFyJF63TAnmrxiG/TECiQAZGvhuOIOrY4GbdMDgmXLL5k5U9Lb46DunpBUmjrWwvqJPMR
8f/mdghJGZlsf2qr4rh+rMMxYuaY91+SpvB2uYrSAB43E5J3w9BwG6nDz2xxx+2ErSEmu6oGwJmx
D0rLLpPGwd3AltS+6uCSw84bJt/Ws/RAwqhtyRhnGfRLp3xNLZvRnQ7wy3HkiJOO9RRX1hxUSlMy
i0/q+cZKlVrz1WoaN+gw/EIOp2Qypyi3WWppMC0BntR6poc1nDRwmfJ9mGMjqNPZDhWaBfwJqjkg
ovYFKB5y7svUGk+80vV3Uufmu5E6/SOD/wkmN4B4ABUFdDnH/NU3+e/U1hPS4xbGl9VWCYA329KI
jnDAcSO1rS8MnGnU1CdbAOqKzTqRi/uqk/av6gINxIdkyKq7IISBwAyg92MMz/zsBAooZ0tUJNyW
GVlMxcHy4uUWF+rgHPuWzGlaID04aQ4Fvc8YrAeqHLJN684grmewFt/dGd1TuDBuvCsqtdrb6qTv
zDlW8fk14mEnvLx6BbHmfIWN2e1OBATg8nri3pSFZu4MCKkzPEYwo/h08RJgO3pJWK7D8jORVDOt
68H0tZr03YBC+6okIt6UiWWKIF3g8Af6nMg06EA++xZsaxG1xeLSAVOrFxNMMjwkZQFe7hT5nVq5
SVQUWRmoQwlYw+usHwsm4JF0k2n1e4TJb3K0aXcgs9MyaOZsfXC9atn2jT7cmQjw3zd6rj/lRq7s
evgIXZROqm2CS0zSKazo4ml3FgaLY5Abqv78+Zm+FGvPbmivMlpm7h6kXgwmlu7J0q0rYk+Xwt/Z
hdvFXQ6svB8PHoIIFKm/dde8cdN1V1VXW7unnPtv8ejszo1RaVgawJqI4fDSuqHqfoCXMn2h6+le
F6J+KNHHDudeG+PAsdrJ2+C+NP/QrWZhett7auZjhaZ/pGaSvJRTjXuEyAe9AUBvaw6e1U3SXQnV
F970eWWyev2CrYA7YN4zLQBggGl4xbV2z4UXce4onLqzx/mRw0FHIxJFsPgwZ9V9uooXBq7bNQat
NhlD+PmeubCy583PegbInAk8YlbwMMogceDeZekdxJvg8y+4kKudN0DVymjY4b3Yu+q06+KkI1cf
ojyBbPn5F1z6BWcJew4i317GbjgsvQNbwXbaDlxhbr866H59EKavWYte+iVn97NUnERxshRTKN1m
omK632Mnv2u8+B+X4uxCbjQn172qGw+TNyBpAFzK/oV2KzFj+/mburRrz+LDqNuqWWHgzg8o8JtY
x7dBFFdKzUsv5yxCOP2Kv60wu0O6jM8mylxeYoLpmx4/f/RLi3wWHPrF8xRIIBoQ2UUEBddTYC01
SUd7O2Hv/m9b6Vx5PnOHqlSbuUFqzb5xVP2RUf5DNQ2/C325EkkvrMG57Lwc6gVKUqti5z73x8VN
MpjDSXdlC10oK+xTavlHCglSE1glZn8Hu9xODtZYzpvwygjGmg/WbGOUKdjHf31bp7X648uwa4cI
0rh4f6xdMGv3jrV32ymoyyvNJf3Cnjq3kavWsRplq44Hcxtvs518bvbj/XyLXmCoBE5AazeAGXu0
N+Wu33f36q7ego2M7OjzPXdpqU5//+P3GWvtYKLJlp4shJuUD9P79vkHX9jM/yc7T7IyQv/oDmom
XhLonyFM26duUiMbbsKVvXzp6c8Ou1xTaIBoKBywko36MX7szGveCRcuqHNfOUmDukhdJPIqQ0U6
owY1Cosvkf5ovkskBIr+mq7rpR1wduzRKK2U9oR5Wz1vLwykJux6eInX5Ps/rcS5Bn03g56fXWc9
NCkGseB+zftlaP1++ifBUhX60f/uoQJOsFo5FvTZJgm8OB6CbupecRK8Aji6sMrW2YFXOq2Y0wpN
BacVt3oCs4Z0/PN3c/qIv+Rj1tnxNrHeTYxsrnE6/qJ3xzazD7EKvWZ9Wa1rirr/tST725ecFv6P
MwaMFeN5rWD2arcvU2bEbJ7UugV8H//WTl3tvo/LRy0GyroIr6PPhJ4B1qxOtOR2cd+ZeX+Ayd0d
m3pQg6aR7uIbaZ1sV2FPHazyAj8ipf6qGKp15WBdMCA1zLO44OrwieKkUQ8lAOvAmjJmLyh54QHQ
w6bAC9mYnMCyWIxedZdn8JmwsluRAQMfWmRa/ml5ztGLp3afXder3BfV16o7VgZzeu2hXfdSSa98
xYU4dQ5eNMFfiwUzkoPTvY1UaSqyW5Oxr5x28/lvuHC8z60BFFVvGqU6GY2bNAxWbIj1ZQOG/MoO
vvD8584AS25kcaeSUKEEcYPk2oeOwJCHPIOudFcCyKVfcBZli9xEtm5g1NjFcxbYLYIcmDVXSV+F
n7+iC7HWOsur6E5kiypxU1wH/VnBVzFUVveN1bfCSUmelnINU1U1r7yxS992Fm9dqzS1uLOhy+bW
9yGZoeJ7B5R+53A0Kro38UerqVcW/0LoOvcOiD2GwhYj/0NZ1l/gbNx2cvr1+Uu7sCrntgGFpuro
1ufiUPewKTpZ/9JjLYCEGl+JARdi47lvgOqatLycXt8X8deuekht7cbrmAxPkFmujv0vvaDTtv4j
NupW3I8ZPo6HLsvutFXfL3l35QVdev6zsFvkbdUZ7bQecs9O9orpeTu1SeKvtKSbDRa7IhCjmv78
fDUuBfn/U/h3ULWyxKDvcSh8HCt1Pv6HszPbjRvntvATCZBEkZRupZpllx3HcZzcCO0MmidqpJ7+
rMq5sfmbJaDQQDeQDsgSZ26u/a3Ezsld7VygHbyVtU9cOzsIsCjAx6bjDvzIP87ktCD1mMZmiMUA
4sgAPW1TIYMSIIILlKIfySGjxnhPEa776XW2uLctXGKv/2jN2qEagIHYZsVxhXmHJM0NAJiQ3jtB
Hb/Y89P1CnRjVJnYRiYbRC8Zjh7Qhi2x/drw/s1jnVxZvDVTWbUKgA6wMHjbmacUDzSbgqZIV4qR
QIRH7vJQJFEfQJOQByVywDc3fZHqIGAB6R+X5WSeYkbve17seyN6dlcVsZZmPqgeApVrQvw3DhYM
Rsanvkb+PiAbgOrkJ9ea2AmpqUngZjQ7tgnrD7HdFN9rNsGeu5CDb5BJbLsKCNbbPlY9eOV9jchi
bJ0QwPxtF+nDMEZxMCMn+nr5mhmqeg10eU0MxLH4CdlJQQUUbGv4BOSbobhDYvqX65VoxqDqOFBn
yMubh8QMOZBHYnocG4kMmv1thV+68d3ylccuaEIQRCOzE7BgR4ItUiFlE8FU68bQDyEfq+gLAUBQ
jr7PSy9wChiZH5FNthHNyhzVjTj7Y/kkSuxxTLoFbpPWeOpzcAeKvvdWGkjXxcoK4PY9BbTDYyfi
4qXZ85BxDTZJm/outFdTdmMfK1t60WWdRXKDnKLMMF5cKipgvwB2gsUhOdzU06rVQIzERQ/S+Pnk
GnduCd8rshf22nO/pVmJVZ+ByJ6KCuodCaV6mqZBOhO4bhouP+UsWapdV7ntWz15swR0o3BAvnRH
Zvvw6sxT/HuqX+qc23+izmSbxUzEX+AicJZtChh3Xv98jSiZqLk4DRuGAspI54Qn9wAIq8Tnbj4A
EMd3wgRHjSITrWyLedNWw93I6fF6vZrZayrngykD7VNkCYyjGg84bLu5SIImmL1mc74yeLSfphwU
xihPWlieOKfMs8evMxXzvVNzd88k+IsOA40iZwM4UUJAo5uAle3DNuW/69+nmX2qfwNesdqygkD6
FFeQItstCl+Gfne9cE3jqfYNoLhU+dRW8uSNFSCdYP2aKdB43Hq5Xr5u1CoNNwPoAHnemIVV81Bl
9l5acdAOYA9GN5kHILFLWV8r4XQuT1kaekX+unA3CoAt2c1Wh/zhaBEr7fS5zQeqUdbYpR+Q4G7b
FpLMxGksjE3V0j2OpniXPACE+ACxtD38JAzZ0UJuJcBQff5TsuT7hQTVkp+45K1cTnRdpqzGmUNd
WB2SGXwDK/8BJQHZjiPAkjlkdytqJl0VypK82CZEBNJa4GlenDicR4F5BQh25QM0C75q9wBiprR7
4pBT3SBpiP2JcgKKAQSkyAm11jRtmk9QDR8KnOybAqAX0Pb6uQr6HI8JDvOqdgPD3OSm04+tiqRs
CRqpMzsL5A+CBKB81duxaaJNZIrytoFne8r4pgxSqbJiLWitBVhhY1LKtxp5Ad/quHa+AIGFFd/w
pANHb2J5vx28Hud+gaRgoOt7IDB8F3xjADdhBhgHBhkYEvIutwmwzMK85e3K7/x8ontcGZWl27jC
bTgkfPM3Cyjb2knh2vQ09H+vLySfn+Nh+vrxDMJYluTRUEEECZrXhnsD2RYAwAIPkOFxUNLiDV0g
jovt4mH6epWfDyGwET5WWWTYNTPhwqzLPTuQZvRdgETDlXuJpr3UN5ZadrNjzAjpWqb47ormGCdJ
aLfZt9KZVjZkze9X31goHH3dqYDYP49GKFicMKPNS1cmNyY7qa8s0i6pDQ9XfvK6HGi0xmTyO01S
8Qz4jzSDHlYINzbWpRHfnaGBfmk8JJzjWZPAXT4CsoQLn0JXyafn6339+ZrkqW8sWO6amZZI3Jqd
zqfl5JfmCGjua9MZPv7nyojS1aLOZQrMcFlZcKGx6jdI3u87PHTuoH19HfIB2BIy7K5/jq7rld0K
imiI9ZKYhC7S3RGPLYG8bcvANcyVQ4muAmW6OzJHpoqRL6F0YZoEnHILlgJdUQXq5oYy1x054fXa
RHcTpN4WI3Qz7n8xvUOgb6UfdL9emdnQnvZzVnRgCMT0aMbAOMkG5tdp9P1682s+QH1PWYwkh6cc
mn8pUyfw8NZxD2MgIDnrutuXZhdtb6vnsli+mxc8j8CHwZJ3cskryLFBVy++06V7Yvy5XoGmodR3
lantpqRLsyWcEqT0AAP9y4vpa5bxGz9AmdhRO8BxCE8GJ/zLr+FObIx/S+iY62XlA/5dvv73ZcWj
ly9730QJo4uZywxPwbX5tDC7fUTWMkhaiU0OAqCdE5uAmFxwiIeirU2hQjVouk0HEm0A7Db2wnDp
XrQF3Sc8Z3dF5Db3htWlgUssaLxGJF34SxaDqFLF1gH6uz6oW7gzLcLoNim4bmc5A1NWDrH3HTuU
DZprl5CVZ3RN/6gBWJnJDvq1BZ5HSb4gU0T8yFMitvA0ua2DVMfWhoBiK0AIDIek+B6N80MB66+l
jwHvrpy1F3TNsugofWQYcZ4vSbWEzDtn9gR8ufRz82wNDzLl++sj+bLEfjIO1NeqMnMRVByYHTY5
7DJ6AZb7HNsv1wvXhHY9NbRbtxTpnxQueITxFhHcLt/kzgD/oq6nuPTKfHyKZCq+FQBzwoQCSTJL
1zaPyA1u/si2iXdAGUDROTgpHCMsioyeyWo4mJwJWEjWEB+m2MJzU+vA1zNBTHFe2Vg140d9eXLi
vAfEZYLKn3h/az4mG8Lr7cxuu5t76tMT6erYW8ZoDmOHtPsSgrytCYrjgRBj7Q1C9wnKTgQU2TJD
3OkCTWvskv7iVpPGr/BtHTbXO1czOtWnp1ymU14xVIAEleEgaRWdY+F8G4ts8FskfexxOee3batU
2Zgq+FGM8YKNaVruE+etRjxSQn1604eoL02wDQPHM+qzsBHgvdpQC3oEyFYvLKKfSbw2mXUTTdmT
RrQUNM7YvNHlboDYethndC0HXdPZ6nNEZE6ZO8LSIRyRTm6NMLgFGa54vt4+miuGalm8UNw6wIfM
wt7tnZ9mXYw/K3cyvpFR0HYH7HlRwZ6han+ZREKYfb1SzVFBjSuUk8Ai4OAQ3UxtUCwk3mAZ2SOv
+5zm6dP1OjRdYitTZKE2FmwzlaGwuQVWxFgD5bX2AK/pkn9L4rsNFsuS6CKb0RNMsuwgcZst0Ecp
3lciZ6WJdDUokwJJIRZpRIOnDW/cDLI5slxuQPu7bQ9VIwXUNF2j6pwqjHsCPyjYmSzVlg63la6+
PxVNL+Hxg+ngwnhvSn4XFgBV4uv1jtW0jPrUlBOcY8ceuUiEz6c44q9FPhzNJFlZ+TRjU31pMkk9
l7yg/GTzr0P1HZ7V2xEwSgjSVirQDEzVrxo8iDKvRsS0yTSYfgMjDDIiufG2xlHOlhNk8FAc4fqe
MGAdqfsycYROK6tYCZLpWufSKe8G/thEy1JUaB0jG4He/MIHqHbo36JembW68i+N9q58lgE/CXel
JQQ2PoI9Cym+LuyhMqqVxtfsa+qrUdqxsjKAATjxagQIfeZ3RucmgM0WZwBNv0ZluSLO0o1SZfkR
MkFiulEjJS8rzYDmfE+sCYqhpVs5xeiGkXJfBOitzQgo9OGAnIgyf0Ri6o1jSFl6bBvwkY7gmovH
HTuAwOXYWFghUvsmUpYJp4mPnQzeepq1MZgDCRaK53K2IMBrmDzMRX+bushTH45oBhJUJi/NT7sz
TAH/a7LiP5jL7K5PM80wUp8nqilZRJKg8fve9Q7LROrNgFQmP0m6+dTYA7C8VLxdr0szJdTXCpiF
lQT2e0voVQ8W0nrs6s6F1EEUayEtzVD9J8F9N+dgx9jBvvSy4jm1XyZ10LsufPzWzka64pUpHSVV
yzJrRvyn50EHQEZPzcBd1sJLmuJV++GoH0ceQRoQdojNwaqAIlcEJh5BwoFsvN4Dmqn273nkXQOl
7eDFi2NVIeznfRCoM5AEbiv50ufvSpaeLRbwiZswHtvId3sCOz5jba3W/exLi70rvAD5gQN8XoUA
PoO7/M0Yfl3/1Zoz4z+RxruC85QWMJhKcTYx+4svynn2xovn0wgCqNyQqLQDK6kO1yvT9S/5+BUR
L+O0yYs2jNPZQjAJrjbwDzU2ZuesRN7+HTs/uSb/IwS8+x4LcR6L1kzC26TPdqzkiZ+mHSQLAEV8
FV5PD6A54zUvdskXpJHhDWdCMtvQxMMmZrG3hURo3E2uyeDOGDfukSEgDNUNcpf8KEka2Lkk1StW
BhsmlwC642QUb7qx8J6vt5Cmn1Wp5hBl4Kw7YxtmYJDv2oYk28Ip+9v2GfWBG9jnFOOStiH4NoHb
tD8zw3m9/sM1Xfs/j9ieOyZmRugJLsU7x4bT8jL9dmC4c1vxyvi3pGzgNIPMBFKPPRY02M3Ap3iz
dGtbsGZl/icSfjduaCHkbIwu1AnjdwE4Po7pPqyRYB2wpsLVtJCKQe05q3s47mUh3lZ/GY0VnTqb
GhtROP32eiNpXvlB1Pg4v2Be2wJ+A0EE0qimIKsyGPvgnWbXdkMBexgP0jFjKrbeVKan2JIWnCPg
lX69ck0DqkzOCOrssZ0HGYJMUkTwLHG+d3UTyOjHbeUra4eATw1cm3pkccwIdFowZNhQ0VTgn7Xu
jjf57rZqlLMeM9tRJL1BTzn8DPglbzaGKdpdWjcrG5BmGJjKWa9fgHJwvB532ajzRXXGiTtL17Z/
3fKhHPeoZ/RdkefRKUUwXc5dkEVrCYafbxSuijhxJzrDNDWv0b82A/sbYB/gDpoM2bZsOchugkGJ
F81PY58vK+/sn3+Nq2JPWgP4ZVcgYySzePRosijZIk1ijWjw+bnPVYknZIgGw+4yZLjNwm9ssono
V6AoAU2HieuyhvnRfYNyKogAfjcXQp3T0hoMnFrQj1lnr9zNdYUrqyIRsPKDn6mDleSLY3h/FsP9
fX0a6BrnUuO75dCzIOouYEwblpQYZ8QoD7jXmgGYmnCHiLovJStWzgS6b1DmtZeWKfbrpUHsfLzP
yHCcDHdlLuuKVuZyYU4EaoKmDkkKDn4n7AimX/nmegt9Po9dFdE5tK2RAJUP+ZrtMKDlPSrvGbJX
pF8axd/rdVwGyf8eZoBI+tgLnYerFUhl0cnCtYrk7QbuaT7cnvx4jZ2tqUHll7C8quq+MawwYUaw
ZCToU/vkArbOs5Urz2Xv+eQbVFxJgmDLQiGhg3XWCGxi55RYlCYzqCQITLSwYBNp/oJt0lvUi+fr
zabpdxVBaMiejVYWlaGxRIkXzKnoQIeeyvm2rv8fWklSXPxneRXmstxWLUDu8Tbhj7f9eGVOGxYM
MDoGY+HRzu8yO9vCtfLXbUVf2uvdpB48rNd4AoXegYCwz19ktRIg0TW4ModTRH3LrEUE0oIEyp3P
bfzt+i/WDU9lBs/TaOa47bOTPbKXUoDkByswH+Z5CFhNYi3Qpvv5ypZM4e+T1rAZCOFBHbAUvPWJ
8LUrs65wZQ473lxxA55FYRfDQzEx4MCUVdvrzaOZWyq+oKbIpBwMRNhw7AsWODw5ObiulXlXDeSM
Q99msLtdE7Obji6uCjQYm9zJDBAkwqa5dyPLj8nffBWDqllPVYCBF3GIO2D7E7ay8pHyEHBS+8Z0
4z6s4guMBpb3Zu2WISVokqrwfHjM3EYVclWEqyMjIqsOlx8Lrsew+pXWX9q9WP3aANVMA65M3AxU
eLs0RQ2xyrmGQBdg6Nx9MofblhyuTF8pHQanKNCXQAaC8Ffy35SsYb51P12ZwSWlZDGdDHtwBoPH
jHbDNrFBA3aH1N0BKrSyAmmSOV1VXlem6ZxVJqBLXdXijlAO4+SnE7yEnNSt9hOM0bazJ6fQqG17
xxwrf6BWmS0+N8y1VA/NTFfldsMAx/ceU/LUG+VThgxIUffP1ye6pmhVbFckoy1yhpdP2PFUvpFO
ARzkK/964ZqTvSqzc4Zx9tIJykeZAiRt5EHtLI/p/IPJrzRFbA8KkZWaNHNcFdwVaT/3FPDQEyx7
56D3KjMwYRXvN3gGWqlCM97Y5c/f7XHFMhWmKW3n5AF3mpolsNMwhu+ekWxwvbV033D583cVpKyB
U06NLalwmC/j74tA2v+0BoPW9YUy0+E6C2N6p8e5O7NhpiOtbpdU3D0UhYOEknkA/Raukemx6Ar+
+7YPUmb/hLwhcAzwQY2zneIIqCkwYedpc7103QfZH5uLijySc8Sck1FU99J0QiCdXuScQzSYbUcj
if0B+uCVynR9o2zkaRsbQCrjKdcpgDtPp/ic8fTOyuI0uP41ugqUzRyxlaHwOL7mQkzHKe3O7MSp
ITeuIKrsbu4n2ODaOO+T2tzC2BKo3nzlmqX55SrAYGLLZE1u1cKjmvgA+waD/OqBw3VTu6gyO7et
kKXrLph1wC7beJ7PqnGz5CtBXc2cVgkGvF/6pgSv7NSW+8J+Grw/9nDqsrUfrytemdHShd0I9fDj
7exYds4X1k6+ZMcaPLHbWsf5OAdmqxewi+BzKMxhzxh7kRnONXBgP14v/1LOJ1csVaRUw9TSgTm7
hc0Nvsswa298N1k7Y+oGjjKB6zqDS6nZcOQWFg8lAG9+O7kB0o7XTgiafFBX1SdJw+06r0iqkM0x
nAShZjwjk24J6gWbROcAiNC5zAsZd5B5tdjxN7hJwYkE7mB3nJflA+s7mNdbkA6sjGbNgFBf9SVu
MTNc+5ywljX1GUl+gV7zmI38bObDmoRXV8nlz9/tI6IsStixdTRsywjmkHDAfEpLFy+Cr9cHha7f
lKUKttF4bMEGGJrGCFOK31MO6zNowq+Xrvn1qhQLoEHDxIXGwUsOjMMQXXHnHon5Djx01vgcmlGt
Jv+7Tgk8V+w5YU+XILU2U7O2Teh+/CXo9a7p6cKSXLT48YxtSudHm78BP1dHNzaN0rGIko5lbtYk
rNibI74BJOgv7VNOV+LsumZRVqsKeZJxG0UsvBg++1Y5XvzO45VdQtcyykpFq67rE/vSMsg/HKI7
A28sg/tfS8eVpUozKlWdKSYzfH9IhmMAQ+q/QwLA5uNybchoopaqug5NDdB+K+FeUndgyjRvZQEf
VSQqezuT4T02GvqVLUlzrFGldqaYmCFsQUPPAg1mjnwinqmd+6NdBk76X4fM1OsTTddgyjRugeA0
JyxIIa3dQzuZ7g4CyI0zwBD6egWa8aRKsNy8yOY2wZfAJh6y4q9JurIAaTpDFV81EohMzmwWjm7S
Hb26LTelLOV2KdrCB0gabyspvLqvf4WmP9QM+LyLlqintQiRrO7tIpZPP7JqipAW0Y5BASAfXONh
SXdIlsRbuTV//n1cDZ2aFp8sWcA8sSsO1lDtKwd+3OKtLIevebMyHz/vHK4GT2O6pPCisNoQBBFY
8rbRvVgqb2Wh0gytf04c75bBwR4AzzVnHjZG73c1O0R4IHTo2llZ8xrpqvosN7/k9BvcCTkmRl/U
vjD3DYctZlwEi23A6fTBy4Rv16vo0c+byyXKWSUDkS+CgwcPbWByPf6WLm8Nsm/m9t7MXkj3y3Qf
q/S72T7MOH919KnHZff6+NNktyN14uOeUlRzbkcVVESN3QeJKF8Y6Ah5U0KwJ+MDgRM1M/rjLJL9
UPV/Zhc+pcnIns0kPqYW3Q1CbK2Wl7etGkRZNZx+MOrIaa0wSpHGKJ3qS57WR17VK8ufpqFV1ddo
zuk85BUNE8sMo54cYtl+u96SuqIvM/zdqCw9s6dJxFloNiLI5sznzZoYTrO7qUqvqWlmmFX3VlhA
RJO5aWCIOzrmsCFZE0P/w3p8chRXBV59CnYvxVIXZg6Z7xPR5Xs8f3Rh0kceImt5FMhGACWM94Pa
b4VVHwwk7jywEfAYwE/mTSzgtJY7tkiCIuvkgfQxvFg7Of31FqjQF+6lUIQk5tfKtcyXJSn7N2YZ
sI+d6j5+FS0QVvacAp0Mwd+X1BpK0Pxae7qjQ8TA2XWNMxIxjC0VUXrflCx7jjKGR6W5cvlaPEnX
g+RjD8KUaamR2NOHhtc+A/YQAiH65/rg0Bh9ADPysezegSvLMMAfrqjb8XdUOcYujtL6MJu8+xVj
CzjPsqBVINM6eZw6ax59xJuix0UO037qhmRtLGkWT1VoZ41Ol9kc8LioqwHbJflL2bOvcOdbC1jr
Kri07rt5UICZ6FTCpWFmFEEMxzFA4oLeeLrekJ9vXsi3/1h6TzuPCVvCZ68yyH2HbD/bH2rpPdYj
Hb8VMJHbluaQ8JXlUVedsh4ZcObOLNvrw6johx3io8cOMAV/ZvNj5SYAbbcrp2PNi4iqhUcmJKyA
u8YO84EgHwnEqfYMp2F7I6qmwxtqB39r0xF9wOsRZn0mHZO1LeDz1YWrD8KRyFi90MgMHajnAtHY
B7uGXhtW57/mTqykROsqURqyyOrWmHJhhQCWDfnsZ8UXp0SWlv3r+rjQjDpVgbnkfHEKbiJOzp2X
FBg/7F/eYja+Zax6uOnquAySdyPbmHt4SGXgoclEvqTxNJ6WMckCkqwipjQr0L9N+l0NLbbbNp8d
OzQIPRe0+Y0sgzWU6ec94FqXr3pXdkQ9mNWn5RTCUfxXKerkQuS1glrar5PZfLneDboPUCZ/ngi8
tfFkBKc9fkhlDcD/2lTUzRBldbaGxYBPAQSS0C/uhjTxK8bvEjkHsDLZCsAPLbx/ErbWXLrOVhZs
mGZHNSwBSSiq+o5U8rGvnLc4KtZOOrruUBaypCnMqo8bEkax9PwFy2YezGXtbd3LPlvANG4t1+Pz
KwZXVQVVUSWlEAsLqxLpsKMd3fdxcvY8+H7SmPk4W/xkU/N2fQB8/llcfWrlrpPapoDel7Mj6Z5d
x4AFfYS4fLG5rQJlEgJL39SU4qbfNHCL6Mp9NX7zxmPJ25Wb/udfgMPIx3lSMlZ0MKdrw2U5V/W9
I+unZGAHKyIrX6CZI6rY0WRm05hFCkY2eIf8sZ7W4sGfd7SranClWQu3dmo7lPW0K6TxRg1jgezG
vevz4RdZmp/MyFf6WfcRSjfgucrp2JA44ZAu9w70RL41dyuXx38JEp8cRlVNrsyWxs6SFEG6xW6/
tvbsPhKSu49Z787fkPZAN96wiL9x09BNCrSMD1Pywe/zAnS9FAiDxDcNx9rwnsfbCXmdu5qUzc7O
QciFKBkxPz5UB2Mi8ihg4vTFppME3WSaNnPfuntOW2PXxd1wX9a828wXmtf1sfv5aYKrzmFVC2Pz
vKBT6KYIB2P65e0jMsmGHy6rpvPcRHhd6qtyf722z1cw6Lg+DmTLcERpQesVNl58KKZ+Y0M9g2vb
baVfBsa77USWeVyRtMJWNZVfaAvlZuzd56X4cVvxymrf5K1bMAuq2RYBvaYpN/H4WvZrKQ+6plEW
d2SalBNU8zKMWxB6aFQ/kNn5BX3gGnb785621KR3ymvXmCQ0mg6FnpXa1iYqxD0UCn9iCfOysnK/
XW8nzcXCUgOTdeZUHlm6MRQzaApWCTcvo15e0rp9ipF1v2XO8qOZvC9lSU6YTveRNS8+TIX+u17/
5y1pqZHLqPGKiiWudxLgePTuJTWl207zsnL+/nyZsdRwZWVXs7BTgvN3XDyRVPxM+1WGlK5sZaGn
DDQB20r6ULjOnsjm3poQ4LveLJ9vIpYanERqhsmNqgBbuEaArfs6eL3fSOmnbG1X//w4ZKlRys6G
QSuVcMTp5oJvl2x5KU3yIJIGpqD8mHpxGNflY2lUK5Jd3RcpCz5NWhe2sFkPKY9pbUZr4c+u5dlw
+jN+WGa3lgqgGU8qdnQEynCxDKMLh2Iz2VmQAay5HmjTdLkaba3FaKQDiwHVdV/TqPeXdOX6oSv4
8ufvVkMEKhCe4WkPkBT50eB60DZrunvNUqJGIxtZRUASCxypkRcER6Xz0HgPVjLZICV5YOcM08q2
q+thZVGMmzrl0m4wokS8xdK+YfHvlD4t7ZpiWleBcuQ1OsNthiYZQhsZ2V0mgiJ6jBFtHNaysv+h
B//34ICYxcdusKHRmKGPRwTnMO5kEO3NLbKmt+QAxvB0D8zJZgnuprvm3J+LQ/XF/p4/xLtiZa3S
xI0RFvhY+xgnfU28S+2DXxfQOvv5tDXmbb1jrk8b/zbhi6XmlRrSBeqBoR7HO7cDumlbsc31dUsz
jtVIYx9ztjhwYA7nuNjUOLxn/ZruXFf0ZVS8myK4hpN2zPCrF8N8iZC5XXOxsjZpXuItleXgUYTW
bFZER2nBqG3KEtwNClja1r7H7DIsXTLc1+nMjpN0EJw1xLKzsRi8TtEYjVvTHcbvqTks36Jltlda
UjNt1YDfVDWWa8TNeKrHXPo9vK9hxHduEW/ragpr7pJG++t99i9G9MmoV2NieTtERu6J6JghtreF
FZzzRCDHgZiCuvM2gmHdl5i0zmtFi7/JBGLtwqCiWR6JPWe413Q9RI3j+H2c7eoZgFMoPFJugghV
RpEfMStaOapodiw1U81q09ElZtqfoJGYzn2VJY9iSpwAXovJXcnH+EicvINnUDtnj5Hj3Pa4aqkX
ugku2GknzeHUl+4xb2t367XymJHiMWIQgyyrVsS6LldXnzlbOI9QUQEj93wBGNQ589T2WQvTxDXq
h6YSNVAoi4QTqyDiNPE6jMYa7pcStjTOXG1nQk2/d5KVkJ2upss1892EbSOvTJa57k6j5Zjb1C1/
JGX31Hv9k7Bzd5MudC298988/WQEq8nN1uglNWDXcRhFFH528dJ2yXaimfxbt3YDvhbLxO8FcuV+
S+ImfywHx/pPzgl/gL98i92KTUniMzMbKx/mh84BnEH50MTleFzGDJCFJYahrOu2zq+B8eWXC6ea
Ct7x2FHJOJMVLa9mhVMv9rjVs8FpLHFy07w+d4WkO5EZ43Zlml+G0SeNpF7vh9gt4bbD21Mvs7Ty
XXcZzvmMW69vQAkWXRRHxmOWjwgfN4vHdx3pAVWr2kr8vf4LNPu3Gp3sDFpJs6PDaYFY8WtdpmST
c2GcXSjUgVkb1pIBNWdANVKZZo2VjHwYT0gzNZ7Z2LQBUkAcPykiY2Ut0nSVmj2OkC0bFrgCnuKW
Jv/RMge2Oy2i1+sNpStdubzOcKrFUGixECyU7Xq78s4kbp2VpwJdNyjntFLIwsujqAVepUn27ULs
r5M58ZO059wvyTyuXME1X6EmXZeiAALXcNsTiQ0RmJ43BV1sP97URGqIh9MiQWSmj0MXmIQyyjd8
jZz4/5fszybKZVy9W7ji5iLUpyg7/Gn4r9Snfun/5hs3mALq399vfqb+rvXvX8Nwc7/DPw/H4+64
u99s7u+fH57KIPaPT/6v/f7P/unP8c/o/+m3d4/749HfH5+P/vHPnesH233hb8+n03a7/XY44D8/
Tl+Dw2l/PgUoZ7MJDwH+zjY4BYfwfrPbvW6+XP5aEGxeN5vD5vUAr+GVu6bu3KlmMHMeT2SesO4Q
yvqfKfWcL1EzDZvKJch1lRV7sNLG3Rq8sPwqK1uQZkj7fFs/KkOdyDhKoPThRzHxPYu7ANS2lSGi
O9WZykCX00KTLmP8KGNvP6eABxbGwRzfckaCaGkPjvE0peNji2siKrd5+s2kbGuxNVWzZh1SM55J
tTjjJHtxMqH/Ps6GtF4byyh/GUmU33ZvNJUjAwT/DWxnOT+aSGCp7Reary2i/xJI/ncWYHp+nAWG
mcatLRwYLSPgfHCb/GfuzfAK5gmBpbyZWdafYXaSGA/5eb3Jx8Z8HhxZPNdRyv7OnI97yC7gL5Zm
eQfgSwxb5lK21mamyzYV+QanxekwzQ750tRZfteahvhPjAtMD+RSL8BUUpHYUGyPzhQ4g41P9DJY
onvdtF9gmhLUnC5+kXZV5SfzlEINu9Q+XazqgFc1vBBiQEX7ukR2sFcvEUQFzoQtvrJyx2/i3ijA
ucGvIMIDFcKrvL1EzqyES84QVVDpXFJbiwlGbAF3pim0WpFvU3vA38iYPTzYURdtDEmWLStjdjbj
enx2YUixgeVRhBtVKQJS0+JVjFP1wDo2Bs7sJtuuW7rJHw0TWt4oQ4SC9GQzz0CQZ10v7pjB117R
P1984ef0sffgZ1FYHQjVpy7uK+57ZuFsYS0Cq/Bb5q2ppqgj6yixkyYTpywR6WOUxXmQVm22IrP5
fIsy1RR1NnZmAmtkfqTkaXaflmUBAfnkZGveQpqop6lG0ik8RcAjbOhx9trzMBl7HhfHrvaOhgWn
drcKjFpsypo8xoJAm5xbG1lGK3ESTdeocfWYIV+AFQiyITLjR+Khi1+u98nnB25TBc5L05qgHW7E
KW+Mbp8RTx7Am28fOO/t89iaxanHK+72emW6LlIW7pIkCyyE8hKkKOTsyjrr7+t46EIzZsimAkxC
bq5X9PkqaqoB6kQQQrsEZBizMf80Zb0BhyH3zXjteqf5EPXuz+c5iTMEc0+QR2/rkpANK2BXJviZ
9e0ayktTiadsRcRM+IyLAweFbNOOb0sHROxwrt+uN5EmCRA2wh9n+5zmY92zNj9RbzAdIOFoNx2s
NikdEI6xAwWi7/G2NTPSW34zDpT4WRrDiczuB2dfpflAg+s/RTcGlQ0p7qeRVEgQOmWjW++MuErf
5mEkVkDYLLbxMpbhYvXT/nptmrGhSlHp4ja9x7FOmJV7Yn1zZybki8HpyoVMI240VRnqKHNzqZqe
H+eaS2wIdjPFgUxm8R1npvmOxql9JMzun6xyFvA9mmc7jEtHHr2M9/n/cXYlS3byzPKJiEACBGw5
Uzf07KFtbwjbbSMmMQoknv7m+e6mrf9wiOgtCwFSValUysrczSKd97VQ1t5tLOercs9EAKLONj5v
xajMi3n/vNNy4bZxiEaemyVNScz5tNy3izNQ8BSH6UY4XllUs+8/U1VWOcyrYpVTgG6mFIdIC4T4
t4yBVoJwpIntrNmGCa3Ex+C82O/Sb2VPtZdXrI+FLtVNCkj7SfqNvxF9L5mMHwam6oy2F/zD7FZI
djMe1UPxJVXzb11Vf66b5KWvP49vxMVcE/Aa8aZCOKEnGvhPgOZulCnXhjaCCAmyypJcZXGtgvIe
OcxyCtPePVz/8LWJMWJIH+RZ7npNFgOae3SXz8hmjjXZgvOvfbsRF/rRL6diFlmsyh821LxTe/hA
JoIJNwtarsUDiymM3JdTVAP/7G0WEi452Hloo4LVFiwTQ9hlsY8L2NAfQeCRHX3dPoly44yyMulm
4SqbmnwpVJ2BZFbtPPplkktklVsUDJf89vz95/9650mU+AP43aYili3KVDt0UZRzlHkFvZvzsXwZ
9YLpCrg9bVT8VhbZLLyIFGqlJJ14rH013S/ZpKKuJFt76Npcnd/67m9aAHfQCR5kcWcRXIaw/Kl3
rBqAxnAjNKx9vuG6tBQBYDVOHossvwMm5YTyxQaj09pKGK6roKuS87HL49mbIk+4R5QXIhdAlMEn
Byo34vTaDxgu7Ps4w6KYm8f9stBPHQDB4HHLF/v2eoRYcwfDh4OcWSAEXEChtpC/bCEnSAr0UQ4c
N4yq3+KUWPkJswq6lOAY5L7OoYeZoy/nNfD/Xv/8S/cH8Aaz/pmRojnz5uZxPVOQCtnfgwGiaWBo
8Hr0ZYzLnxr5Wb6lPLey4mb1qyc+hJv7GcG6cL6mgIbslc7uuDXf9wGq30u4bKGCVpbFLIVZzkT5
NGHCfPXKhzL2nc8UHUDTuHXWO4c7sxJwnrizQ75zvMymk3TQSRTbrXyDTvudsnEfOXneWamcAps3
3lihv3UNuuLmZjWq8IuSFKyFFxby3hvFHBWK3YMoeIspYe0FhptzgloqmW2OtOmYa713vRc9bV1F
rA1uOLpcwrPKY2/dKvFd9zLqw6cw35qaNdcw/NsZy7akEl9e5vYDhIduKzlsFIXX1tjw7VZnnjPP
nXVLCoACHBAlxW4JPVqAcduj5qN37/Mmf840szei7WWz9c36kvBKNjVBbt3SZc733TjX+8AHxIUW
Su37AcqD193+8orAfv+1XpVp0GIVYYZKBddAGdL8QSi2HBswmG+84vK6+Ga5QjNLCslCHqc90GZZ
NWY73Bt/KOr+D+hvcsvSt/wmR/mj+6wr8AtkQ3AzFi7qmY54vj5Ja39wnrx3Ls67wR+LQvO4oSIa
Jm/nbUICLluWb1Yl0LaXKu6yPLbabr8IhN96PiveHYNW35eB/aW26AdODliF0PBsMCambupgA3e4
tyuleGNcb2weaxNk+DUU5UiTQuUl5qX11IftnuHy5/rcrzmC4dX1gKsqCBLm8cD6W8b/KIGGpUBH
TLsb83J5L/JNOj3pQNu1pcg+HGeGoOIjIRSSDJ9y+qsOPoL8wNybR3GoFtaitTH3nQet8fZn8VED
Mg/hgUohZJWmCEgUKk7oA42oVN/twf/pBvnTwqyk9OqX62uxEiz+50gdQFEiLBFh3fSgFw83S49Q
odxYhv+wG/+7kfrmOboJIBi/LMqJ50rb1c5O3SBqPHtIBCfWW9EwubN4ru5SnYrb0a49VMWd+cAl
1T+GoJ13tUfKpApoFc1DYD+M9UL2MievqK7LI280Oi/7oTlSu7Me9DxuNRmvWKh5Is8hROl5Pktv
scp2opZWPIeMZ39myYCT6SZnI9RdztCA9f83CumQA4ftVjjKkeo7SCGq3USdZ1v3TzYtfpb18tSg
cHsOsB+ooJyN1ggYc4WMtmm89NZjqJ/4sFswQz/k1ZYOx5o5GVHDzUuOdMpPb32n+FFXztvQqWSe
hk8fs1YjclTDBAozF58fZuqG5XLeQYwr9gPx9fr4K6E7MJKCciY5I4A+3PqFOHnaq3fcHn/5xI1B
C+yhx3w6gWhyf/1lKxHW5PSr2yZLQdVj3eaWjcvN0PrUqw+xCWChzbYStwTZ00h0ervQr0plUUVE
1NkbQWPty89h993mGRagv++AOoV2e4/Gt2CcikdHk/x4fWJWjMhk8OspSL9VvfCYsr1TqyNpya5g
bOPMuOLbJoUfaPUH3Dph52+722madkPdHGbQTHpww+vff7E6fZ58w62JdHuWEfxAVRbN0VUdfckK
3j2A0GvEQSwjR1IDrlvZfg44WZt/AmmTxr1b60TXv2BtBg03B8luFuqhsdB8SdGneoYSAkEXVv6e
dERv5LNrLzF8valce5ioC2f0sD4l+kirYgda3I1ZXDMyw9d9WVZj19D0tu29W1bZTUStD565fZPB
L59oHnJpAf+ob9NQ75yg25j6lc82CfyW0Wlbct46RlC8JWmYouDUMOt0fWH/q5Nd2FFNCj9cmOI4
15ZO3LlyeEpF6dyIobeP/eRYj2MpiodGQXBsbLpxHwao83ac/cElicf3iDbBTlG0a9t1Q28Dv/CT
UkGlAZbB2cYGs2IUJoOXFYi5XqhIb0X24lWfKbkjW467NvT5+buoU7nTUrt2m95ShQv5HbOaEGWY
CpQW4H4Lf16f4JXlM2UGu3AWNTr2s3h2Z+Ctw4X/huoJ+XJ99JXYY/J3jQM0DAVEtm51Dd3Fzqof
22oC3iaVf0L3I8IniD4m9+LgdrzKKCyQ0fyuzOZDm7cbPrmyBCbn4ti6Y4fYlt4S9SC89mB3GqYm
N9LFldkxlY0Dq7VSf8buq1Sw86sFF59hFJDlUMuv1+d/7fuNwDzaNpKf4fz9TXNMm7zY4wr8s1X2
W1xfKwkEMwJvYaNABCXJPK4gVDDsbUaKZyvoi3iSVvct0xI4Dunif5bc2brHWJk2z4jD0P2xO8pc
69Z1LQgm5s9i7k99Jn9Rm/z50LyZxG20oJTZgBrf1p0Vd5n9ZlH7WY/ZVm/vmtcZeVfQ1pnyud/G
1tAH+1YQSMOJLUnulSTbZDALZS2hTumJuE59/+igoPSD1TI8DDQb9zl1AWnpZBVVwu7aHS/Eljmv
2YKxLnWeqqp0cYKu5d1UHxkFGKpE/ft3aQMYWG1tOGs2beyTTYfCiMpQpPbBZrhwZ+91ZYQUasMp
L4LKzuHEWBvVOFUrlXM+o0A9YVbyNqg5aFCzyq/2XmFne00DsU+1n744fUaQtXlyH5I+3Ltz2d01
NQsegxG59HVbXDP38zK/2wbKEughqeBiTE7DCTxjwZfRXQo/Ep7G7YgqoSxw/U0rVQSTSZOzWUiQ
MeM0INqoLP/kvbdjTo5K8F0RdPvrL1lZPpNQE9AEKyhlgzSnKfZ9ICJc8YNo4Nv10Vccy6TW6wZn
oSNP69gBGuN+TLm3772hOl4ffc2zjHNA3gBWBOoIEbu8FWelTtK8WAztNQ6oB/YLNLjnRXR7mtL2
lQ4627gWXlkXU+l57AH5gCY6i323txOf5OMJnTL9y1iH7MTaGYUloNw+Zm6m4jOZ5rnpGGExcqa4
o/ymlF1kd+UdZxt59NoanZ+/M+iiTa2xBHQ/6a1F3Ms5B5/1uPCNi7gVdzHRRBXtaOmnnZ2U9cn2
9WlO/6BdbeeB1f26Eax9vhHmKGRgGjZ5S1L37VGm/nFO2aePDW2EtgG1915UtZ0Ms/1MafpUoFFp
47PX5sUIayheq8ANCT57/pIj5tv+aZYoY2dv1799xa/NhlaSZ41qKkhHKHR9ABiZ+tZusjYGX5lz
s5cVJESyD3rLj/vceU6D+ZEFWyKJa0MbPo0JnktaUxorqwa1Whd20bTJDnQReY3NxOxWbdsyLNVg
YfRKzvdllbe7jNMfWYt8CajDYECDOZV3kltlVHlZeerLQW9cWqysuNnLWjbazujCSKw0ZL88J/we
FvwATe5jYI9bXHhrLzlP6ztnBoQ3HeXY2EDb1L8oF68D7fah24Pea3y9bllrK+T8+wpGaJ8vdebE
ZAERbkbKk1fMH/M4k1cvLPt5mlnbJQiv/UktfN4HlZ/ur3/5mk8Y/syCUXm4HbZjWYJhlwdAGVux
Pfmnjw1vuDQaWXuvDsc8qTN3h845IJwhrFJMH4vTZrfq7DlVY1dExWFjfW867Gst/3v9y1c2UrNB
tfRYXfrcm3F3ztnOZ9nfBR1eUaW7lyDzwNgTQiKjnq29xa0Nb1jJTs3G1VQsKkDUVvFI2I6hd3Ac
nrLbRfq7ZTkF1VZ7+n8nnwsFC5MnT7e272p0E+LY4PfskDbtAjxdWO4gSjw/oqqOPpMGl+rD5IzP
4RR2OLrg/JKptr5ZIEB6V81SfYZ8sYz8yamTiS0+FjaobqZUqJ/tYi/AeVvkdpATa8C1rcoDsdIs
DqFKXkcOtGS+Zr7Hd8Co2zdq4v0JVhfumcusw+gQtpcKWHtX8PEmB08piCvzw+iJ35qH6uhVQfbk
jJX9m0zVC/osW4i5uyAeday5/Sa5zG8AZG8hbhDqJlp6y9NQrCvQ7EfEcMNc1zk2c7Wc2sB2kkkS
fee4HS40Wzrsi9rqjy2vJeQpx+VJyN4FT1lIrIMzzuO9ZbfOfYork8N1G1txPtsIGxRU2q3v53Pc
DX/66ptvg5NzK+qtjW3kAGkqgwzE5yKhLiD30ZDnSPiqDv0H/dTlGxZ7Ke4FsBojelAZtHaNwnNS
D3e+8CLebV0XXvKF88hG4GAjMHWkXoK4EpZE7+Ts3FbUSwgPb6xFZ9iY+Bf4y8v1hbi0ReBtZmYA
yqFz7xFb0Iy6b/r5eQK9ea2KRNXD8/U3XEqQz284/+e7TUi3xJlsSy2JJN4hHJrIQd1ZlMuOV/wE
GdSNFGplQUz2dK/yJNc4YSRosDv4sHy1xZWzNvJ56t79QAlx6bbGlTl42dXOH8c8qnX4/frkrI19
tuF3Y5PZAdNTKNEEk7mvUMV8FaN4uz70JTc4z/v5le+GPl9PBWJ0SeKVLigcaUhjMPl6Bzb3Tx97
g+nELQoZoeXDBwpeQMHUKl6WFg1qlpq8D2xz558wfNkLLGdoUviy3RffR149lO1HbrzOQxse3ADo
wmbtWzGYU3e8+yvSLX6itUU1PBjqaaifOiKMLac9gK12aLbKDStrau76oydVvwxlGLt1K/cLc3ro
VTuifMvamm9M+do7DH+1c+l7hKIjQ+Bs6dloFVM/XGeL+GYl3pg7Pc5MdV9SnsaBizNaHrHlGxrn
SL3VOLf29YazDixzPG+xw5jqe5mxHSn/NqPYXTf4lYU12VeHzp+nsadLUqAj5jimxNrzsGUbW8rK
p5tQ6oWPNZkEtFJ4iRY/lg/PQVg/oO19o15+Ka+DwZt4ai7qtM9skcZj3jiRVSOvTukemjuJGu23
qW57dN+jL9ndEn+5eD90fqNxfCMMW0sTOFMyfZPLrv8evgISa9URu3N0lEbtg/1Z/fjUPgdo8d84
M/yXypkp3vmdhgHMQ7cs2sn6RDUeeLsgpu2iPSIQv+i8pH+8xquPHuPyW1FYYJVT/eh90mVZHlud
zoeprTq0TyFDpDsr77q/nRL6cfSr/E/VOCyShCi5K9EcdyrRel5E0MfqX528COgRwBAXJ6A6mPto
0VX+ZmWkFvvrlrfiNiZ6tmrOlpGB9b1rxXzf6A7TWdFqHzagGi2tZevKYO09xorlKhjHdADR6zii
UzL/ZfVg8Qv3etiw8RUPMtGyI/CNc5lh/DBII4KoIsVW79OK+5g4WQ3ybsEI5Gi44NOxYBM7QGa3
O4Wumo7XV2EllTHBsayqhFauBG1ix/ITkekBPF56N3B535H8NPf5Bixg7V+MnbWtJ2taeDCDI3+o
vlpBQHfTuJAqskGduFGLW1kKs12AzL2t6NSXyTTm8TS7d0Q4r9fnaW3o8/N3qUdpoSkRYKsuGfPq
DknI50aQt+tDrxgoMWam4dXoCkFJ4tt/w/BXVv7OJYmc8oPDG/lGAFpoQiX4SdGR+ki7+UkJ680W
0Ia02y2FirVfMBIPVMgCx7KRT7aIFAGpI+EuYHZ8BvhtIxdee4ORgKDN2YOEnnITodxDly+7af4R
ZDVi3FYi8p+VXAizZp8AH7PJ6zOoLBBLurek7/IjD/rsR09I+OZ1GX9sXde90/084hakDw6VfcaQ
27iCSuahZjALaHmD3pS7R3tWauPGf8XyTNIB1vWuqJdpSSxy50DdD4T3G3O65pLGqrXQYvLwsVPS
scSFglmHoqAzblwirCyYSSSgC7t3crfVQBf+BMOd2IHY1Dlzv35zllIdrrvO5T9gJuSbeJOtFwdB
pc+r6SCn0d+VKCREjKuNzffy7DMT7D2wxmul588JiqokglxAJPKl3X3s842tqa9A+dXlloX+IA2G
tmasQCjQseKl5FJv0VSv/cF5gd5FLojB93bF3CLJh3zvDfppGuXL9e9fyYaY2XmeAzzOeJoXOMs0
y43DWd3spra2gSbtyMmqZnvvuoH3vPgMEJ0usJYfducsKVjQmmEHIujsJgyz5mfRt+GzM4XFi+vi
2Qiw+7frn3jZDJnZJ+2mPbfG81F9DmHdQT26UAcBJhCqVeDrkOnWdcfFyntgg6rz32mevW6eM5Az
JDYui/cOlRx6G0OsdfrXd6xvA7eeUuSnvqc+qQD9itd/7yIU7vxaY/OABJQNMoI5iPmI4l8O3ZkB
7FKZx0BBsnTZHhpB3o3dS3BlgLzkppBDcOby39hwL+ffzGwTzx18UbGEOkl9+TqF7Rt6t/wzK8rD
kqLBsa2GyFL9A0qBH+m1Of+vsQ+IMqVWIe0gziecExWLiPut37xrW1tFE3SOFcQ8cs/HWS7bVQD9
Z9Zw6G0a0fSro7vD0OhPqhgjWm8cTVfs08SiozaS9zje+cCid6irfm9s91ikd7Lc2D3WxjdCDJFl
mxb2vIDs4AFF3tsWsnsLh9JWqTeKYSsx2MSgE1I1FXUKkYTtfamrPZl+gsd2I0Kuff75pe+ClyjA
L8bDOogJpFXCpYu0F+6p+6tZ9IYHXU6AmQkRLzwyiqBA584w1hHvH6mb3zrlp2Za9vNW697aFBlO
ClHJwuUT3MQHdwvka1L3LUi32JbWfoD+O0VBL6A05fs64aASAFg2kupBuuUudRa0rHy9HmfWXmKk
CgN3BrvNApK4lnMDIi6AknvcBtQBj3BUA9sf6TZCytqKGw7u8dBW82wJVOBeg4JHwJHuW+hZDOhR
uP4vK6th4sJRVhWQhPC6pCHzX7fz1W4pQBzkOR8jGGEmNrzTKpv9TkPYuBRqxyfV3CBI8ydgRbL9
9X8g9Dwf/5utMt9wbLHYDNp43I9rzVnsTGmxp91o72WqR/AIdwS6RxZLG6gbhs5pLtsJgLxMFHs/
RWu7tbgh4PaNd0ArBhRD7EnctLW/3GVigZ6SDDz+0Pl2mzhAjd2RRk7RDHLneFp6MID4Kr2rc0TI
fpDulzmt5aMXhM3Jntrxs5QAKmk6tPuyG4IX0COym15Vwb4rwQAqBpfuydAs+97KfzHQCO8HFkCa
Y+w66IqTGQSv4F6iox7GSDW2foSgktqFqqijKujzY64m/VX7w7x3w764raZ8uWHBrOLGs8qYpX6J
3ojptwe11SP0m/IY+U/2oEtdv0JxOPs1LkEBReMuC/7maalPrBgbcNbZAFKlS7XruOxOgliQOGzT
4WFIG/eQ61ke1eR0u7kNl9cyXJpj4Vg9cG0Vvw/GqjywkYIAKi07+4GwxkLBpQ1olFHag+i+F69o
5vvLmnratYXFdogx4f+zlkzQOdrpqQ+SqQyHXYBL219sZs1R2E396tMlex2djO95kI27UNuPHNE2
KjrhHJZlHm7lUPzpgozcgL2uvvE60iTulH0dwIv3pcrm+ThDnH2vccuyc3L/51Tb/HO9AKoUuFV1
1/mDeMl9CWnWWZ41kosWTI3Ln+s2uuJnJvJKgyZqAIE9jHMYTg2pzgLV/bNU5UbxbyVSmG0Mk2+D
MOgcVV2Hp6CInRCLxuIH+Nn1Pu/V1rlw5TfMfoZpRE1nmoo+sTrrmZdgiJ76r1X+kTt7JDRmLwMj
mVPb7qgTDxytg/8khiya9MdYu5hv7DyhlAUobVsW9wWEPUj5GYHi1/XlXTlX+Ma+wyBGCYCa70FL
2ok864HaHxzY2Gu8tuNzYYVtwpX3leX6QRL39vo3r62lsbnkQKqiw2nWOM0RqLlBeJzs2RbJ5srg
ZmeCxSu3BbucTpxJ7AJR4jztRG24JWi/NrxxiTEuJRSHmqVJFlcMe849aEdT5NWpX1gbu8qKR5nI
9lqD3lS0gsVTCinlivFX1xpBx6OaPbO6jYx3xW5MjHvH0lx5zBFJ1X6nzRf5EdgOHMlEt7eQA+jq
GgFwcvjwaDcDaGfpUvMNq1zJgMzGiyJ3lOW5WN25gp9WakfGlyr/1PQscuhGjXTlHew8Ze+y3YxB
gNxHwSFRDIShkRtUxV54wwjGVmSlfqD1A4GY4xYxxppFGcEBchApsCNQgxcUS96zI8n6qFvmjdx9
7W+MAEEg3Jb2ueXiaJr3cSW97tgRbKI4nLbo0qrCAy2G4tOHPJsZQcMWtlvx0dGJCu+7soha+zkE
Eub64CvsfszEaOe8lWO6YPSlqty4gwL9rZVSP55ww7JLCzc9Kj0AnWHlX2iRyZMeyno3Ncq5VTxt
Dte/YuWw7Z2fv7OO0SvGsa54D6HEtPikxtkD2mdOj40XRmEDVtJehfLoiKm4adAjtZGPr7irCdK2
bQsEbEpC5QyaAeX4OAD0c/1/LkUbsBCY2GnLT0ufzZYT590vJkEMjbNLyqt9RrfOdpcM/PwGI0de
JtwFpMhYAfvCjc/gtv1D6eX2UVT+lnz7JSM/v+L8c+8WBbySk11NqROLsUxy/yFgoJ9wD9wKon6L
33HtHeffe/eONGOQNLI9J564bJAVl+W890VVvuhzva2ZcEc3TRbdWPC1STOC0Lj0jTcGiKN928RS
ykM4sXtr3tLSWlt1I+hUENBhpU3DOOhpt0uRkt8tOFgesFb6pJumOn3MuozoUwJSDlZWh8ayO8PJ
ZPpZB9YTynD5nY0DxfWXrK2MEXVYDVXuSg3ov888HUEX87aw3Dd79E9y7l79oj9ef8/amhh5C6uk
BpHXBMGkVv6huMmty+In2r5/fmh4EzGlrdaVYGOxkxbdFwFITaA9lG9db10KIPAQEywleAcwta3O
hdEpLht+Y2UfyZ3PQ5+X5Z1jdHNYntkOHDDMjd+tzEaPb7l8T4eZ7D82MYZ3BxPv0gFsw0jpIDrc
vqDBEM2QG7v9yqKaeGnUchtWeI5KSPZA5/K+A4tXtamjvWKaJlZKcyiBgve4Sc4IyBsKnOgLeBaa
O1IO7t7Jw+oYNLm7RQy34tWmJlCBbvhSUS+Il3B+Gyi9owV4l/F33/102aqxr73EcGnU1HPgVRQ2
wFzg4s8OI86qZArVbw9K5ddXfM1aDY8egrEbh2loEt6ED6ScPoucbNyIra234cRVgCvMxpdhnHMW
lTjilbgoWbyNBOhi6RrOYAKpNFrSbEEmOwHjx5eO0TJ2XXnKAvtNhDagFST2F3lAM/YvcP4crs/W
yoqYuGpAgIus732gh7xfM6UoU/hRX1Q31Pty/QX/XYKbZa7zXxkuTivISbgaYRy9O2kcWlN2M5dN
95l1oXwIiqn/JBaLgEjMcU5dyIC+EQt9UA21v9pIcJ+kssVGKf180Lr0KUYwmEPdDwv0cJORg1rR
7Q85myPgZiJQ2N2T9I8MN6LO2qyeDehdWAM0p6CimQmqeuCm6Up2YM74JdXza+q3W6iytZecHeDd
SzJoeHHlDiQeZa496FOy8LGYe+/kD6rej8waP9aBx0wCU95VNMhx15yQlM7RSKY9wEzfqTd+4FB/
NhEjLAyDjx4Qm5C4bew+wikpfROCZSDG7evf181wJSqYgkZjOjZaSuHEfdO9gdg0ae3w5frQl7L6
89cbUcHqS18CjJvGQ6tQR5/BHEjtXa7koz+mz6Q5VwanP860RRC6si+YkDxWO7oZUr0A3Prqg5Me
1Ee7IHgcgOsk/uv1f1p7h1Gq8ERlEUmA6Zx9DT04b1cQnMXZ33wOcVOw1Um1Ek9NKN7se40tckXi
wl1uQQxdRcjuXsN0CTayuxV6JWSM//oI5Is6Vc9enxCloDGI1q18VwxUfOEpBwhAC8sFZZqU7V5A
Jht6r4I/SvBHPIFyuC0jvwHHv/Y6L240r5IwFd6nEIWLPlJLKX74oOB4zMIUrB5MM34j/DBPpG6z
rYuOFas19a1mKqzam0Y7Lkhxj9Px3in7jRC1NrRhtTMD8p3ZE41DzeRjDoLF48CLfCPSroxuInGC
YiRzqHLUQXjo3o7Snx8C2qVP161zJfKZKDHgjNt+sNWYNKq+C3Q9o+ya3WecfHYIOtSvv2TlF0w9
n3QK63kYgzYJKjk+aPDV7dhQbO0Qa6bv/GuYpVZkCJTTJpKGt1mQfhYFBYmq3Np11xzYCKm9KtB2
PCk7HtzGvumqmu9zjzZHIvy/pM/yo1W25Fj2Eg1BReXcctG6N65KrVOourfSRXU8C8viJqyn/tkL
W+dzo9NpI2Je3oc9E3Rgl03p8abHjU87JczP8qhKu8+1cp8DgA6Ksuj3Ykb2eX0hV6bahKmiF82X
g6+bpBmcu7Fgb3Pd3jR+u3EIWDFGk9W10/lktR61YxyKcfn2VYdfGW5yQC3xwe83YhjJ0F3tk8WJ
g3qqfjIgx+NBjbiUmSt3C0i29hPnuXuXS0y5rCT6uIektu5Y0Tzb5K6qipMvt7xpxR5NlGo25FVO
K6ZicG/eSPYJmvK73A52Dq/3/jSdri/12m8YXiUH6JlYNKNxLoszOpLE+KssCqsp9nv9ev0la/Zk
uJaXO4s9p2pIIJH8NDjDyQ7FUdTl8frwK3HHlAiigZyh5S11PKFhhXolOjX6w/Wh1xbBiPkCPD08
JOcyZwaajdL7zYagiXpr+lNrVoF2ZUtCemXf9UxYn7aYVU9o8E7oj/GbOrL4qG7liSQp0sdf7LP7
iT1mT/ZdmtCbT9U9/5L/uv6Hl9fG+x+w3yKtSQu816o/ozF7Vwb9Psg/cO8B7XOT0zWnvip93Eok
mSy+l7P3nVgfaeI4D234uAz9TGQOSiy9Pz0uLH8JGHrLPzYnhm+XeQNlJq7bZChkfeCE/K2W9ggH
lBtmddnroAX2b/Aoetx5o3Fhjr2xYg8FYCsvdlnqvQCy8xX0wFsSPWvvMbwbhNZ+Y+V9h6boMgkr
clfoNp7QQCo2e37X7Mfwbbt2amprQKH6fti5df21d9rPRUE30X6XXdAz0W+hAiu2IwWyCnf6lrpF
bPl/vbk45imUXGu1t2iP9koZzwPvdow3kQq8nW9N0Wi3O9+Zoz4vwcTgfCjYAOLx79JluV0rFao2
yco57plzglzthlWsTKWJiyMVqLyaEBnOxLJH4dVPdmYdILz+oYqnZ9KyZm42u4NcZAIAXrHzifNF
11D74vVW+/fKSpmouFKELlUAxiSZfmTTHYqqN6GTHgnnkWttoYDWJun8/N2+m/VTGlRN3SZayDdh
hwmwtY96rLYuCC9vJp6JjQOmKCXUtZCHF93RqfrI2+xoXilXeSZTaoOq+dItvUz6gv1GXEzq0PqS
OU6/G2V56Eb97GTj514Q8Gr3W10EaxNmOKiXpZMLeHKdBEtz8El2p4caXeRbydzafBnFw6LI6hqM
hFXSCu8EHSGw7wKBsXGiWPt2Y/uFKqyzQPxPJrp4FRpthv5vutUFdLkI4ZmQuKws8xF9hk1StjNu
4HTV5r+w1ds7Fi7k9wD9mUd7ZvMX0ACF4EigaiOAXLxYxc5lQuUm4hULX/o26UqoIfWAgT0AzIXq
cRah7+nouMtD3lZxg6LB2DyS9GO1PM9Ez2mLjJWY2y6x1FBEgA+13W5BC0HNSyCgoqyYN4pTK3HA
BCnloAiu+CKaZFC+/SXzm2w/eZbzW9SDFy9FBroD0Q0fMxETqrSkqIM50m+TZU5ckYOSAUraw7Kx
WCsGaCKVOoqqmj6PPqrXwm12Gapt4WaKv7I9m0gl2bY1FRm2NmzP3k8L6K4bL6/Z35CCRfCM49hY
kLW/MEJARW1GVY24M9PwIFIBdZ/8/zi7suY4cS76i6hCgBC8Ar1iO3Zsx0leqGTmG7GIRSDWX/+d
zpNH0zRV/ZKkulJC69XVveees6NiS9lqxQT8Eb/8ZJIzICCZkFkFUfnuZKppX9jWRv5grWnNAKAA
1EWcGhQdPsJMQ1X/GFi2AaVbOf86dKnIyOSmAnaxz0Z3Py5eZFpugKcKeeCL8SIHZoCsxgdalHl3
OpY60ypNkJwfM0RIiABOylz6f8DKLgJou92nY0J1OFNSAoJogQA8rgHtbmS9F6Bom7wzVNbvc451
LJMNNhnbmwmKGq2v0udB4h9duoU6WYlz6IAmutReWdhdGRvVz6mbAkb7EBSUYd6+M4sevC09iJV9
paOOejF4XSt8fAc8w3MrTp67JUD+J/n035wJYF3/9lAMoKZMVeH14Ds9KmOJmYd+atux75OUBzXw
QEGSd9Mjk8w+Ul8BSCNAGyH9Vh1yD0watVVCIbUDE2ZFSusfkSdd0INBKRgzZ35NMm7/8C1iv8yV
UA89Cl3OhSyrnWUzM5SQIdzVI1z8cZjyUPqFeEcQttuII66tj2ZJOoAfcwSj+jgpxIxqx3QvaRcm
zviDdS4oKggLEJ2+z2HV8U3DYmflNC9lDM8ybMF5UapjmdfR7Ufeyi2l45s8cFzWZZL2sQl6SdbG
EomayfEiLh6b+j4xDarjl+becHujwkdUB96LfZNtwXxWeq9DlBgIC/MRZXqxAfZv88LGDCiGCCzE
6bZu1pUzomOZue8kCqoyY5z70OCRnvlNdcvursnXkYXgGiPNRGZ4wj04BMYpzwOSTVBNGZcBpSLO
Y1Flb7c/de3yA0aSXn7/dDvB+DnV0rV17Lb2o5DFX6ikOpo8uROjqrM7F2SBOGFZyzjh7KHqOgS2
EEljlfnP7f5fW4ZL/zVzUrh1YlODzzH3nOeUOh/ewjZyDmtTo53mmrRiENQr4wsNK7NF4FltMLgb
tmKt49rLYBicoYaULqphjfmUMvuAkM0dEeTLnGhuQUlLxzPAWIe40rty/+mqBYToP9x+q+Jupes6
vW9DgLmQvcPOKbO6x9ol/anqp/Rwe0WvnV30XgcBzj5EclEoUMZWkzdhU9pxT/2nMa8fu9SMuGzM
O3zjy4cuHfi89ZWX4IWJ9YX0fDhVJBhQbNtndxaq6TjAybfApCnEgsxwGhkAgiU9CWXXBL29xRS8
skN1plTp+J1b9NMQA8I4nmbWzy9i6QVI1JncuGWuXWmXSbrsgU+TlNQdoZSmM6Iucl9lTR5BdecX
xNBRrLuIr7477fth2gAarm0s7TCXvDAR9yZVbBRVkPQn090YxbWnxGUU2lGe64QK3yHwLEvrr3QC
k4giC1TfpPVQdNMWGmmt+9qR7sCOV42D75zNUby13vwuq3nDWvzhgtLdpssItDO99DWdE8haxZ1P
7NeyduBXln5Kgsk3UMeZOqMKRi6RuneBCc1Cf3TV17Zp+IHL2TyMDlhkdgY4yrJD74/D3x0Yv0Cv
4osMQj+IUYay8LJ9T13yYNUdlLSIMb6geox8I4OB4ia/9f9JE46SHWZlViBLqXJAlbL6yVR49Zkd
nX5nQBGgOi9r325bgpXtrYMQAcyVXi0KlPMszdni1RR5bfIq662swlr7lz3/aW/7CgnNNs/wErea
sBvpL3NuDkXTfb3d/ZVNp2MRUzVDvr61pthJxClt+JE39T41u32zZBsHZuV06uSuHueW6hOEW11/
To/OYr/aln1IE1RJGsp7tfz8mKn6nqQe9qAOT0zN3q/BCIGYkBTh3KA4VvxPut/qfmOTr62HZmvG
xJmrLFFWbJOhiyTiJB/cFvQ8SLoFZV65XHRUovAtDhaxCXdKs4Qz3h7l8FFN76kLVZp2AzC4tu6a
sakGsUDnuCKo2fCeqsv0mw09Lq184Kiz37i8/ohJXzEIOrMbL+bCnkXZxpUIp332ZJ2dsAtFZBqB
ETpBC8aeyHgcduY+Cc6vPEqeyg93t/X5FVNna+bISefJAlGQFU+DLL/VY2rve8nJFsP+yhTqyEXm
j6Dv7AsZF/XfDUV9uv1lSkTkbJVfr3RfRykSwkmvLHDHpNILfY89sPkebnEcEh2eOEK/PLdVbuHh
1L7SxHxxyy223bVZufz+yV7lMiNiEWjacvtTSaw6oKjKDcqkNoNEjnJja62cEZ0ArpEzJY03oSSO
Q0HYU8UEoTSHf0y56YaNlRU8gEbcViJ/bVDaoS+spG+LcrBjF8hGJr908qftDUFT3Hcadayhw/Oq
rRSo0lJjvyy4L4vvDh6BltowWlcDGpcF1457Y7WkSgzbic0QHMjfRgjKBuW7Cp6Xc7srwvZo/UCw
yXk192VknIwf/Uf9Uf4G9joPWMRO8NY21m3FfOqQRG+oi4Xz1Imt1j84k7dEfle9JlRupfvXTo12
6JeuFxRM3nYsib88dbzJUZ5MtsjCV1rXYYhidvy67znmkdinQYpfNVMvt2/itaa1i95LuoZUvHDi
dmzyveRD9YrKb1Tt3W5+ZeJ12CG2MHTdHWrH5WQcPHOAPvyUySBRW6SJa/3XDj58B5AfM6ysC77X
tp0eisQ/3Nf3y5g+2ZSSGtIblp6CuLY+qOpx8ZIQFYUbW3Kt45ffP7VuGtwYfcilxrXo/25N9zQZ
yf6+jtv/blraI6WDVdMYCYhAdB8l5Ez53N25pNqhzsAKNDllZ8Vu1jwql+16s2e7IuuWjXlfmxnt
reC2aZpZGbPjyU5PUjZw2Ep/a9pXLPifDOunaYeApUVNk7B4unAEiymN6zp5sooyDcCD3YZsYhtp
gpVh6LjMMUdubkhaGlPJyjBTY4cIobPh3a6cq/8A7aaxIyAHGOLCeqMzVBEkilHnO9/nOs6u9gDs
ckynj5th/Mszl+9u6nzPE/8pIWIru7xyuelMkNxnrU/qEafL9pYXlzXpbuyKIiLu4oZt4cjd7cNw
/R1AdQuEpHwNqzmCFtKSfzGww52XGbClgDttFQF4ar6byu2GIGsBhb/9yetDA2XXv88fByGvS4rc
O7fOsIOOuh95dM4jqHw8GPlmFdHVag/crjrhpWhLM0lTl8VGCx2k0hHFvuPgBOlkyvbQ3XPaoJTN
cJ6npgF3vBz30EHtjkbD+mNjFtYPL8M79/aQ1zb75fdPx8qdiqWsPN+Ou2pGaocA0f4jyZFzu8/o
6HzxdZtWibxcUwxUgbb9y8npSS1bxA8rRkFnDVwEm1uf5UMMWfSDP39LoRoE93efe/+w/K/bM3R9
U7g61nBIjMp1uosLIllAm1NCAVwlRUC8rTfo2hpoPogYGEhe/JTGWcX9kOcQe3SbaiNwSq63/h+Y
4ZRKNnMFm2DahQohrZN+TVXVPreopn1S2QJIApS4lofFN6tTZlftHkXmzWEBYvdttEa7DRQvkpCL
Rf64PaNrPdJcF1YUaQ0D4sR8EI/DaHz1luXOpi8b5dN2nh2KuHzRWrGQQLtXckgR4Eu3EshrHb9s
kU+tG0ne5J2Nx4pIByB0M+pCqqimGx7d9auB/odm0BHM6Rts5lH9WowvIAwOpi3q0rW2LyP61HMr
mxNH0GxAeWq7r+Y0IAlwAfzj9oJePyJUp+cTVYW4kMARaZUMUvMhH6ES5YjAEMZdZoTqBIcTc1U5
CcOJRe6dxtLJgil3fpCabMU5V24bHW5fpnVOU+XDHfXkEJhl98NwIEwHevxmMLqgsFOKT2Ybd9va
cmgnHu9pC+qm+FruUyjScrprU5YGvsE38jwrK6JjFhnomXLWYL7GsQAZ1lgjV9x0ASSRX/ypGO9b
FR2+iIxwXitIdsTOxdmrc+/FqQZQhM8bo1iZJh2/2FhDN3Y2RgFfIMiECgC7D9L5HuAf9MR19OIk
J4OPpariqoPC0qzeKmVv5ZOuYr4ujV/G9OnEqRGKM7SBkZvosJslhLNZnnxzUyMNPDCbDzVIvooJ
qX9P/hrn/MnMpp9/8v63j+Ta1GkHngj44YCy4kgiqPLdHNLibICkdEcqZyshvbbHtNcK1KAlaC/x
Wpl81CqIy5XYNceMDm6I9Ny32+NYMbme9mipegjN2wvuxmJMHojFH3qabUQ51vqvPVdIxni5tAuJ
K+4E1fg0odzCtP9Jhi1qmBWbouvAV2ymeQXOhBjqiSjgBTbDdg9DX36pC+i1OOC/bPhGRGhluXVo
o7lU1pyABTMuCMwXgvFIzyGrCJ3SLdHelYXQMYxTD8JrPx/c2IUPXrJ3O914bq0sgw5SbHlSjTUt
TFAOCdRV+1X1hlqvPoTwY773inKLkWltii7f/3QgCVO2LyQGIMYL7/gjx1+LveFlrSy1jkmcO2pC
TGp0QVsF5214SHwRzAA20EQGpH41ZRndPg9XEcWwKzo+Mc07ATwQUsn9lLND0tlAetlF/TaOpnkE
CpOmO7NMUBgxX5BUmeyEiLxCplth7JUOODpc2nWdrPBoi0z5EHR+aM7QAgIvXQCKcpD+2QawmBvX
y/UtB+Lsf69Yh6R5lrsScBQPfM58fi6aewgQLrOoNe12SI1Rf1Bx21m/pkn8amt/A3q5tp81i1U6
Iy1Ngq2AkpLD3D6Z/CuTX508CW/vgOuzQnXspTGIaUhGtM/MIiyhKSuNDed57YRoXklv2Z6ZFcKK
SZWV4YJM/x5aHFYIYGGzv935lXOiQzARVYbo7pyoOIPYr20/J1b9ZpLntrMPRnv27vVMdNglkTWp
BubRuPLGUBAeVMPfEAXf3R7Fn5zKfxNV/8FcThJV7KmDW6mJ7Ffr7IbluXtnv/24OXU7+jyHzq7Y
idfsxfthvvqPKLF7yI/iRfysfrrWbovIbmUn6LjMsuJ9CTXhJqZm9VYy9djPW6DStaYvW+STsQRx
XcJaMELHptW92LL/5kmysX//ZI2uTd7lm5/ahpC2WSkJlt0OUhMhLVgTJilXr0ORz9AQNCcU8+SQ
hAc5xPKlYhDryLvR/p5abvtlduGMg5CRR+Cnd84GtFF3feaVP40FgU1AH7MpKIBiC2ZX2b9SNYz7
rjXNL2UJZtFBSXEwoCAY0pF7EclEf9cDyNG9FFL5jWVCfSaey7+B/9svvog64zdQuRum8LpRcTzN
VxEt8eph8ED8Vj+q3N+1dDoJCCUZ32/v6Ovt/wfBOk6mHIYkIfHSRpYR4CkK2rof6bRFILa2nzSj
2ChoE7oj0uAkdb6QCiR8Q/l6u+trTWtTMwIVMiAghrTtYrNdJWfvYC3VVjnA2sRoNlGl/TimldvG
qjC/tQk7pnOaBSqfXpqS/rw9gmt2l/mOzjGaL8IphlwOceodfDODUm4a8uLtduPXpufSuDY9fp96
oqBqgDBCHtjVU1FuNHxtZi4NazNjmxmky2Qt4ioViwpaxflz1ybmP/VC0hegBbY4zlZGoN8ZYLxV
TqNKBdDZc4HKkjLdCpevtXy5pT5ZIiAzUCQ+KBV75rGyVVDU/sZ5vRaYxOTooPy0zWZn9IVCzeCr
05gno3mFbELAi3w3JFtxw5V9o9t/PLRyOiXu8EfzyQChRjEDzEm2gqvX7urLGC6z9ml2FF1YXZu2
itPeDyzrkeRviIKHXtkHS5bjub/lUq5NluaMjcR2oKraqbhXXrQkJ8mdaADea4EYau5svPbWRqNZ
INVwpDQto4tNEEmfymbOjuPA/b1pDPVZClt9SLMG2WzqpxtewtoXtZOXg+tPJWWm4rHNH2DA33o7
e+DUHMOCo8oQnMjn0t3Ctq9tZe001s4MYYoMNgTPvmBEWUvhbBTkrKyODmiv03a2EwPHj1Zm/2iS
vg1BFDSEeZK04QBGtL3njMaGKVyZMx3kvphWNvRMqpi5CQ+XBKUybTJkZ4+BMgj3hgh8qvLvZKq2
Nt+KGdMx7wUzSpQYExWb6Vg9WWIun3mDarKh4oAE5qq4bzfoAGNDtpIZUwouD3DEo7gDzOa7ZZd9
KbbyZSs7QMcYEwkgwAB4S4y9Db07vDvzv29fISs7QAcVz5VbjpDwGWJvLE85p6csk8fMkukhb4iM
ZNJvfGjFoOnwYu6gRN5KKhU7rNhT9ZwB74EaoNujuJoIgT3TkcWtWWI5a4pi5YSDa98h09EmZf9Q
sLk55QtEvKjCchdeaUFdwnefJfIUe8OGWp/skJ6rB0+9M7vONxzhq6o2lw5dVvKTgWWUe5WT+F2c
eO0cFAlgrHLaCY71m8z8R2PIN6Ms98SD/C6koXGsl3bj22szrZlchJ9nJ7NxqEf4Gqb93EzvXrXx
AF7biJqltdN0MkSNnd7Vv73sl32Ptt5lujR7ao3VmDt20se2BeHt+l2YLCTjPc/qS+uaAe2SdJS5
zfp4aPMdZI+PLbOijZ23YmN00K/lNnNnMa+Plxoy7NBQoKFL8jq2pUwDkw7NfsmabufX1vxLFZf8
rwsJbCh98fw0O/kYWlkJZk6/6XeFKq1DBh6w37f7ttY1bSMQxzYgy9UOsV82QXEpRxVFSMTRMcl9
20FXAu4s01zaycChFud2jNxiYwuv8Kc4OloUagLEzxUa7sNu15yKrzwe3khURWKf7ofAjcZ9ffLP
3Zvz4MXtAdpsG+v5B2env2CxV3SkaGm1IgElBDyjB/uLd1Anum/2I8jHAuMpewSJyL488efxIY9R
oxen52Tnv9UbkV5yFZyHr+tA0sJzF+QfQbXGUxRCh1MCClJJ+/eJ5ZyENoGnkbpe9YyiUJQRDp1f
TYE90epxHjoCAlkDnPruYIFYcqicBxAqZObOgCNZhUtWtnaYu07xBKbl8jyKpkQJvlvyYJR4lAao
JPaDgS1ZCFWWJpjKxX6ZRDlEwkmXyDD7BPWbg7lDrRWCkcQhJ1PS6QsvreFb3fjWPz5J+GPjKvkd
Mkd1RD1F9+6YtRFS4Miu+3x4Mmou9jkf7ACyIezNhGBh2FNQ9pYTWHmEKpEWpZPYl6Y57bJlrI+J
2U/veB7bp7wdIGTSl1BG6S3k52fH7R7BgOLuWVvMqPIrrZ3ntPyvts4gaD6MDYbWjAVcf6RbnxpS
q9fSzg2wllLb+JUYLXuw5EAgNVbyaFae1QXgF03/Zv6FlxUJkHe75v1T4eYsMEbKw75JftOSkQ87
taCPAga9Z1YQb4cX6YhwM5PBRIa8ihIxg1PdIOVZOWqIlrpRD4azJOAndMUfxF33dTbnZNcUjvpS
uuP4welSpQdQ3trf4eQlQWJa2NNGgWIumRYRq8kSQDam+mirFnzpNVgGoH+COKG4aLZPhn8SE7fD
wa8aHnTgst3NRc/soMyyObQEgxgCgJB9NFdW6QZNy/HfFJPDbgBdzQMEvclr09jQMrWa1IfcifwA
vQjivabP5xJgKeBm+DIa4/62ZVq5RnRG5dRsHQJZHv885e+TaHd5uhW+W7n89CIGC/c/A0bQP7tL
A/2ButvVBfu9dPfApS/m4WJrP93rnUIuryJ4cs/ZWD2Kkn4vFMpPbk/LH/zTNeNzGdWn1vOCd7Ol
8KxAgbcT1UbCfy2ZSnaJlMUZ5TTTHhmVPES9dhqBOpLt8SafL/CNOaxLx3ie8qZFwRMuIhMcqLGi
yvoy8XI+3u7f2oVyWc5P3ZP9IOsOiSIwD4wJfNH8UOWeFylQDkco4tjd/srK5tDB7iCX6bqlRRzZ
85vAy56S8v12wyt7Q4e6Uz7VXjvW9lnmOARiKX53QKgHWcc2rsM1N/SP/vWnCartrErGrrXPjl+J
2LMhKeniPRMthmeGVYU6fpKnUUkqdaxoHqE8PAtMUn5Rop8O9myXB4Pf6QbqsPhZcZGQucbdvJyy
6hsIUQLubrwbVzbCnyKPT+MEbljMbVrm8dR8sX3UxnvTaRTkkPTexib4U/x55SjoOPjUYFNWX3bB
iPP1Ns5Z9tAkJTk1SWMcPV+iJi5RzPnLRxnzO26PEg9HcHgKKsxgmjnDH233UiMIFMFGZhGkYfx9
WRfyKAghYeeM2dFP6uGQUVmfk0ZKaKPyGu8SbznO3dLvGXOsF2nOYwDXvd8brIE22dDyD58a81m2
szwUg6gePT/Jn4Tl2sessdIQ/BLVrrFTY9dQY4zqxfPjnAxexNqUPFmcEOgRJCJ0J/xrMHLriABY
+5KWzbBbusmBSJa/RWq+8uTW1eVbDx6l0cONGqKi2okmYo94dasq2nzorBxWHcmpvFzW3ECYLSPd
EzAP56ZjG1vgTy+vbAGdvBZCZpy2PnZZaw0DygXB2AoUG5R4Xz0O0cmAdY1T7Tl3yPfS9s+qBd52
UdlH2edH22D8d2YWBF6S0S3njHrtnswZOwjS2CHxoEN826r4MH7/7aWtU/2NizUOQF+r2G7nJoJg
aLnLpjLftZbjHEEp33+Yte8fTJa+W0p0Gy/eNVumPcTy2gQ1Sy18XMvJr6nO3pzBfEct8sbTYWVZ
9doM0TZNrSaE7TL+wryPJH+7PVlr7WovMVFYF1b/Io+7rtqXfN5Rnm9cnis2Sa/HYPNskXKCwYD4
TdD0Y2jKemfmw8GVamNHrky6zrublp2remNUcTU/DcAMO8qOqt7c3zU3fy6VT0bVr+FsFdUlVAop
5dw+Kvn37YbXZkZ7B85JWjJm4owS1Z/thv6loIniQckRlmYD+r4SRvqDlPrU916mauo5boKsC/zq
0WhA0ld+AQY6bMv71HYcnQw6yQrpj8LOYqSbXt05+1/jTKci6Z/s/E7vTi9EaEaQCAGVlgOvYs+7
Qiz2zskGurF9VtZBLz6YiJ/VRlvJc+Y7fFd2iqCWb3Tea4/RbwsjcuMkrGxTvQ4hN7rJn40eN3+5
7Dx+FBYggtnGLl0bxGUHfFppdwQMkBO4qKAyswMol7/57vxRZBC1BaXzhk1dG8Hl458+AvE2GDcX
O9Zq9xC3BWSah4n/cvs4rNggHaJfg5w7d4ipYgV++gCSSn6AG9je8JHXun756qeuWxIks43Xqth3
l6ibD+NCo35L/W9t8rWTbBnuQkoPIfRm3rNl387RmO7KfGNp1yZGu1NgJzjH8xtL65YRnqXhZop7
bVK08B6Hv6hSC4H4Lv8w0/8lYO1Xw8aEr5geU7tS5r6zpmUqYPdR8wRfj2Q7yBHw84QoaOSrOjvy
cZij23vn2mUPbJGeMJnFDIYkiBnFCNxCNm/yhy8+zxHtd0w7yhrnAJ21dgcGZj9S7fTt9kevrcvl
oxfv7tOWkja0UEbPaeKxIT+7kv9NMmdjPNcW5tK0dprRLN6NyMzEVl//Ni0OCDECKc9uP9eH+zqv
HWWWgG9PZClCZX4FT9pgX2Z7ebvd9rWlv/T+MqpPE1ORhbTmDLTJaAxAl+TRWEB71BwnEY0XQIlH
nm9/aG2aLivz6UMoFLeBJyVtDJ89i1wXDrpA4iQkHCLBtz9xaUp3Iy9j0Y62YgtgM5BJw6M9e2dz
gqf9dOc0aefanxFCoGQBsUP19zLJAAXSnlGHfffIab0RsV2bIe2EN6rqwetlkhjQZBW5pOnCoSvl
SWVySwzimvG7zJB20JkBvjS/wSdSw2VHrxlAHmYnoj6SuprPft0hRnt7LVYGo+fzOniOJoh2HBTI
JuzbyHp+SJwuOQ8V3SqrWIFaUj2lR62yUWKuSZyNJj+ZJFfITzvDRwGmhIP0G6AvoQN8KlqHn6Yi
BWbP6Moft8e3MpN60i/J6qx3IQQdQ6T2n4IOYHKnIhAk/ZrVZAM1u3I29Xwf9FKs2WozEvuMuoe2
TuZd16o0GsYZz16Wth/EM9L/3R7QGiJfz/9xuM41+M6dWHkjfaWuas4LmflXj2TdGQyt8ztp3R+z
32axD23iKhA9g3aVKHz2ItJ63noMru0czVAAjsONfPFkTI0hMn0DVSZViCTP7WGuzalmIwqoZ7aS
DCQW9j+G0YfDUgQWynJ695e9GX5bueJ07iGRK7Po7QSiblX+7MvCOPHFCi3kaqnl7MpWHOAS/5jK
pLrDXcW51nN/udvNEkQjJPZglXZ55SXBkMgyyFFef+cnNNNRjqVX+nRYICV/zKuXIXle+Otda6Ln
/5aqp2xpjCkeenfHinE/tV1kqfpX51Y7CRzPhk1aObN6yJxQMN+JPjNRzHnO6jKYu+lgzlXUzt9v
D2Rl6+qRc9e0ZuxdbkIczHhFEWtUGuJHJ9yNvbtSGUv1yDkvlGOgGBCKL0NGI2Ra5qNdMpQVK7Aw
laZoQpOXBXQKLfsBiiWQrRAuzZ8oynbxpuwaaNznqXPfhtCpgcZ5dJYU9cAxK1QbdK7c2XltBVPd
3Hfn6uKFQOuWruGaRZyLIbQmsHg63b6z3G99WT2NRrf1UlpxG3SCIGVXgleoRIjpgFonULVFwC+m
0e0tsbbnNMdhHPrao0YCSji8v7oK2NGmO/ZYrtq6h3Ach19P9PoFas5RDL7EnSii3sP9kG+5JCvW
Us/kSvC+My+7FJ8g3EFzyKUP77h1d1PnBdkW0GPl1OgJW0cablXbECNDODgc7X2Sm4G9tUvXrjU9
FZJBk6tzJJieyMLbc+/VfhqmsjU4kryZHxv9nO19W7GdkVFxqBaHRr4Hgd1RMSPsF3rnM0HPnNi9
pCAhSc24br75oANsycFwyYZlW5vCy+775FybjpGneQ1vpCusIEdChjhvVG1kKlY2gZ4FmRDD4cqr
0POxWHa0cetw6ksvEBVtQyCBUOqCQPxd58XRi8LGGRSZAM7OscdQITt2mR1UF4UplYKHPp+3WBqu
n3lHLwjzM0TCapW4kCodwKTUO6CB9J0Nv21tNS4f/bQabZ4LlY0UVyUp4Kf9UC4Frf2dnrWe1ek8
Q6JSEc5F3ls7168OfW+dSuRobhusPwDlK68ondwI1ezNTJU7ximywP8b2x6JFqeFLxpyGx6odMb5
JwX1gth3C8n2qVd6TmQ5PI07SIQXgd23EAmnKqX7kST9uVFuviOGDZZNloDdHxE1ALhyo+pDb2yc
yJiGnoc57bpHiVdupFJRnyzm9sc5K9x9yRzykMp+/tVbS/Idur7LK6sa1FEh2hsPAl7OhXHmmCKN
GhDPmiLFugtVg1PPH1UlnGDGhB0XafjhUjYyC4uM9W/D4sudO/bW77ry8teuaZrzbNTN116pJZTT
kp5su5+8YLCH9sQFZbuhWrzHgeUA3bm+cSTMoCxwSyQQ6oaxsDezMRCG6PfjRHPUuaSFfagyozp0
dQqD0iZpc26Kyf61AFfAIyHGoj/k/jBsBJBXrho94eBNFdgGZ7XESw96YoCV3DAr7CJYijwPB9nd
EfvDdaNrVbYzaQkqd6e4c7M0BIXAHADi8vP27lsZg56BKNNe1rlC48UAs1z+nIEl4eroU3N3+wPX
Dz7V03l4oOUgHIen3E/Wu8en5rlJ2bRx8Nca18xwaqMcbbxU46oCKB8hwTEJAMpWdmat9Yu5+WRW
8pp0hYPgQ0zBvhMspvk9nabT7Wm5itnCquqZE9e0OfJuLUibM4bQTNb2yzMh5fKNOAlMF20WI6xk
6b0Im9GdC2zE0USW9tg6/pIFsmU0kIOC+5fl9iPCiXZQj231RRkQ4hyI8I4Dra1Hb4CmRsN8K8p8
6qBUKamMjblfuaX++MyfZmcG5b7bCrePRcfBG1S7H5yoh0VAB4ex5tzxdCupumLe9UQNQxDNnKBD
HZugEw1yXz0VvjeHiJltmOC1D2iBINQTjIacZvBE82GJCrD8hG2buD8Aw8bVfnvBr3/D0euVPaOx
OJ74yXnpJXydb8L0D76c73obOHrRct14WT7BeoIpKA0ykh6l+bBw98750Z6ihk874KiAoAUFi2N3
UTv9Er23MTErFkjPMPHaqut2GJNzaqlwoiBUok8DwtMWAND3TD3Vc0s+INz2Ao7FuHdAz6RUNCZf
R7PciOVfX1iqc1wxCAuKYR69s4ObkbYPhngyx7/u67lm3+oRgPDaQxSUNgNgIvYcuU6tQsthG51f
m/zLoD4d4oKgstLgNonN0QaSsDgDgIMsaH6k4+G+IVyM66cv8LJNuiWbYf/Hn6T5bjhnnII7F1aL
LRGVpQyGFLElVh+bAnXfTKidHM2tl+ra9Fj/7ryaZTp7goAtCmjpQ6ZIt8fbuNoDi5hAhYdlGx7/
2h7SDNA4Tzk8HnCLDdUPZv5FzfO8bLmvK3ZazzVJeFWIZsJLKbP0J2VWXDsW2PAQQ0RgJq3L3T3r
7OiQEhdPYpk1yxITCzzs0if8o2dudSjLCizWt79xSR7911N2dKXIZSS123R4GOFuOU7/5+w6muTk
tegvogpJgNAWOtITPR6PPRvqORFEElHi178zXtl8Q1M1215Ao3B1de8JM/DrjUWDeYBygkW7k6+s
V2vQG3OyUu0G3vffye8oyTPPJ+piW4S/GhzDIvCsIU/3RHTqPh3LISQgA4bJ5O6dQsi9O+it0/X9
lecsHawoIJtEIsWObMeOP3l+MkeKA/bad8o++fkUb4T2t234zpAuOXtjwRvAxVBltFAGDhQj36XZ
gha+v6qdpZUOFrSXwWdyvjg1ge5lBk2GVL7lO1vOjCuDtHTgVKYqodqJm1k938r+pzV2gW3uZLzl
t732/EV0ZPUUxwx99wvIyK/eWJZ3TVlYe1dr/0fWiK0TcGWcxCJEEpuoKdOohxVtAZp+ZbpobJR7
cSy6hU9de8UiUtadGiZj4Uvq+meWg/EFMHiabclHrY3TIkxWWV8ldl0i+1BZFI/8pZ6SQ1KxbA8z
qC3659onLGOkHKrKaX0etTwOJnI/QGux5lvp2co+WHp8zoWberh/iwiQ/QNx0kdhtigt7zcnnKX2
1ZB1TgpDez+qU0eFpE3pqS7hJ5Rw8ZhMHX8t0rQ8kzJvDrJWauOCsTJcSy0sy9Kkr6deRMWU39Fc
fYVb6b3dqefroXhlypdSWEPSAc5oyHwZvJ1fpI9W2Xyb8lwG7kZgWvv/by/+K2+o2q6oYHsCbTsP
+qq6T8SRtn0buv28pVex8g1LkZwKjnGiSJQfdc149qz69wClcsOBe6ymrdN35TOW8jjUtmw9O9Cg
rUqXHMsY7o5ZoaHgWiZbe3vtMxZ7W3A95zZN4whKg0FsSlCuYa6IymEPvvL12X4/h/iPIkCtGgMX
MeNHFXH21mzvbO8mnp+KsUZT8vP1d6yN1GJ/m6JrsoHiHWLu92Vln6ukeKgmf+M4X/uExR3Gh2Zk
DW0zcwFRyP5kQxvpULcy+9SVgwT5clYnq+Ty5fq3rCQqS4kAaftjq6pJRGmTf6I+CzOPAfvdQAB3
HESYD+7vvt5S3l75sqW2zKzzwoJDSXERQPJfuK9msGkss7dTnbdBMlLrGQgj8rHL8n+kBMo+h35D
nSOfrBjkiAm90yN9dhj7dH3s/iBT30tJFsfhzM3U9lWnL0mVk6iudHun5tF8B/rzjeA9/7QBMNjR
REwX5kBgFd5ykOPzZhaHVA7mJhlieKjlKt17SeNsXJRWzoelpV5ZeXD5Zb4GN3baMzpHZbcl+b6y
8L3F6RmrWNu17fiRO794yRhN/dcJRLjro7n28MWuGjyOx8PlCWbFzZkOcXbo0+Y59uiWG/VK9Fma
2EE2vXOkZUFqpvV2Wv/y5m438R/qoxF0CV9zB2uoU5azi0W9BxglXry3ygC1PkKE921niVTrkKa2
PvQxLmmftY81ZcmMWjatAsISBlJEUT4VPMn+lxUT28r4VrbsEsIGqgcIAN2YXeykeUYbSe7acjh2
Xf8VVrVx4LFmo4Cw9qLFKVog8xaZRgpuiVs99WGdgBMKDbhh9oIe/fLri2wl3C0xbRNXgHj2Ir8k
OBFkUAkdv6AlACMjRHVyMzbudBPbjH1DEuo8Xn/nysJemt4l3LbzNo7NBfzIqJD6kHZPie4+dhgt
kW2QwGGjFN0MNwBxGnV/Bs97B8fLjcNo7c8vtryVy8YdO+SyOON2sjmCN7wjzUYAXQlV7mLLj7IQ
MN70kCiL4bGS+s5T2UZS+a5EwNtmWZyitSZtPlIY7ZYMNFqZ3uEgvWOZdSQGNrW9eOrr9s4ioJHH
ynKO7bDVE10JM0t4W5UlLe24nNETrdkdNFL68zxwZ9dmjJ663ORbAuEr/Wt09v5NPJ2BzyQ3yEMg
CcWO8ZujcDta1Tktyi+xlOVdFzdTMIG6cfItkH9r5kO32vWc0MjJ8OD68l4b6SXejfp9XdUwOLto
29zUCsQHuDSjOneQUGv/WkMeJ6zw56J+ltkhpnl8Rhdny3hzZUMvgXBGtg1hI4J6M4J/rb8wsIvR
SYjG7vuQ3/fwM7v+lSv74D8QOKvux6GCf1/ZTVWQ5+gEtjomgcrKj4WJpaYFg+S2A4YaqrP6dbR/
QrIh4JYJP/b3F5k3+q550wE5H8nxmXsipMSFU1DxsZRjCWoDvFJ2RTL40RibB9aLs4sO7vU/vja/
ixDRo5wPITs+XWZJIa3f96mJ5NCA2yFx7YUDnP1KK2uMPDqrLXnelaNoKWjhlNAMmRPqRzPLg85+
zc0X0f222h88+3X9q1ZW0xLWxkdaeXYy8mhIxuyustowt7gMIR63leyshNYloM13s1R4AkVOu2Vf
YEId9marEbvSEHSWWDYbYYeWCivVthoNvSmtw5mpFsX+8ZfkPAmsDJdHH8p4O8f2iuOgW/KInvwc
ucoab3WrXnTv6XOnXBggidgG3G4C3hIe3/uyAUq3nTKx7wdpQ2hKmECUPPlYIf4/DHNKjMjmEUu1
dOcnS8cXJwdAgCTux+LEEvrGuJf0zYQqZTsksD9Mu71tQyrLldnGhvhj+/vOpWOJfeuagXMuS3Op
TWO9ln36E0In4yeIDPAAIN3hd21MefSkf0sdH/UIaPfcaEizh25ri2+V8i0IlML9Gp7e8iH2BX2N
oYsadCwebycvbv9Xe75zRtvSQntuTNFfZCygVfHDiet8PxdwmOvlAB18Y8gXOkD0hPfG/AaodThK
X4yPbps2e6BC5rM3uvKg9MTDRvTtCUrLFfycvO+JIvLoVjEEKETuS5CJoSdrRpq2EE/Aoylleg6A
tXpAEylKxfToTrX9ULZmDgwr8v/VY2Mk9Mz95hatJgIfskHoD87gIlSKgk6176n6MtnftE2CoYb7
oP59feOvbUv675E9SqPi0qrbC2sGleNrTRKxYW43ksG1xy+i5SSqTIzJ5EUTJtPT+oewrA/+80U+
xX3ZyjFN6MUCQ+oQzx7deW22BVRcMTD8jzSLF882sW2/vsCfZsehAZ0qsuubJznZu477QT6pM1Cl
EWRQIDFSjKd8+NQZA0DzHKIpezTGPmSNf0pdtTeAayWWPMp5utc46JQGSiHdABOsDPF/QINuQ3zP
TDyyKhgQGG8+W6r4WAqwBALCIBZcrpGZy1SBwgVZ+H54dpXeihzvN1CW8gk9xNryJk15hFQpux2c
BK66LoXyRVuOW5T4lYNtCQhM42H0qhgS11KepvmxIFHJvl/fOiun8lIVIRODm+dvj1bdEMbTd3sE
dKno4D74Won2Y5t/iaCD8UA/Um17EcmrO94XX9qRHKdiy7NxbfEstj+n3IUcUIWrYF3DM7WFd+Lc
v1wfn7VnL/b+2FZOjTzPXAhgG6n9v6bYWPFrA7/Y+QXaei1BWRXtWHtXZOVp8GpI13yyu3wH5taG
OtPKylnCu2ByhO5ohVsyEDOBT17G/He7Bcshf4r97xyaS2wXgi5sLH2IdUGwwYSN7bWnySITCTXc
C8Ejycde7Bw+Q7YXCDC6Y/DMOBWjbF5RcE0vLDvPeqZHBRjduYWf54NwKcD7A3srJ0Ew2Q6m2EpQ
RUjyxj1kDLK9gVd0sgFf24Gycj6J/DjRxv8W2+3XKZXV72zSZo9mFFyDWgl3Rh/6Pzg+/XvPUwSV
FQdeQwFc55uvwo3LEHIZRbcDi5Tqm2rMO7gs67nZDxZzn2TieDuKan1gBru46dw8u8DGAjoNbsX3
CrjM3zLh+f8gj1seuQuZttEzOc5tSY9St/qJE8udQhZDiUCoZMgeDUnQd+N1mc3B4CblZbSkd67t
1D0yiAA9TZ3pzjlAnFHhjfxgxanexbKszsVQVIcmc7OT3VISDmM/nEju9wHLJAww6xxGwYXTDce+
HJxj3Vu8grau70lcR6jow2mKu5u+LkUWTm4NlR5m1ZeE0e6zAb8pHPrRnyI7Bifdcg1/sYTw9/HU
m08SFfm9qEb/jlde/1RXaXlwEu7vFRsdSBag+FIFo26ch7wn3mfZ5u6tM2YwrsD/Pkl/ZM8xnacm
5KbzWGDB8OV7UeoZDjZz3cMZIL8F+kru26krocOcV4fOgTz22Lo8KsfYCRpEJz/oOlpdYsi27THb
1o2G4jXbw4k7v+Mxl7c6y+pfQ9GBN1u3M9SzSFoZtefcq0+F5iKiuqAPylcA1BegZYyQTemSPeGG
gdNuyhYem3EXWrjOv6iphbsvcewhgA2LXd9aVDBvX9QlDJ+BBxnDdMwteBZZ6UFVkC7DFaDZ6WHS
F+ab6UgaKFQRz22eYN3r/nAbA2BiHE9ZOHogroYlUuXnNjVxHajJZ4+N6HAfRYXBGiDvM09PszDd
fqpN4AE7sxuwSncNf7IcnLVMWM6PUQ3qU9EDCWwXgLbncfZZwtX5SNEOd89eOlZR7ac6TOa5D7uk
7E4AxrzMFHZ4Ox+ffR9b9gRvhNmz+1C1MXNvgNx1Dl0PgnnoSIi4f+xoXEIcHdTQTGajv5YzEL8g
KnMsGH12bfdjfj/OEoLYOfMQJ5AkuNBmwn0IV4OkbfcxsNEbB9dK1WmJPDSqoIOTWW7UJJBnA9Wx
jbKqcIOc8+nkx2m8UVdbOWWWMhElHF8VtMqgTVQMyXdJqVUGMN+jGxOx9vjFWZPZxFc6I/VFOZLu
tcirsxz6LTnJlUFaAvgg32dgLcLdqCRHr87CBCkQJegK2Rt/f+UQW+L3UsMq15WuE0mICKLQp8Rt
vnXtXnv22/H8V5t5blQxUV/GEbP58GBkE/+Cf6oNQ8fU3cjxV4otS7khENQhcZa34IoYQna59r92
TYKYBpSmJNZ9OyXHwus+llYs9YcEuChO74w+xIO+egmYagaKcmAOAY4e8KrbfygrWorKQPHcTWej
3nqAYo7qIZb7vtb9/64/fWXAlo6eDErHlWXjtk/deYJpbiqCPB2LXUXEtHewOWAo1JuAi7LdMPZa
W8Jvq+OvVcB4zbkL8lvUq+GmIloHgnQ/Jr87g0y4MWZr73jbnH+9YwBrLwYdGn2mYmq+uHQyIEHU
1tnlubuHSK21kfKt4daWFpc4Z1Gq7tzs4nI/PjJwtvct5ywEsTnDSBZT9ixyLi51XM3Hso6T/di2
06frc7cSapYOmBWZdDz5QxzRGhfxCSMZC/Sbrj98BUmztL6ksL0tWw3+B6TT6yBuZ0B57fanLeJw
9PFKZJv5RG/zLP51/YVv8/9OgrvETtZpNcSawdKIcb85EW86WQL5qJ2SLZXs999Alxdf1juDSH0w
WAmcT18n1aY4Z4CACIQet8w03r9q0OUF2NjKq3yf0Qi+9vzZtHy+ByWnjGBfloZx3XrHOEmLjQWw
9kFvy/+vZZ4CpAiHT5AjNfslmyFMXVB6/G53fULe30QgcP/79Bb4Lyi9VgxSmawMUq9zjkXmqyCx
zdcJEqIffM1ir3YsIxAaHUjkTewsIJ2CThi0/we5x+1yy0Pl/a2C6tu/35IJaCrXFRBa0KGK+ix7
EOW4QQdYGyb676N5naPTbywcOVn1lFjmJMgEeEHzOQV7bGMzrk304mb8ZobFkzZvLr1NdhAfZCgf
pN9pzL5cn+q15y+SltQpWoCiPRFVQ92fykybG97ApQk8tunh+itWZmB5OzbMs1IvJnYEEXkZmmr6
AVXhjYN45e8v78ZjzGMCw0OYMYmu2PdeVjzX6u1Gi7vpxt9fe8Uid1FJgfaQ6uwIwlNpNA6KhfiO
Qwwh6o05Xokcy2wCt29LwtnajgRLvsUjvCLTuP+JS+C+queXDMKP1ydi7Uvefv8raHTYZl3F2u6i
hPPQ6tYJCtZERT9uIYVX2ql0eRexpawpT4wXeXJEDoZKvkb4sELfwHfW84J2BkM4HqN5Km4Bvt7I
K1bOYgAE/v2w2ZMZXNUljTAp9wru4c9aZxYomqx8TsBeC3rLFr+41NNL55FIoem3MaRra3sRAlou
SCYpU5fOGnYp/6b11sZfe/Ji40MuPo2t0VEwXAeoLcvyz77eavS8n/rRP+P410KwXe1QP+vbSzu3
N9rk+0levGaIOrvY2+aJ1c/XF9zKwl7eWYwrrUS5GY2SrswO+TB+Tt+KMglvfzd5eQ99qY1pWInE
y7vLXMezBm/zTYcnCWX5MsA1thGw3hw+1nujS/6R4/sC4ovQKZvlqBHEsuI8TLHa2fPcfQiuQpcJ
OR5stWwGeTu38v6OlMCXSkiV7aom+3F9PlYCwFLfLk1MpjLctSO/exM3Vns7ceGvsnUBXnv821L+
a1khu477Rqjm0uRN6IEg2oxv1p726WP/frHLuYeriC5cL7L9YQ/TQvTeEvMF6hxb7cmVbbHMqtU4
zdD+lS4yOP7YxNUZXGgdThXdF+lUByiG3mhqb8z22pJd7G/UV/2KV9q+mKlzdjaN06Cgag6rsdsn
/sda6TBd+HdKZgtqUqXvoQwp5PPYxDdSJB/CPJIlFamxah8OJqy+ePC9CmtHX6hdIVuU7haq+/0Q
SJZEpDKpLaeZvPkCycqzy6ZjF5PDR9YSWbKO4jlVnWMQt9vOhQH3zgUwxpl/Xn/4+2GPLAkzI5Cz
td3YIB2PZNhVRfw1ZfITk6wOajSKA3jNfKiiRZbm8XYBfV8c5KBqFeXZiceD5P3T9Y94fzOTJV1m
lKVUrezsiz3SkHGkzh46M8frD18bocVWrju4PUgOoYMJFrIkefVHdUz9J9+D90BLNtLztZcszmbQ
oymdepdFfuo8DGj3Tp0sAtDlhl2Dgy4pyBZp5v29TJY28u1U+GQuVBzlfETtHP2x0oWs+9x4KAvl
+kMiAmRJnhlmZbdkxoZzIFVFYAyEsjj6G0GZf4zjQJYcGlib+pVLBxZZ7sjRhqbtzu1Q3UjzvDsK
k+YfiuRkyZoZRDV0MBOGMLfwX91SPdeWdcszshFaV+LGkjXD7RYi1YOrwLtE8wRmD9zduG6sPflt
Afx1wlUtMDJNbwECoVl1SZyR7BR0+Tee/idN/m8hBEKh/z4ezLp21FzXENOBgIPLs4PjFz5aISV8
P1XZ4WKQGPUgWZbv0SyLQ9+Fl13Wl0AzA8ufQxsaurJ5o/fXt+nKul6aPpeFI5jvdPWllCYpg3bw
29vJL/uIZAO7lIBDbtyA1l60iAeSpDRDcQGVgMQud0C5jj9qTvo9Lu/prZc71Ubcef+Eh2zKvwNM
6nIGdqrCBzEbZgt9kOsqpFB34dYFvgx3Ne4o14dubaUsjndnxoE55qX9Rsi2JD3B5vyDk7I40kVf
JBMWAxIH295NLRTQ+ABZvCf4ueyu//eV0L9UEUIKVDDHThVWuQS3pbWTet8IwtCLSfRGCFiZiSV8
2q+qZHRGNGcb92dXQWISMHYFhYueAXtr37T+FsPtzyXwnU21BFM7OVMJGwyk2eM5g4sGHEoTtK9/
+Zm/T7KGXdBY9YLKa5pHxpz0Ifb88VhSX5/iys5PcqbDxriurImlOMU8kGxKi7i9NDy/xH18wes3
FsXKcC6VKQi6v+Bkv6Uctvs10fTbYHMN0Tr1FT7JOzaURVAa+2OZ35I1XTDXA/KtYJF0TASMax1a
fXybWM3j9fW39jFv6/KvKKtT4Pm8rCRRPyV20OUKje2m/9G5aX8sRv+hMkeZfb7+rpXIs2QOOrTW
3TgVNOqys+fAoCH+yXMN5ZctdcO1zbQIbdkAnbn+rbjTSP4oxvZLOk4XUg9ueP0D1p6/CGk+ythQ
TahNxOvq2FYlTosv1hR/cKoXYYxot2sneBReYHV9tkiFytoIiUmwTsbD9f+/tikW4SxL4jxvs3aO
PH++c3J5quSWzN/K3C75gaonw+BKHzgu6V7kJGGx3Jyb9CsI/tf/+9oL3hbwXws19XuUGd2+u2in
PdWx9AKQ587JlH4bynZLV2Uljf2PqbCgANokM/wiuQtT+xdijeBl9UGcfp/9amMVrczCUqDAlXNZ
FgqrNM/tL4YOT7i6b2Q177eTgMn4d5A460t4rFI78pvmBTYHn4DJcqHoWd9hF4RpQy5tD008e4Y7
7vVpWSGXkKWHcVyYQUD5iUaWUWfwRaI4A7B7UNB1ecqsIqylfW8KeoD9OWoI2W5Ofl5/89owLjb7
VFoKeRnDMPb0Ad3TTyxmu+uPXkGuk/8QGBMgsnzIu12cuMmOPh37CMLWOt/3Spc3hZryMphLAYM+
p/OLNixY3j4RPZsz0S2HXNRcC1xM4J5xYK4zJ6Hxa6cCwFT9mKBxVeJamromyF3SPpSqgXjwJGFF
eWyGWYYVFKk3OqcrActbhJSsn1zSA8QdQZz7E1xZoFdRDMFQwH7o+kitvWARUSrbhffhhOPDBqsV
liBl+wLwRH2TWlb6cP0VKxt/yZakXmqVHcc8pxgbv72jkwq18zjnG3vmT2/kvaRlEVlGjWgC7LmO
prqJd1aTsQMEJfoHVO+zU1uRemdX8fClsCyeQwmvyYELFO3BjWl60rkrdgM35ScCM70d7ICAmWPF
jAsjyLxpDXkzr3HJ148NxVvY+isGUuECiiV1d4Hs6B2W1CdboBxhRDTT+mNHxB82wV+vAAlBl54H
lvKcdHBH42kIztbW+bmyZZesSt9CDc4HtA7CL/QWNa07SDqerg/N2qPffv/rfwuhq5J26A+WqVav
dPSaO86Vt0X1WVuEi2CTZ+hqSAMzvyKJI1nUR5iAXrxJnyD+uZGJrZw97iK5oDovfSgNTZdkvi35
gdHyWPWfaC0A7fsYvIwsOYdQ25wlWpz9RScOYGWQ03+gdk735eiOGxFhZSKWZEMI5SqYAqQwjaHx
cOpKTWGQqsRGEW4l3iw5hCy1PZ9bHsx0+2PNk5ANyZ5lWySytae/zf5fi0inRToz6srL6JukCKSJ
u102SHqXjWWzUVlameYlQbCVzCkgPgd7lxoW3JapzRfoMTdDoHyR72NZyDRQfBibjWxj5X1LfEHd
JEVty7K/1P3wueD0tc6FCuUsXmPSPYCd/+P6Bvwj6PxOGF3i7ueestR4Fo2gcPGpKTwF9mNThC6L
p8BzY70bujjZsVzdwZTbDTzuHiUxRxxQCpIb7o5a2j6aLIWhDh+7MGv5obHhE952LADZawxLWg2H
opXWSaA9DNn9ZNgBxaD26UBRVX4jQHQyZy8WfCMgXCW2Wsbv73227Htrt86Y4xod6co8MmHDIWIE
XhLS7Ob79bF7f92BgPXvuqPgzE/V6CB3mmfkM2hzHf3ZIntVo0Fy/RVvh9l/Z4ct+94G7jIem5Pp
AnLVb1K7Ep5FSkfwI3NLVMrdaadp0fYBXPrM/vor177q7fe/dlOfJBNpaN0hieLWHjIX3zLSTqHs
qw9dCWB2/O8LlDRIozx8hQdBoocZpsD3DZDauzxl476BFs5Gz/v9kMaWLW8ktBjihOkohkjb5Fp7
HLsfnJZF0K+KYkiJbiCbQB9998lqVNAik+0A+PYfkn7cmIq1L1jkgSOBLTLkW7ILlG4uXeN+dizy
oYOXLfvbs5dPWeZSHZmpv/FqpGlZvXEivn+bYfZifvu+UHLwOYs6V9M5jDN4c1pQUYJ2LEuPounY
3uoBxoZiS/WbjNZWDrT23sVhL8uMQOO9QSsdjiVTXzVBRZu96ASsSsrpYun+m50LyNMqe0tv7P0o
zZbt0FxlmHODDpBbQa+1ntAim2NpBzmd8FLoMh7aEqXH6xtzZTUsQYdMw+BaYmSjvkjvpwTQl0Rs
XDj+hKx34syyCTroyilSig8Bo56n+2LYD8/JPt05u3IMkp9+FjR39YO+Q0/ofv7QDYEuu6OzjsvZ
jnV7sQ07Z4aTW2j36L1Ip2aX0NY6fmTY6LJFSmEs1rWNW19ynDpnndbVsyUh0XP96e+fMnTZJYXQ
kT1ZUP5EQ9z7lpt8OKFKfx6b3BxGsinC8H5Mpst2qdLWXAwlpofwY53cq/RBWZ+vf8D7qwoUkn+j
MQObsoPnDi4kQr7AIPIJF7fd9Uev/etFlOQowvsi5SQyXgLWySxODkxcA3coNrpY728/umwqIruL
e9eABW+5eQCd+DGD53X8CrfYgHlbecTaAC3uytLmMezoAYxNZvmYd9V5zKYtHPHKs5fdRDbNfMg1
3Btoa4K2/GWDyvqhsV/2DyXVaaJGKJT2WalvRtrBskwRfhYJJRvn6/vxli57iNCkFh1UVkTU9gXb
NeOAvv1sZgduyarYQyMlr0KV/w/QzMOsWPFy/cNW5txfJPtDlbSptME8HannhtTIz7lAvtk39Z0c
y891xbYcR9fetEiEUk8M+Uhg5tD6z9r7DROAncI6c9X/su5jGmZ02T6cXT/OZp75CB/DeJi1mwVZ
ktUHGJdtIQ7dP+io/wZ3qLz9u8VBHJVcu2iHcSuRB1H1XtSTWv3iAppWN3OdZXe0bZ0xKFOYCB09
OD+fOgIAV8jh75EFvFRzGTAU1nA2dCoCC1iHPnEdPIu3+xoYo292QYGXAnF6B4rg7IQMJDdUymo3
PscKhFsYmsmwFna/G+eY/XJKW5yhZ4xqmk0y/465oKERv0x2dj8kB9p79CZLYQljCj899GYYgrrU
/EV0uf+ZEAOBVW/K3CfFVX7QQjQeCGPK3FpTmdxQ3rM08L0KKIa8jo8eh6Nl0qf1dxjYQ766QBCC
Vhj6ABCxOKDJVRwoOH1PgHmWR50NM0CZlgLECA8PaGr4qSGEPwufJ7c9H+xH+DtMtz2E4KOWSLMr
RFGG4OKhQtuDqlyoPj5ZCa9OviQTMPq+FYjWnX8jN/GO7gDxrhZmxcFs9e5ngEjMxbI9+4hEAoDQ
nI47bd6aCCXHhztTdWP1dbLXYO88DZDJRouZ+J+oleQIed3MoW/v0oNWdnn2oJazF5nr7mtPwTyd
OBLSgqI6SNebj7pQ7YuaHXbM9ZQ/tx4QKzD9Bo1Sin4I4f0NVeHaZ98hITTt2NQ2T8qFAqxJa3CD
e/fSuSPdj2KUZw1Z1X09zt4RqqrtrlEm2RcZbe9A5yCPkPfn31nSZ/dDrzhuKfV09qqy2MV2Mlx4
bvSt0CQ5mIbPeBSnAfedH63dwWzeZR7otXaAq/aAu4DkoZOROXBE+mCVFj3rxLIOALn9TPrWPbtt
ZT8Rp/uM63d/8lAS+RHHoqtCUavxG6VmDCdoM6EkoLCGA5m4wIaDD/q7NXUTVkabMxA83c6HyeZu
MgN/yN1hfCp7X9+1fSn2fqPnb5VL6mel6u4O0gvJzZiZ38bRbYDyY37POx5jAHR62/Hu2VNNFg0z
HTEhdXnRsMS6S4mnDtYomoDp+gvouemdUBhhIpvyHOOJ57hxhmNdlG4ZNmMnd43vabiGT1NkWGYf
Ca42OzonMBqovezgwag8qJtuhsVX3R4bOrPvFNzRmzaroYfZm/KH1bHiLIwekSKm7ZEh299nxI6P
UAYo7xX2jxfW1tzctG5RhT5j+MhSxSFWdLMTCnJgcUvpbgKcApBU0NGEBBBodhKBOiuZIEtbpieY
8/lhhZASwJn5on343Gmhm1BOutqx1ktL6EwK/6vXeMVjoZR+BPs+3TVySHau9tQJ1kH2AJc3MYV1
08NfqMCF4IDXcUCFrQwCTPaQBYlfzI+tz+wHcHrjsPTrJtJtb44l9P4uKst/xawCXNPN413C2nIX
My87eURQH/yVDn5bLQer24Vy452oqrwMY3hJfy3tzA1Syh0ZkjIGnrwehX/Sjaxeic1JBi8l2Tzo
uWTVrhsohL2rRJJ7X6P8CcxH8uoR64suS5Q7aNzirpEihOwrLcWhVKa7mRWUcQCHdAOrNOq2aeLh
gIatCb0KJYhKQX8u6Gg9P8wpVmFawO/YVol/mSDxshcibXeiceeAoQ1wR/qxv9Nglh+Af61vU1Kw
Sw9eyBes6vxLzGz2jLUzffKGeEI8hT8aAHuTgTWzXcxuYEDkPcqWWmglgG7uUfAhAZ1GZSYemhsw
kpm1A1UqDgEGnzj0fw3cnRqf8QBsdw+B1KTFiUyWCLQesDdLmtLPbZHNoZUmYm8Vs37tphaCISlO
AysTMXAK8LRO95nb41TTMZRG+zKjp6IRVeCBdhb2fTudBGPsfm5Vv9MFL+8yrylOZvw/Z1eyJCeu
Rb+ICAlJgLZAzjVX2VX2hvDIIAaBEAK+/p18K0eG0xnRu267OzMR0tUdziBWaHlKusSRz5v9vFge
E1aRR9fW7KkpvC4d1tVucYKxTTucBQ064bYibtw55OJlXGcGZhkT7DkOjEBjsg5ykzKi1vtal5C3
Kyu6rWQbPfjEyZe5mafHYu3tVkKRKC7gkfqo4OUcB4Of/zALG7cdHNofckScRPOVpVUA41fVhbAf
kiQ7OkbWKi5JtmzLHHg9JSVyIKRfdZ9k0HR8kvM4vrRqqF/JqETagVy+6atO3QNo3LxBFy+LmzXX
b6pS4Mk77J4DWmFkq5xPtpoNT5GRZVpysh7YwslXFtJgn1XhkEIiSIIPX7RxJLiNIQe+3EfFIps4
KJ3alDBW3qGr0j+3NIenc71270JOzaZmKtyt3hTtpiWa8a+FiQu68EO3lOatYwpXl+6yl6lelu/F
bMudyDGaZ+Ow7Oq5r3BOCCxWieB76/XBoYj88jGDks6drXVz4gjeXxj13Fs96p9gvNNDxQLzEyiC
vsYQyET31szzA5ee+TZxXcLoC2SmDGpZW+gxLHfTsqoCSzwzaCy5Hpe5gsQSAjh20UY1/YD+InD/
KaeB9zEoV73CPKj4Bk1Ola4IC49+PlZfRhNgBOzDQ9Qnq4+VJOaT0P6YJV4gszSkGhdLVg13o+/Y
N7uu2RhD9EgmvCu8Q72ck7ERhkqvIxFTAtnkCo652t/NOYPpee6vD5nu9C9iKxkrEYXv0bRWqZon
s21JUX7kpirvCgElG8Tt9Q6hl6UkW8VLUy/tXY8Qt8dwSv5mC/H7tOtH/xhOSLraCrZa1Ix5WrWk
3leTqj6m1hNb0nb1oWvotLd29k+U6iKd2crpvoEmbFp6xXCsCtPKGNqwAArlQ94gnHfRQSx1Fnti
sD+Abc/wlFX7tEj33yQw/UvrNgOi72KkgSxM6RdHV7Eu9Xsw7WFwr2/0q67U2ZeAq2G1fSDAJTni
HB5FjdlBhntp6LpN5AnvRjH/926rf4k+wgg04P0EHhOxA8iCo3+nG+8ur+xWNMXB46NAY4LdqNCu
PdG57Pijzwq5jwhB9GyuN7K7UbWHMFfwRVL9IfOaG1OLK/XlJQwpHzoZllaDmOUtOs5HsS/0LU2n
a599UR5BVL8Ny6Uix77r32EDhRCiIUj27yrv2oef//yPxYk64jeR7UFJDIo2XbRYjlbbZvefPv0S
48gpYJtddWZTDt5Xtfg/Jv+WuveVnkd00bINHFUOUxR6hJhGEQ+8OWitHkhl/uMbvajl4IrahYFr
seoCLkXLPLsYwgFf/r0uV358eNGw6aelU3WD9A+pcLvlFW33i7+I9wmjnRtj+ytFdXixPs0QBAzd
GhwxDzIsAubgq+OwKlq/dFH7sur1178f5drpuujahA2FGp0PCUYUUxAXgQqJgHKoHePWke1/+opL
7BTTJORBPdFjeIY20B8YmkLpFjDQWzDWK4fgUk8dQF/8aMPWI9FIkYy9Myq80Tm78qYvEVONm8q1
a3oKVsS7h9vIDM9mvTXgufKOL5FSfQlCfANDlGMogMLOVlxTlTeoNNNqB2UjE+sRHZt/v4Rr33V+
wD8CxdJg8CpGNKFyl7WnXkQ7yxtI17VtbDlhsa2i4b/dDpeQKUkMujUSCOx25jINmhJYMz/QMSpn
Ebs1bze+cx3S3fA/sr8vtd6RPbVcwscZV70HYfmZTTFcAN8XAGPj0Fc3+vBX+niXqCmVkXIyLQAS
a/5i4ePsDIDf60cDOPsM55TBfqHTjZbhtbd1cfqZRTanaa1Pvf7N5s/j+CSajcO7Km9JDFzb2Bfn
XsBnNHTGa04r6Q8t779L6GV3NriFnLpyJi9hTUuY5RWB2NhxFdDjIr3/bh3Egv/TZr5UgBdt14OM
j0ZdhRwz9sNuFzJ7qGi5Gfn8CYoPN4LwlUW6VH1vPWixoRoAzdeuvzrfey3H+Wxbdus5ri3SOSj/
cSj9ee6bwPngKoD8dmjQs30YJzQi/r1KV0L7JRxpUC3gjMgQjovfQdkDZIjqg7lyAypc+u9vuLY+
5+f64/frVnoAyJHouMhoJ5voZ1Y1BYwdghsT0mvrc3GJS9ZXQkSuO6HsPLozscvqw79/+pUTdglH
MlT51K5QEuhzSMj1v8v8d03ydC0w17mRJVzJki95CSim0Ebw1wgF5Wg3paTjU8QydWqn5RFKvluQ
sdeNl+Xhjbdx7X1fHGkz9xGzKFSPrYDFr/sN2lJKym/jf5R18i/hVTpoPQdxRbxui74BWhRa/xLd
t3+/kCu//hJYxXyP+yXkVlBT9Huhmk9ot9SJN/WP6Kjwzb+/5MqGusRXwYZER27iMCnxzYM3r59q
SOLfuGGvHIZLCXZ0ocbIiDw6wp/tc+6RF+fBHj28gaS4sl8vcVVSREZHUw0SUMWTuh3g2+SPEWpV
cugG3se0mm4N2669iYtTHcE/bQGYaT3Jfi+1t+HN9xIesWj/3dio11bq4ljnKid92fPq1GNwIcOv
/vxQhd2NV3zt11/k5q3iJVpTQLBA9OBz14LaTdGMbia0bmShb0Xua49wcUF7pJ99MJiWU6XtsPH9
8rlbhI8W4i2+3LWdenGYG+D0TSM1hYRxd4A/5k+vim6AGK6s0KXqOlpzttXg8hxnwe840x9L2d01
hL5irPb73+fsym69lF3vymkl3ewPJw5dYhNgsqm1eG1U+Gpy+F3NbXULuXplnS5F2NFnBn81BP7P
LhqTg0F8+H57o4b8P3rsLwNBdl7BP+63ofLrjtUdPrziS1LPKwRfOz5ulkLuw246DI7sQq/7DGm1
rz5tH8OCfXFSPY0rfw7K9nms6Kuk5PXfi/r/uuBvP+e8Gf/4OWQgCol1KeBeENl9EIL7kM2V24nA
cw9R2+dgIuh8l/FOnzwOQH7tM/9AQFn7Botw+cKm2SYWOkyvHIKTcevV5pPjPab0toXceLt0/JX3
QLaMdpkTRZx+5P7k3wG/+RMsPndUQefbWArZPMJzPrhz7YIZnQZl1Mvb+nmlyxx3FuKXZlj9XQ0l
0C1W0IEvYbP7DNXMCX0Qeg/WlztUqHJiv9F0S1fLygTI7D7xGAY+cP5tjmj71V9qHZq09Ve6L2YK
5DmnK3yicBvomkanymsySOQCRbZm+AsV8SiRBpFxlTp/ULMs3jNHw/0UzN0W9K8ybTnCcuXG6cHK
MLgRza7twPOf//FWtJ6lZhIN7cBvHhnTB85vqUxeiTLsMlDWMqMuAJxFmp3H7yAlwecbxcz/zej/
tpku4qTrIWVYczCb7ZHv9B2E+SE4KO7CfZPkm3bvP6pD9sjLeHhAqXbfPNob0efaM11ETugASyAd
oA6r4dOrN41rpgYoWNjU+Spyt3g7117KRfgsGo0IlBXQ2V+X71BL/ah1cUu/5Upe55/rwz9eOAZT
gVTw5T0OsJq5KyruxZnjCwQVoXaI5jVJGKTa07xexrd/n/y/qhKFMrpsoejIYwSSG+VRF0oeS6N8
jG/mPNwUujRHr8Q/+VUTlJiLZ+ZnALo30AhrFdxIlv92Y5y//rwSfzyxLhqh0TTP0Uw7SYyJuT7M
CpYAok7+/YB/2xTnLzjfI398QeRM76wM8iOO6g5E5CrVZfiJL9OtSuVvF9L5Cy4iuXSKC+d71TFU
TsCLQdjP4yrKgwCPz8TVAimEmdfVeiMX/Nv2O3/dRaTOMF7Lon7Kjx6GZsKHyEJ0qya99iQX4SYL
6AQB+LA81rx0j3mDeRAaKVvVSgIlmzmp1s7f/re3chF+ZoCC/anzyiMc6BJtvvi1OKwQl/n3p/+V
WndepIsIZEfp/GLFpl6jaDOu66ex9QDwCYN7TarfhGIwVyFZUIX7as5C35BMgEJFNnz8+/v/TxG4
jIDn77+IRBk0hngxzPJoOAAw+pXBpW7gdu/xn5j5x4pCx6X7FrlihYdpeZxIu6sx315b+kAak/qM
PVkxwb0cDoYl2UKT9L4agGNYm1dq95NcP8LSv9EQurahLuJZrbzWKEFLqKENv4tSJpBp/v7vdbhy
uC87NbTglY5oDR9g0FtpKZEKmrQZg/de31JSvbJnL/s1UVeFPe3xpkOv3ir1WUf20Is9yZ5gonNj
O11ZoctejfHqbspHXh7pmp3QYDyU+pbf4195/9gpl6yx813i0yHCEg1+ArxU6iKEqcZPNf2SMQX3
mbczjbYFqgMQrI3H7SmAIcx/ez8XsWQhdRSNS6WOCtN3EPZWaCsGrtnqfO7ARm1vCZteW8CLwNIv
GcEZNTnUgd1TJ+1xKtr5xsu5Et8vSw7pFSMfJFPHcD2P0INgSSp8YWxCTG//vUzXvuLijsp7MxSt
qOqjaXwNj7f5ez4NP1hkdv/+fOr/fxr4l4Bx6TEY0qFTRqzs2C602BJrlscxyvW+JTAejHtToS2C
+XvzQ0emH/aI+9PBwtHlsy8HCJFLjwHmNZqRfRah1+47rr1PzB8KAOq8MJ79yH8UHgWakFXZ57xd
4eoBH01xZ3JfHYY2yE4WA/PPQtQrOgtDF91BwL7I4oE69T4XPRQ9vQImHUPOaH0KSas3XOrCJAKm
YcBkWC1TA2ucLoF9AklqBR3QVgV1EZPAr59bZNtbYAZYMnqi3Q/oEcc9nfJ9RpoI8rbVsIXMXgkd
37pYQGpaRL6dWjbu28AjYPTbeg8iCU9zAdsWOO+gABmWgSWdWepjq7l49Wfd7jDww+B/ydBGcoz/
mAM/POnGeu/+ArWr3UhH/WNcuLcHSLL/gbY0PlFrMKZMDzkzwqGjNgo4ivu8imBlAGHAlAK/9Eiz
IHRJ33YhCMtVWcA6zs8A1RPzUMZNSfhr13t9HJk5jy1AKukCAXekM2UBgJHIkhrrpRLYutqfDmC6
bza3YwO3KFq+eXWvgSxbfrl1gCcP8Y14sc64DQDzGpYHEHDehhYzHHXWHhFSLt/NUE5xCcmxLPU1
GX9kcz69y2pevkZVQV/bhqoXLrp2m9E8/JidHes0JJUCVgWy+9rV84+gPDduKWCo4GIsrn+UfQ9w
aF4TtyFqnCFuY1UL62AnH1fVS7SFSi8hFjoUyToTeBxm0LdM4NdHPJCiA0BOu5yg01kHnwQzwAex
pT6gZnPfkIlHd7B8Wj6DQdlv4A42/fLKQgIgGUxwL1M2reHW9onBeAYSXsJF0AyQ7vMYyuCE98Jf
amaB3MtmecZrAcSZeLNpQ3DJKnakg8oPWHuxg0CgfOkNUMLzMq4uBpmiAfg1aH+sM/OeQEHxvtfE
yidPjg0eFYpIXzkHVdRk3JoY9o2UxgpOvik0Zctv8PIbRJzriH+HAtfotnI09H4BAhk+GnUlQ+BI
ZqDv8qhiYldCiSoBpWGx8eCX08GJNnoZMyfwP5/1r9pRv8lssg/LiElZ2uRc7zhfSgDfwE0pQgBr
chJUXTJGMNXEODnDZ0I1dgMfx/JONf7w2gD7epereniqAhkYnLlA0Y2EpTgapsYz740a7W/gS0gZ
z1ZXKajV0R33fLHxaV/XcQsRyC1KCmhwhDh0Ze5g8dTSL8DTt4+A3U57X7TuA64k5lTV3D7BUaXf
KtiJPBn0+mGEjjtipn0et9GabXsp5qPSLLj3J4k5Y89pIiZgR2dr7INGj+YA1OEcY9bksQNwvXRD
/Vp/75BwoXvQTS9T2AJ14TVNTFU1wVtDRF+Qs3XbcuHmAdh5i4Qo6hJui1SOUxoxBDoLuzIKUxPY
dlgwWZUu1Y6PzI5JYeZJpmxy8l4PdZbiJ2Nsjt5TDyInEGmV2taSya039E1q2VrdS4DM2sQ4ZgE1
RTeSVEC8Th1ZcA7nIYOryuCmeCwn127as+AzeovBIVIQSrK66H6TpuHvJtfrPupE7WIzzf4G9eeY
BAbYsLiAU80nEwUNcJYwkYnDEgZuvurXA0Q6mztfTj68YnpoI0jXp6IOiwNqIZcGYuTvc42RNnVF
mJSQWOVQuK/W1OV1tO1Hrz1GobN3jC/kbRGVt3eKBOhpuBb4cGQRcMYp1C4CxG7HA6rAB1WGxAEB
ichp+EnoQc9bZj3/8+rp8AkGB/wbHwBl3AKXquAcLyfzZa5o8AzkbfXk9abdzdGUvY+6WN4zbwmT
wVWAdgUG0ZPBEWd1YO1PvFb7yC75dsyJ3oAmGz7psCu2nCzlR4Bjfz+NWZgawMHvVox3jpC3A/Qs
4P5jETY1Lo9iBG6py9OxCaCv1Hvhg6+nZYgl8K/PI+H5fgzH6CEqIRxULutw8FpepasLP8Z+Cr6N
qPdcPA2om9CT9dRzZJ0/JxnAwmkA59YgxaOBHmFcd6gmvjyvXQgEnWYW3FluN2OblakXiekzhJ+a
lz5vymfPzHK3SrDsEoDQSTyPCu9jalr/oTdl9qJVM/xomhAyHT0vzb4Ol/572xfe/eSG/OA3qJgD
5uCzsvrtsAc0P4QEiyb5qeRh9xB2nfjK/UqcKJbve5Or8uhNDjuJzR7ilKAHaOo2UEElzTaoMWcH
/znv4rHKaKLMMCbYQt0WOXD2c16nge+RXNlnA+PBuwyJ9re885t9Dfce1PCmpL9ANGjeplrkDwE3
/eOSe+wrunv23YtK9WayTujNbIHDSmhg6UaMbQfBw46Rz2EZ9rBNgod9763yvc6mAZg3UjiXln1Y
AQfP5A6QcXWficJtZ5eLg5pKf0M8TxxgpFTshN+PX+fa41vEyBntbaQIIq+LpOqgCtT3g05bklcb
XN39d4srMgUoH1ZPyObmeDBdsZt9KNgwOKXf9xxdU6+i/c9Irt52xKh8t45yjkfAQdIJeMQvISUF
wMMq/FTA7jWdp0yn60LKB7TTq9SD3xb6hu49D2b7fWQ9Saawnn7SaYUDX2EE7BtZQz7c0Jt7bhGH
KKwoPAhST1mVtKqs8iSj2nzt/Jbt58Jv0CHs6Aq1YqBXAQJtk2bwurtx9eWjayKCgzD08LTroWYL
SC4QzQNcsePGruSZRwGAh6wZN6pQ1W8WWHFqpnp6GMKyf6gXj4EgQOFbhQlB4Q5KK1CR5RxFy0NT
Grg3iJJ/8+YAYFXB1JaUXGyGcQgP+cLrNy7yaa94tiD7CqbiCfJ7QxcbcCQ2ZV75KaGzV0HkkksY
siLfkrFhIRZLMIgekUwCHV9m1XMZrAqGKEBudYnrQ3nfazW/usBH5GUURpXD6O1RoKD2Oov1pIbT
gSY5Lf01HYXTHxNXYFYoE0JSs516+diOQF4KMfQ2EfDOA46zK8lX20j7KaMzTSY5dI+kmHmXaiP+
D3UvlN5EGW121WiaLrZNRVC9+6ttAF2HiZaIGm+veZF4Fq3HOvPTlbIqAUkQpufa9TuCB6qTaSpF
m45t3c3AhS/iuzdAAKNbS/6sNdwY46UdFbxZKr97KqOy3EwkEM95H8hvcy/rXzOagGmBe6+Acjhd
tyuSng9r5JIDXVPqdxkSjlCrBgrhGNXAowAGD+KxjXww4QUp3UdbuejVEgLsPBXsJYe1FUvzwIDj
kU8FRBvX4LGOwugeJpYOGLzKTI+4qCiSJxeSB5hryXHj+mrCcgxyK3s1PQGrr39xexa5VVTTX4B/
Bw9LNnWAyhhwjZgPATG8F6aqJHIu/zxxRnZ6pfrI1lG9S4LWZv5/GC24OYjDqjhGENo5y2lBihCp
sQ8pD8xc9oY76IiHGeJD2uWUPnrMwO5H1rCX67wIuHTuoZD1uW+ghVIIn+AOYd6uGyqydW5sxlgF
YtmUQ8Q/QVAVCbY9wnGU7HHDyY9oxPbARaz41laN/Vr3wZwQGrLdMIEyMfv98CMvctJuxkgVqdUZ
iM7TuH4vV3jqYFjgOlz72pNv4MuES8yVa7+UnhecwbeTfz8oUd+PYqk+1W2wbApB/Zc1Z/VRgSht
07WagqS2jIp4rYr5l8j66oFNEUQGh3kPz5udFMI9QJOqfsTlZHbE6+D4tshAbaoxzJFte/QZnlHz
rva5F4Ec6c2bPszsEZg4c5JLOG6s8PkuXJF2lD0EaexsspTPS/jZTXZ5qiNFnkrOp0MtXZ4OthRp
2wzR4zl03tsFkpczRHfSOczLu64WAPHUFGKFdARKO25DBnIQEieF4wZCB+FTtxGFCDcrn+3vUjf+
aWla2NXlevkxIJEGis7le5Zrf1vWsn2uC+32EA6uT6OJ5DY01ZT4Hl1S6CwE30CyDZ8NqrsmJsqb
7nKZ6aRjud3M84gD6Zmu90EoAwEhqRayTjFTBT/Oedc9hbxrfg3dhKKiVTkIE0BgbOuAAa4/lEsO
X4fCfOcOnsRrqF2Zwj6sTeG2Yj61VU3vPB2RPsnVgEPK83X+zJdmhRl6KX+0NjrXiVyrl0qQ9kF0
TdbfwZA42vty1c8z/G73wziOO/CwkBPVEex7d5kj9enMXKCx11nQnnqz7jmZ8iUlcz4mbV+i4qQM
l4SKxt1ZbQZz+MHDg6nilwdsbBJYou5bWiJ9t1lbeJtZkOUXRET4M2/aGt6ES0CRO8/IKZJeDc1d
tuRRHq9l08DMwtEoEYHA0ayh642jP44nGMGB+tEWw2HE8U/gQ2f2U1WDcmlHeJe7ulqOkP1QBwZF
XOgeVGP+UGaQw23w6gFWmyoM73XVq7SSdf9GKsypRL+ULyqk4bdwUW0SMELiEj/4JYAC/s9BiuVl
BFpl31lWnKahCLdzBAMvOZjzpeuN21q1pU0NABU61vjjzytEUjYkrO2Tt+beF8N4/jPvaPUWet4E
kFzIM/yHnZvgP7UiF0BwZiw1Ydn1acmaAHQlG3rfR5/A6iFcWlAATNiSTQfKBTasZCvF8K7pYJMo
5/WrcqaEME6ly7OzHjvJik0obkbCcKGUI/gGUx+MW+pre0A3E9K6JUU+IrtgM9OsOUwotMrYunzx
YzIgE1sdCeAN2eT3fViz79DMDRHAXdOeGjBPNn2JAj53jKZohtMTw1HfFqFZPkzH+a51oYMPpS3C
02gjjBDR7mRobbAGSjGVMY8awulP+Gv1xLrQ6E29VoCFKB7ob+XKeBKAGhN7ACkfha/yTTAaVP1i
rqcTiB/Lvh2ablP4VvxAe4AddQda2bZiw5AOdYjROqgUQHfWYZqBv7PLGhmg2zAH0xYZShQmjvr8
Fy0xTKlhiL5lQOI+wezd366uUR+No/kdfAfljgR5/TloUfJrC9O5blHjBoyncDM5txw1asw55oKX
qYmo97G64jweLvoUOAWAPEte93FPuPvFfU9vuYgmcK5k9+4gnnKcvJLPgJRU+am3YL7wAZPdqQmX
98igSZcU9dJ/qbph/AAvcA5jFDbiXgdjmxJGzmQ09Gskri+gd+boznN1gJ4SBw2tRWfcStl9bxvP
dWjMwEsSmMyxghv7uAAJ2gwQgApGeNj2c4pyuksn3SOXzA3kIWGp6NndKuz8AMoYonqOfGt2a4tV
7LqjpWH32i+z+gKuJ+3iaYVeUh+uJB2CcT1ppsWpDRV6tvVSvmu9ZOncmeGdr9FyymcS3KG0108B
PuarBzmX91WEwX6Uyr+jXoFOT0ANOCyegx+9yaNyIyegk+KVhNXTub1xAnb9vJO4QqISTrpM5noQ
u8UsxSsYNPkrjyCsm7thPbT90uxzFH+7fmxgKtmtKmXzmQ7kdJY4zKgfR0hZQxwTuOtB9vUDs320
xnMgO1gIAxfPFlc/npO8lAYZ9N9XSehPI3R0b8wKJii4llsGIuHGZ7NOixGJFmUQiZnG2sfC4eqn
php2XgX244rh74cOs3obMnTQ4rYn3cYvu+I1LHDFaAxLkwBPmKCKaTdRWMEwyINzXNK2mTit6JJs
pyALNhFuoO3gLEV2bCIIrmt3z2pfFBsVNORTNgbIuGYocsXwHZI7GDSxzZLNwcFb8VZCa70Xgnyn
S6EYVTxga3Qk6XXTvnpVbkCYdMJ78WdnHqWSSxJWvv0EEVRvp84qOwNp7FZDt2IHb/eMwouXi2O+
WAi9dqqYv7ZIg5NgmFqYXxRIhdcpyx+g1cg/qKHTz26O5Gs7NxqdnghvbrDtoQhw8uMqy/CLFTdV
kxa4S1WswWl5VmU3POAEr6dQ9mZLg7K/X0BxPsCC023bSWR7UzkPHK7Ze3ALRWdomiOBENMh47JQ
bzNxD0Zt4gegGXNd5BtiDIbHRS2fRgbLt1iU4COPAeU/eBBgGL6SQL65sgpg3xMgzzNj+yTGKriv
iServRxCcMDN6KEZjYwJR2+4z4usq1MC6cW0iCp9mGqWPYtJladCYm22LNJ4qshvyR5+U/z/7FX4
506ihTr2FG705IqdhkEtTo2YllSRc8YAwc2vTNZsw7k04JhjanoXwJPgAMfNfgPqVfhRBZ6+7x1F
NZCx7GWoTflGnbX3OvTJflqn4sDWDlC1set7dCUWED/ZLKNDIHJ9kLBd3UboEcYNguCdkSMkm2Y1
fEfDekwiA6kKPZPuuMw2WJO5aaHHHgBgriH3HC56t2g6fGKD7nej9KujzYKpT9BW6b4gzvePzTrx
AzGThecrRNFhEswfCNj6j+gTZe+Q1dX3QcTzNB+Un1KdVan0mglX3yieCvi17FTWivfAFajHW1rZ
GF2OdRdx5v32l5BsnMfw7004qV+41EoIXpIalLTIDEmzgtI7inr87Dsxxtxhuy+16+4Xlee7Et25
bY//GKh/Dho/R7NaiHB+yOTwTaIYeC1BnU4Rp8JYVlm5jaLcu4cGJb1jvSfTnuflO0yx9BuaOfxO
D1wkOFYNT2HoUM1bJ+ciDZVqWSoQ0+95JdEhDMhKdmg71NGGzJ7/gw+R9ZNKav4oJjrSp8oKaxMC
6aEXoEqzt6zPp8e5n4e3bGrq/FCzpQ+2rBrFRzXi2k6YtCuqTfjY/LBqNE8lEwOAECta2vGMpvkb
yZ3/ZtGdJiD5Z9XRZ+jQbCNdsM9SlhBKaNG7yFaAQRQ0tMuZqdeAZA1IEAYNOb56AVq0JQUQBsi7
jSZIc9KGD+7orX5fbHo+k6SwTQQhAWpNAmS1/gKsp3md63rWcdOr9ls153CrwdFiz1Gg3H7Mw+wB
9sGQvkIw/AXNG/VV1HpGmtyaT3O7mnCDgGy/lBiS7mWVT368BuutkdW1sejFAHzU/gTf5BaghEW/
NhQEf4mrDFMY0GtbGETjEN+YdZ+hKX+bXF2Mui01ZJxbzzs0oHrfV+tSID2f6yfplfbFz1z93Hlg
1jXBou4C0cj9v2dmVydmF2NrkJRhirLmzbGKaJlC/ZUljKk5Jcsypgrc1GjXZCtauWooUTstwovp
7Ps724Jn7POw3kGuUB/QXSyqeClhmpyjKnyzLe0fFtqaL10AtvFcQgTJ/x9nX7YbN4xt+ysX/a4+
oiRK1MHp8yDVYJU8D3GSFyKJHc0jqfHr7yp348JhSqWLAhrdHTshxWFz2msQ2e/OcA2cy2LzuoKO
YtiUMpDNLLiP3QbPCiWExh8bN8VrXNSl+VvuSLxDZAmHSHeazJgPohq3sFbEy3tmQgXXx5mP3ODF
agLzAhfrBK8bifZby4rod4bjzn2UCrbTGt5aByeNhmwvevju2C0ejfpBj7d2gRRSJXCnw/mEQRLB
tG7yzng3KrN/pP3AEGI5f+hrkXlta1RfTLO1dtpY5y9GSoqXqhqRXrJwr9HAR96DF1K/NomWPoBK
M1xDEHTYx1U7Mk+f4FZlgUbqjyWeQK2s/4arH4fqokFBTDfWZJwWpqwKAe/iiGLBiZHPs+CE2jMS
b5IK2+So6/3WcEvY5cJsfQV/ctIDDnl3FRM+aXDpwe6XH0xTGJaPi4N4a0dh+ZLH2dYemrdB4nXX
mw1qhRyKAOh2vL88dfDteDo/hZegVypkPJ0zjmXSyA9dhqG27BkQ0DaosvYKuS3c55z6i9sN2zzN
9qawn8/XupCLV7HkEF2GDwcd0wPnZvuqz0jOZJVprfTrAuJDxZIPlCAHAleGQ+42aTj3ku6Y7g53
FlLGyJilkJg534yTAFoMoIrOnW0r4jXefw6yxBYEovURweAyw96MzOofK7h1bDRsBD6MNOBAQUd6
A5raLwxlCx2NiLCratD5a5ql3X0c9xaeoZxL+1jBO8Qi1UoAtaqDIfhXvDkXr1M/DxcOoAKdmpqI
TjSxcUWZ4wgZosZ+BFO3W+ElLU0PZeNwGLjqJtRuYO+We+BM+E0UraBNlobMUraKljjAsvayOjBN
2l/Z2LNHHUHwE9QSGJeNmo01Ckhdw07I1dDBM9jpkVlycT/cJKkx4Rycy3twpZK9PaYscLS4XkGO
Lq09ymbS4RhpxE5XHWo8/ftwCntNJCQFaMaf4EKo+1Hfpytgj4UOVoHfkkJ9tWwKdLDLvaTB6d34
dT4klmAqCpqn7+c8bwc8YAqWFR72sOHHzEj5POflmpDV0scff/4ZTImk12SPvQ3aQHxfatYhyuYV
OuxS0cq0NtLctWFPXR1GSYGafBz01/PdsjC2pjKjO1w7IQQiyoOY++GXYcdW0DS59ZDOBC/Qsdl1
B6gItSvMrKVBUOY4oaPDjQRQpxn3Da2/tfA/s7si27qEa/xQEP7U/xJyJTgut/VhKDVA3DvXCIcs
7tluKnV7j7RLYgZ45YNOkYHDfHqF4wUPEyRijMBELqiD9VK6poh9RD+dOPip8shRXRfQucijg45H
fd/B27Qc5Ze86Pa9YwdgAexGLPory/3CIKrAaMdO+hp+LuUh0hsInpBHzmrTd/L5jTJAYZERX1mk
FjYw1YNbTLVBihhiZROfIM0f7eEw7RXkpxGvzPOlCo4t/DSEWl0OXd7y6FAUKaAPpRz5a22MbJ/M
iRuSvoyH7fmJvzAVjeMXfKpprmKnQaI/OhjlfdReG5CGzgtnpZ9Oh6upSno6TaTjWWGGX1E23DGr
uhakXOGjLRWt9NDolO6ow0UnbFz7KhF0Z8s1vcSlopUuiaskBWKmkaFtPPPqMXMvWnpN1eHQiuB2
lTSgCg0psn8THvbMiNzb8Urcnw41U3U5NGhVCeQtq0NlxfGjLDQnnCan3wxzxny4bNu+3uPNEjLV
1cox4GO+/x3dpqpJGkMouI3aMgpFLnBBKuppfs4LrDQz5Io2M/I3sPPCXSkkSCXuSMrjWw3sfMj1
iKTbwrA7CR2AoPdmY5mlP4th+Ab8YYSXe6jlXBkMqQCfVhESLpLVeAJPp0EPAG7ACxvAM+KG4ta/
qbRKg0OI04N4benVoz3G85dLggPa438GhwuqT0kp5qwTCfYAaCLZMuBsdjpl1Qqw+kO//UQfqixp
vOfCYjPL4rDC8a/2KYWQr82116GqsiqwI1pD6CjOtXCAipefHEm1sEQZDtKIAAWLATvDxSsm0FLA
i/EX0hSWx9y6O6oaiQmvwgLU+rqOZj8zsvy+kkT7Zk5Rj5xFb4O1lYzjyvQ+vWaZrrKFZtKxRUsM
NwCETAeiqEqeHSgfA6im2044FoPMVtb5pZqU7ROJfEJFT1zsHyV/6zVaZYBVsRryjV0DucWotMlK
UC2sBarwa6/11Sxalh7cWCLRSIZe+ilc5S86CJiq+qvs0xaOiDgI6ML66bD6RuIe7QE9yla6aun7
lWUyckhTllDODGAuf9tyAHwBMjwfHAujoAq88qEnY98xJ+iJBpiqA5LifJvCl9kbSvLjfB1Ln6+c
VnWWIcQNzcHny6e2YZsyKVZGdunzj1V+2vgKMdl1ymIWsAjYleTJAMTOBIh1StesyU8/epmqnOuQ
dbxwCij1GdS9EX20o8CipvV9ApGLpgYaqjTeqmSN47DUHiX8KkReW2q6E2R0fDRI/TrBajK3kPDM
AYw9PxxLdSiBZ2m0AUjBsYK04TO0G9vbZpKWj0zyvImFWBmZ00cSuF//OTJ9o+OVtpl50NvZE5P2
NSXjI8B6K/N2oXhVoYy0+G7ulm4AKJX7dbQr8Qj4jwswCNA2b+c7aqmO4x79aXKN0E6CXrTNgggX
rEPrQm/cE0g0eUZqYJm6rBIltge7d51U5CwgjXZH5v4VmosBEjgrsbfUhuMk+NSGSI/huJVwMyhG
+iASZNMaZ9+Ua54JS8Uff/6p+Aw3DTjyuWYQMaAlix52hfi/bHNZ3yjR3du9kINkZtCyPfIsePkB
+KJfI8cfe/jEnu2Yf347ZKp6AmQdrlHajg/zjcu/2ayDJLGGK9XufAsWYk3V+OKCCw2mBGbAc/5W
l8DjDg7A57aTpz5cDFaOcMf+ONUSJaJx/yvjOrbMgIrhhdAaD71seDzfgqVeUuJY4G4BsrhhBqRy
N72ov1tyzqGaSO/xPABcSNI8XVSRyk6VwIbFppE4AZ6w668zeK+Q6q1AGXDb6Fc1E7kvqjy96BXI
VLmo2iSHZKgLFkgNecD0yrbc6+NjLHDziflyvkELD8+mykdNE3tKkH2xA2MEfADWvoP9a65soF5k
GwEAcvRF0AEH2kFvUcITlUBz2q445E0dDfrg579iYf9SGW2RMMbWmmQcwoH6Cjj/3VTYm4HEoY70
cVq42F1Cbq7JFC7Vpiw3I+15CWBRHBqzHeiAwoFH54FScI2wvdG52IkBFwAmni9qnErINZio+iMR
JBipza60wcLaVrt6AGyr9CA4kHmaLEA/z6lhBwBqdiun5IX3fFOl5gK1mDKIC4DtkHLNo2RqYWQn
jD7fEOgv3bmFAAcg4yz1kGOcNjKZ6Rcj4cX2fLs/3HtORLyqjpaAkZZSllnBBM3sZyMmUA7g3WRa
SAobmXOwCiQmgWIw+4OsXWCzWJPVNUSPCXB6aZpvkQXrgOO1p68TnnZWPuu46p/6KmVFrURii5zE
NDDd6YGPULiSaTcCt72mN7Cw0Klk36E3S7x1aVYwMMClPKl11s7o4W+/EizGccU81QJlJYXZfDLF
RDoBS/hGzMm2jofHGvl3yPJ6Jq5uBWPePFf7XBSbASxmHJu3cF4f5EsKWRhdf6ZAJln0LiWtBxzw
FdP5SucubCW2shA3+ljSJppwNEzHhxaK3Y19VeYTQMav5yfVQueqFN4pbqEpNVAHV7/oBdiXEAjT
+/NFL3BfAVL8c68FYlKHYn3EAmSNS5w1LScBt4t3wQCM32YynOIwzdD5AwGDbgsnMrfgroAYBQcB
r5xbuQFk3nxb+Rjj5CC76k7DWQGgONXFwWiHHRiH+1KwK8rhNVJYfifKZ8gIbFyzAvAANCiETW8k
wfm6T++mrrrvVJqDU3HbysOoPSTGcAtRBODqU+Q77dsZYJXLajnW/ulU1jdR10HRuD0kGiTm00J0
vhMbh4aX37MM6vQQNL6wJmW9Bzwt7vWo7Q9V0X43JuPZTPN4DwIH7C3E9Nvqx3h3vk2n1xboMP7Z
Jgf2Bc0o9ObQppnrw5QECCETlj89pGUuq+EYF596jYDyVegdeg2GY8MdgKnDfWRD2zwy+jWtzmNR
fy8vrioxORmjjOXkNgfXaX/SAuYKHXC/5z//9PrgqmtjJEetTzV8/gT+q6s9G7O+1ZrfKahE5ytY
GAGVvy4hDe4MRi4PUN+EIBZYRdkW4F9I3let8fV8HQvxob6jEV0DiNgA1KMY8uxrUoP3VMM8JDCQ
GgzzmgI23OX9yolzqUHKgPc1XFdAys8hhcKPtKZM96S07KDJwBo9356lKpQdEQkbcAbBygtcck2F
vXWMKw7F8ssKP65vnyZslYPpyvqqOVhGXewLaM8HpgVoUlfL8uF8FQsHHZcqG+LgpsC35U52aAiW
bphTk+ZHnAis3kYEMwfoN/lgb4N+URAo8I/CgUcqCCbuSv0LAWMp/deCfB25Dc8PWmPdTLX2dNT5
P9+0paKV3nORV5dp3wKNXebsrtPp7y7KppV5vFS40m3Q/Iy5ydL+QFIxergGfofp4lp2fSFILOUk
IHqnplHKtMMw6vmPHI91gOgMVnYDjGJz3QMeafuacJ2Vx+2lOaxUZ+V2xh0stRAqG37mE3uG8ML3
umlXrmILxatgIGgjG64GkDqE5PBo3iVjGehOS2Ankk4XDrVy+tCocDqIbdCg1IncRtwe9mIQ6UoS
a2HhVbE9Y9V0cWemTpAfLVpAEapGrwCbzJ4fz8/UpQqOP/8U5/C6c8a2MOuDBbb8904kkAfoZnfc
1cWIhI3BWbI/X9PStD2O0aeaJqsjvdkThFuG+7YQLnRcuiTfXFb6sdZPpQ8A2hrw9a0OLXjjW1je
glpgtNXKMBwH88TeqqqDNHMJ0YWuxoUnm1JQ4DVrD6RrBvBaAXuX0q2hOMB+SbP8clFrVHXCtuBl
ZDhGc5jn8rE60mmLbOUkshDgKuCJTEWjVbrTHOypiX2bw/AG5tM3liyuujLB8TltL0pRuypEpRit
aIAVdXvIIECY9uXeTaztBPfgqhev5/tpIb5NZU5B5kJ2pIJySTppT3wSL8yZvotJW/NuXipfmVWQ
3sIjS6e1MCWyvDYpt0UK4GU7X53//IWQUNXztKl3rNbF50/mcFvVuI/krIhXImIhslXASiqyInXc
tj1IPNF6TpEBuQpFxB5Yc81iK2O81AJlL+pgPJRKC2M8xs4IFYZ4ON5eLzw1qziVsu0rMVtWc4gB
/wZLJf5VjcTxp1XlooXxVfEg9sBBMzFFexhaAmJZm/2CUieYkGKtf5YqUHaHaWpTEMY5Jujw2tiv
crrL+Uogf9hfn1iUjGOEf1ryMnCYcmQ2+4MNsS/4zCCdsGkw2Fi1dW38BvJe+70ym+5LPQ7OlrMu
DdPZmq6cgYxIteMe3ESgzUkJt0cr0vizles/8Ug4eLD7NNdu5wsz5OOV6dNXjhaOKyKpeFAA28xg
NC7FQ+um1IEmAcRjzDqNrzKg6BNv6l16Q+VcbuHFZ4c2SFJAtLqv6ZFerPFc356PuoXFXAW08HIu
I8I5OcBRMByb7rqJ2X1FWsDMO1829EGb9TXNr4XVVkU3payHGLsJJcbB3mgGVENgXgfNhq1ef7Xd
NVTTQqSrxu+9Fc8M77A8wDi/CQnl2nmeb0tevrl0bRyXJrJyWB7JmBZzPSEZWoQ2iFLC0PwYZPLz
Q7JUunJehnitrtcN1Y7mwcMOorDVnTHX8XcOXY0Lq1BWqqYrRUlGWwso5rZoQNGB6vK+0YXrnW/D
0igoR1kTz6TR7Bg8aOHIucHb8M1QYuEFueNqgBfWSi1L4XR8HP8UTq5k5RjXJbw43Ven+220Kyec
hRH4WGQ+lauVKUmZmWqBJNfIeILv9xTjDHW+axYgu+6HWfWn0u2SavrUIWGr87YJtcE0r2vYCXu8
jSMsNzFpNqaR12+Z7EHZi0bXJ1OWhVrTzPthhm44TFShBgDmLJSNoQgAdv982RXh45M/fVrCtdQk
BA0H7dIfPl5m72m59pi+1K3Hn38qHTpMSZUcSxcwtY3B204DQ/+10qvHqXtiA/h4EP1UOHgFJjdA
pQqqPi08AXY6hNlqL8VCX4h6F0OY1xMMd1swLrxhavStM2cracGFhe0DWvqpbkvrqesIwsF86e5A
SPEgWOplSbGboN9Sr4FDl2pRglbUGfRHmiY+FK3pabnu3sOx0NmB4nE387723En/fr4zlwZKid7U
dYHQdI+AdSg0XvGmaHbgPL2nJoznz9ewELm6Erl2HB/pbWN8sNzXekhDcN1XjpEL364rh4yWRO5M
csYDszJ+gG6U7yKcsG0uxMqis1SBctKo8o5p1ahzvKhDZTzREnoHMmP3yKGzd2HvHFfVT/PJ6Vky
uxVWiLq96kjk65Cguqzfj436VHI3gKvtgskX5Bme3lt3BEeqgFTG+dJPJyVd/Tjan0rnJgG5eMB3
TzrUImvJv+om/dEN8U+o3N5HEyPepEFEqmH78xUubDO6uhF3VllxTQNeKx0FkFXkq53mT8IFKnuO
68fzlSwNuPFnq+aSSho5Joed6bCxysfMguTNMKxsBwsHMF2J6jSBsTHUFnkg2/Q2NttfWS7vWC9A
vqx8kphfcqhvnm/IUtApYW1rIHXnExpiQGFupHxj82Jl4zhdNHOVeJ5mOzFrMHMCvYIyZRk/Z9El
dmEgJamo6MRNIEiUNMnBBMtdmszyZ6jUrXTJ6RnLXCWYNVerq5i0ycHIXOgAZ05KfTxY2s62qq0p
hBIq1Or0cWi/jrPjBsItp8vOYMxVgjwZxtHQ2ik+QLrIo3Zyaw1AIFvP58f6dGQwFT2dF5MDvRM0
TM6AYGY7que+Yxd+ydY020+HBVMB1AkX/YSxSQ5WBqhqMV41E1K3I4TZzrdgqXwlttO6KYBcTrSg
TaB4NrebMXIf3MQNzhe/1EFKVGOFNar2GNXgu3t1TLxW/87yB21NBH6pfCWuHd0luGoirjMICnht
DHZniuU8Z/VzEjOysuIuxZ0S0pD7sSDLivUcRsZXekp3XW19uaiDVCxvBF06N4KB2oHUzQYqxiDH
3+Ji6LXVJU6DiGwVzmu7gjVJi2MGrMtpdqcReq/x246S+/MtOH1gYkwJbrMimjVD3Q23nDIkZfTO
ExfR3HRXpGxe4U+65tZ3eg1nKrY3ryDybmYcC2tXeDnOl7Nz45qQrM0R2cNjmSYry9VCTLDjzz9t
sFCdI5MDebrAGu9gCeeXQnqsWru0LZV+nGSfSocZkmtPUJoJHNJ/SaEO6A0ZeaZibbwXJutfCF+n
alw+tTwoM/OKQbmh0sTT+aFe+nQlmpseOgg6QTSTFDKSJgDu7uQ5QDJeVrwSzHFe8MpomBZM1PpB
OzyNNJBVgNLshSB9pqJ4YfNiQ5YZGyi2ZDjew4P7yyhzf06dlSYsdL6K48UrgmW4Fm7krG6eC4lH
SqiHnO+dhaVO9RfOQO7CtogT8dS3GzN9djPLH7PUM/PH8xUsjK6jBDI8b5wURjcRjgBxv2uxKAXW
0EL8ZND4yrVhqQ3Hn3+a+z0BXzE7XnkYgx0ANn57X9pPJr/wFOMcm/ap/IyAipZZDgsGQ167OlT3
+LDyWrGwzDlK2I5OXdlTiWXOLmzrK4014U9T/BviS6anV0Q8FU0Zr3TT0ixSN+U0A6dj6pFDHKph
W2hFtrVGukYBWBoEJYrH1IYguewgV6DDoMgzRaHv9BpqpjXEUW5y6RYrXbZUkRLPie1aDIid6OCy
GyIfWHIv+A+qfz0/XT8yqn+/RTBH2ZXn9KiVy2DA8vXrXaBt726SR2tv7cPBg8SWN/m6b/iVF3L/
jXpQW/UsX+yRfvLNDQ5QXu+JjdiQAz3MX6oAQMvrCYaQXu0/aRuoXnpv57/y9LShKgJkTnI7r02z
CzMoNNgC2uzEgVi3C62czodSy8qWdXrGUKrMzqHEA2mR1WUos/ab5hQ4icqL8i2UKpORd9DN0yBw
GU6tfJWC71JS7c53zukVh1JlJk4w22qpG3chLed6CwiGvrdNMpSQwKz4Rel+EOP+XBJ629YdrukF
VCSpH2vuHlDL+6ggF3a8Mglrw5livInJUEwmpJaNTWd3L+d7Z2FMVSRBXPHGdYtoCFlbdX4s+/KF
QZti5TXtdHBSVUakpo3RIWE3hLQFV6+qth328iTvvKS3L9oMqYokgJ6iDuZgXOD1tdw6ElrYfaan
FxZ+bNenpR6OeTbAZlkRyukJTmOeW3UXlqxsIl1SuLKJky7kTvfOS4uOnunE42W2H9RSQhUGDkQI
ncnQpFVzM4xT9sxFxsO+trOV/WMhrlSYkeik08N6QIZcRq96n20GhJrXSdhTXTY1jT8736U8SyfC
83CY5HXM5TOr+rfLilbiFSKmA9eceAgHG6YJWeG3a6vNUjwpoZodIYUpBKjDqDDgzQdXPvuyNUbF
arSjBmV3IfsQOi1hMlWh3rovR9Tv+S5ZGE4VmpG0JsCbuY4ZI+urSucvuWFsYihdrozmwh71Fz7D
KoWN9/w+hIzZNrffs1Hfz1BO15LUy6GbflkrlIC1qxYyNZAQCDW4SUjNuoIw+7esjS6b83/hMmBp
YEyN1YcpgYx6Ylxl8gA7ygtLV4IWMK5sjqE0H4LD029ygtxAl0HON+/WRKSWBlnZZgFQESUUyyNc
oZMfcWqHpZ7+nOrq6XzvLyz3KjSjlRN3ZIUGCJ7caW0OEV5buzEtBo2utceYhQAzldCNkFPPnbGW
IbTGLK3cG6O9O//1SzNUCd0EWm2wQUbJIw7aEiLcDesfRTTvOTbzvhzXHGxPP1RSFZzhmFYN9SPS
h71h/o6nJIC4H5TDzeSuFc4ewt9wlnFtyPmz+DJILVVlO8aaQk2VjzKE+2yBbCDq41ISb4ihx3y+
94zjHPr7pExPwDYg7De3IrScoYJ8jOgPkSzGAuYkLX80E+htdt3DqCd1toGuKbRPau14SmokZFD1
2nWIz/UExlfcpjqEgA2YOGhNl9h+Mubl3QQN/J8RCLIwsDJnTfOYhDFp4cRt67OCXrh+qzknuG/N
kL8f+9A1hmdSuHf5FD2e76GF4NOP8+7TYcJgicsaCCOGsWbcW5wFjXQeeEQ354tnp/tfV5a+2Uld
kcP8N4Tg3pfYdMOG89uihYGOSTXpm1b6Bq7VZU/GoIL92RhwyPHAlNl9SMx+wsMVeam4leJ9fV7Z
jxbiXEWYzDqZwOtGBfAbcMpDkX47300Lo6CCSqgJrmrR0D6cjeskfevSazG9nS96Yfn7iIxPA0yg
fQeh8bYNIZdbQTJBZFrtCR2kHM8iUHnlhdRXBnupd4w/uz8ykY2bnKkPkYnzmvF2hiDp+UYslays
r6wnNGoISq7L7xQ2bmtb51K5yupqN1oMW2PM/hmZ57hPbkwYL5z/5IV+J8eF9lO/ay7PALFOoAk+
jzHMebIvbVnvaQKznKRZSy8tzBsVSBLDwqru04wfWh3yUUS/g97+zojilRzGQveoSBKQ5QuoTUYp
TqRdAijbVF033dytXCCNYy+fWJz/QoOYbmn3bYdwLTrnSovn2IPfinWEBuKkMUHsNZk5WPoa0+Jd
C4vZTWf0hQ8Yu+MNkBD0umoevg0UJjENsB8e4yaM6TW9xNMs5frG6gBtgkFtsXIUWuqO4yh8GtI4
qRvLnds+1EUFkG3mpjdSpu3XyybMsdZPpZdx0mZNEsmDm9Paj+ooCrRhlpvYAe8VsqdiZQ1bmpjK
cYtMaVK0MTYTKL3DisHJbyC5/2WC8PBGG901Tv5SLepa0ORjjjNpHzr1g3TeIc/lJ01gWCv3jqWh
UBYESKl1stEwdUT9nqQ/3SJfOTEsFaysCBbRBzeCuGHIaIhDgD+ba2SPhVhVISkjqOHNXM9YEFjx
At9z4ad29Jhy+uX8/Fn4cl2ZnTOoKh/XpdDS72DTCDnstTvv0pcrMzOeZ5o2EHAIMQcb3IzSEj7g
xWW6GVTFWODYB+s7vYITGXx/2xHsXN3Y4Fnpsl5R5iEjTtTCQ2gIAYj1Bu1m7Nf4+AszXAVWuMj+
adM8VKEWQXBXm/x5aLZd+jgWa/vpUr8rc1FWBEdkIYbQFqbXx9dHGrwzrRw5Tk8XS0VUQAtugqy9
wGJG4GY43eny9XyPn76xWCqeAoZKRyVx3CQarT+IGCCTFgpi5RNcwzZzwy+KU0sFVgBqD3s+Gw8P
Tuo8QVvLN9ri4XwDPm5tf+9LloqcgJbqUKdTj0ckKL9bYGQR3TvSNTYjHFU2ExBTm76Uzmawjy5r
rLS6vW5BxDaLmhQOATW5cqNKhIZL543Wu5Anx10q1NpaPOXx3Hrdhw781FE/YSW7pXSCYlZTGZAr
hsPPDjgvhpWSDLfO0SXBgGvD1oH95CYvXJwkEvLzfDtPT2BLVQjTU2HOMQwRQgjMA7gRxzsp2TON
4XNm4np/4UApK7UDif/8uKgeKuiyAsDRQDfi/PcvcNEtVQ/OyUzNnc3eBaHAi98yiPhFfvYuvsFr
Jr/NvoH3zQsvWemthXhR4Qp4Sa8kPKXdA9xdwJF84vMKtWBhGFSUQmqISnRVjtmWHhjcZ1taeBxC
vsXYb8531PHIeWI+qzgF+G1raWeY8AAW0Zvo9WveRY+ZZqQw0dW3UZQFotFuKiiPn69vqauOLf10
kmnzAbZVCWLTmr5ZTQBdspURP70gWio8oZrMthugNRfWrHa3piF6rzbFGBS1ufZisDQaxzZ9+vZm
yNvGilkWFvl86GkxhxJs9d+U5d0NXvTrlSFZ6iLlEMb7eIa9NqwnZJFu4YEapJZ4PN/7Cy1QkVml
KykIq0KGMJgyoTYmnkQtnuVMYD9SX3QxsFRsVpszfRKMi1Cj6T1FblMz+pVw+MgPnpitqorlJLCt
9nbThyODyUtrZeCxtTk07Zyht7zYsnMOl1YO3114e20lSAu7KUmZhExjNm6LGH4lMHHqXmCUWV47
KdQqYbkBPHuc6Ft4w0YPhUmbF50adBP18BVArzS7bpoYVFS6OsQ6HO0ACmxforwTBxMe6DAYg+Zg
7McjKX9bXWk8zU3b7wwY2/VwtYJXT8mnatt3sJJ1sXn4EELdGMWr7mi82PdHq+UCVja38Ltpg1rv
4K1amtkDEbBfLqJIvg6A4t8ZKGMv6rmGZ5bBrnBu4bD4MOldLBqkL+KZyrVD7ulXGYsZf07ymiCZ
ZhAEaEJtuY/iUb6MTTxtwP6SPuFIjbeDhBuZ4Qp4ll00LZmyD3RaZMN/G1ftsR0gg1wR5IUhcDuP
P6Kuv2xaqiCXXvQZWGw4kk0k/ZmQ+Be8Add2m4VjjYpvwe482VU95yEMpjq/0Kpn2EqHcek8w6z7
xoSXzEpHLSwNKtpFj2E1A6+yLrTGCBr4fVgx/bIzn4pzgRGwBl9yA1cQeK1K8k3nP88P7sIO82H4
8WnVNMpqmGdDkyEsQ9h7bopkB6POPIS8OdyEOzPxW5BGoRdlw/TRjIzd+WoX9gMV9NJbiWFnOa5U
Wm1sJ1HsImAto2ENib90wFCRL/1kT3aiI/3EZV9Fft1p/VYUNrsZYbl6JTlMNGudJLuIdeXtbHLn
DlKnHN6RSfEwQZD6Nqsofznf1gWlKEvVTUkhtOvk1EG+HVZg2x6O8bAuLOqjq9FwBS0ecN6wGm/r
zqm3dW7m2yHRyBWF36dvkq79HlVOsS1Awnw8/0ELiwhVbid5K8k8iAyWhxm82C0wOTzbNq7M7Igr
j0Xmd6x5Baf07Xx15IOoe2JjUGX+isaISGYds9N1G4caN+n1zMwuhyRWM3/VYecUNLHbvepQaHgZ
Dcf+wXLYd2/MadbIZoB8mF/NRYYLJuSJt2Yi61DnXRNIo+B3nQuPXF03nV0+5M0POAv0N3AjgtPu
bNEBNtxWfAf3kXQHYmHxM++PHojgZwA5TDWg6eSc3qVy0q6tJiY7TXPGe72rnPupdJ2fMLeHFe9Y
TAJZHI1tqKymb3HltveyTuhWNNXwhdtJ8hI7Q/JGxiK+ARsXPvWi0fcwzI4aeITm6TV16/nJqkt4
nXRN/WJL5IkjzIp3VhlO6cVgcj4izTH6QzHDxH2OppDkjnkn58T0UryVecQm6S3tIhveSBEs1Wu4
LHtlCbMSvD4nflfVt9AhHr8k5UC28Fh0vvUWbB1zq5K7StrAB4Eztu8L2Ag6DZFfZ5AL4LjFYCPf
6NQHxbo6QKem9HELlD5Upd0NySfsn2Y/38AXXXt3ODX2sW1zGDnb8nrQKfcKOKFvirKhV3HMdL/Q
C2evyUj7CXHq2Idla7QxUiuXON/HxhcG67TdUKT1C9QzDG+ieuxHNoA/mPjGVaSDzyIz2vn9mMYv
Haxe4QxTTPd4EbSADSLlfWaaPcyt+mpvVma1aWEpsoXkOl7Fc7OLPVPjsN2F+nNYmu7vFgZoe5gc
NhvbrtvrsnKHvQMm+QOgKfnXOeqit7wwGq9IBz1Fr0Ie8Px8X9gGVJEesPbMFhJ4eKaL9eTaoI15
Q/llthOWis0i8PQy2g5XP9eo7nCrdb26THbQZLssEwObyT9PGI4+iKYvRvfglnd5fhdX72xaOSAu
nG9VVJZe2mYFXWYJfnW1AS/OqwSMSFi5Gcwfl3W98efHN7BRp7aOlW2eOiCDoD8fIKLoyrq5sGn9
BctKMLdgWCDDjuobZlEvsiLYXP2H/vlfv8b/jt6r+38viOJ//wd//lXVEwyxYqn88X+fqwL/+Z/j
v/l/f+fPf/G/+/fq9kfxLtS/9Me/Qbn/qXfzQ/744w/bUiZyeuje2+nxXXS5/CgfX3j8m/+/v/w/
7x+lPIPj969//Ko65KNQWpRU5T/+86vg7V//MAi68L8+l/+fXx4b8K9/PCVl9KOu2ve//s37DyH/
9Q+iW//UXcMBfB6aWsw95iKH93//xvwndQmFeyKFA6dzPJuWVStj/KN/AjOLv+zacOSyAJvGRBZV
9+9fETjDEfwK/20b/5e6L1mSG1e2/JW23vMaOAAgFr3hFENOocxUKqUNTSmVABIkQBKcv75PqO6z
W8q6fWXP7G26zFQLZSqCA+BwP378nADw0X9d2y9v519v63+Zqb3Yyozu//xvjLliVf3rWMNlcSja
48tFzBlMg98PeeJgophWAHkgbi+b5i8zvN6FU9uhm73ccniKhl7t3U4wwMqjDfPsECr/GJA2Lfde
fZcDO4Ld+sN4K/R7e5oStQRpBB5CDRQpnVlza3l0xOhi3lULSaQ111kdlwnE7XBqU0dpGsOZO7Mc
7tDLzk+ehxyCQuxgRTkEAiHCc2suPIY1uQeHzDCWN1KTOdUUGYaBpD0fOD4jhE1Lw4uAT9n1W1nd
XprSy1G+3OEwSR0sMHva5mKASKDPLkOI6VnW2Cf4iTZJKacs0mFSTt1FrbzwAJJx13yBG+NRt1A0
5LhxWc53bHsb+zYPa3vx4uggw8cRDoAV9Lxx8p8IJpGsosc1erQSKEGgymeiQ3PoB+jAeXPUnAaI
jQoR/2z4X2CPDL+ERYoDJTYqahzOBze9WfKmcSue39wStKRU+EhEm4IGneL7iG7vfO4dIxB6KC5D
NuS+34cDgwnl9bfHsTlcbUZ3+JFw/+z729Pe2CTmsLEXpXtdLJWJqvYn7bU4Psc7ZcAtqPsubfFA
dxxKcR1AGTNGcuV9IngZuCK6+C8Qok0r8thMj8Y+ErxQFS8vvf+hJBCuxxdD5ffABnoT0O6xGW3G
9++9mr80qg0TzDAn4UCPOsZ3ElaMwr0OBuyLbXjyAhi8zk2+8ia/rorRx5seCWxvRy9vNYXDmWIY
qp7vMN//ReNETmwALz8bnCzW2taPmZhFQTeW6l4WdsE74OtLH+t8cvUb38SzGsnLz3XTRPg0/A63
Cqpz3hmOzR8MZcXkdwTrrZmOOMMPdMBV4m5rQ17GQTw3doXzps37IDw0FTv0zsu3YL4zHFRR++nq
/Sog/wFh6Rk7YIYYflupAwz5blwPT9zB9Id6owdtmzQe9nwBebKMzdNcy4S2Ml+G7k6xJo+n6nsE
r4TERl6++PX3LmCFnh5DKK1CRfnG1C5AkxIamFFflPAhvKkYjIrtxpZ0W8QOJY0ey6nmX1oVbY8R
bfSJiRYKTD1/2k3Pbw1+BjVklujNchRNymQ7gRtPYwEOOPjJFHDxDlKxWQPNygjW21NfFj1TnzuJ
X+t8GCr//CHgEQrlen1RkVYHIgZV9LzD1M5OINhIt82k7dV9YhV/jBCjSZC5XAw2TuL81eUwwIR1
eD24/HpBG2HlybLrKmiZgSiB+cEMeD8tCdkNzDwMtnxrMg6aclpjqDS9YjE38TiaQ9SK6gSOkD2y
0qoC8s/eoTLeUYOP2SbQB81iM9tjWFf0IiOfPwH47vOQsixeRYG2aqbj/UC6Lm2GqiDafsHw1k0b
Xp3gyteukTm3/NysAkB4k0Km8sYL9t8kWv8+AAcx9SNGBEVE//XYx6C1gPLBYg9gYRZe/DjDPVKx
N27bNBZQAiP6sdkMWj37iyd+11vz39V1f8b/kEYiDHy47dH3AAlc1WcYsmt78EV0aEV3BiFrTqcu
LpTCOrVlk6hD5cL8Gl2hz1eo3a+Owz66FEOmYbKt/RkMDJ6uI8xbIez4Q+upzrggz/OUU69/5kxD
zXPn99UESS18Sg0ImLTPkHs5U7l8YGv12hGA58wDWx+jKbDizK/HEDFBAzaUeeLEFkZu52tYHiF1
P1ZQUZINgCM4Z+Jc8mb2tW3cLYczaoTNe904O0R4jS9vulmCZrnlRMAksmJHJIhpPKlvC/8Yz6ms
UMc19qQlTev18UqFn5kBGj69yTA6+PuVGt9eWM3Q/8c2pAYqS0FSQYMdpfJhcutLt9gnEesftI7u
g5Dey5Xdh5Lfwp76LIa9SsQ+k6wHd8trIWi9kHwX4XEcq6QO1o8IW6e5j4VO9lGVPzq4BawI117V
5pIiFiuTLM3b1nZP1xuiOFh5dIbX5pq4tr0dnfnMrTlSkdud3gdQOerCD39JZ/6ZMvw1Rfg14f1z
gTCfEcZ87AyslF/Xp2taKib0ig71NGCKA1FbqHhILRMFxnDe/vOX/Uw33qcjnPjQZ41in/L35T1x
1TzJPbYHZvn9VDlEPe1DhUZ9cERiD3bToYfnrxeR3Kwy7aNiLX93x+8GXP68ZU5iOEVieCyANPCv
tyycjGCXwuxhweBjb6pjCCo96UtkFQf8AGHI/nyh1+OsX1/mBkPIdZg3HnQsR7a8dQsrOorDwkNL
mS84SK+a7Jgxxd+FJTss6GjDlz7xN8QryNUoj9yX8X5RbjleEwQwAOBouNivQfg6r2UqojBlqOAh
JLskVfhcBmdvoKm/QtLNHmv1PYreREUuhKJKbIIMMq6/ITz8lOF6/14EiIzIVzkS0J9Y1V+gNuMH
V6Veaw9wVEusT06hJOnKJpxsewoqXQ7GQiGbG6c+OX8oIsA/wX6B7GO2rDgtq5uVlUjGTLLW0ZH3
LUzAFARLGnOwEoFu+T56y2N42SEsDw/lexAWHrfxd52on0y8v9/FNXWmvghBtv31xYJjQXQ0IdZO
q0nq3t6uW3QIovYzvKtz18xHE85v/hLfNPR5ods9YRg/HpDDjsFX0HsQBeq1OVgVHDvHn4JhvMe4
YRH48yno+d019wTfOnNK/oZG8E7/688VCblfIgQitc/fU6LCzgM2Qld7sFP4tnnqhno8reM9CXw0
Nu28NMmGyDlu0VEJkvnL+ND3XW42qFzBiCeVzf4zuHVuSmIkGb85xH4y4v/2YFE/4CRhnJD3LbKw
6aFEJp2F+4VF8jhmPvjI6CN0X9Rq0o7r29A3iMH83kQwjvH8g8QB4iP1nirE8z28F0v4kWEmt5su
dWRAGHycdJtHwYQ0rIdcV3kVEnrx2+igSZPjMIMr1pxsbDgAM8tMCAswG36IfAd9+jIDQvhtDtWR
qt/hgNfj+G93Cl4y4RFO7Pin8vtfNkLD9lKHbWMP8PH5cM3GAjIfg/J2bkjRkibbanacq+XueqJs
W3Dc5fD0mxj57yKy4Kg9QnhFUf9965Z2HQpZH5fQrSztSHxCNE2H9e2aZfuVgs9ak6MU+e48ClcI
mQSrfaXXIfqo/XHNstlvRSz+TRID9S7COeM+DQnwrF831h4sZi53rE9KbnfeP4LAcOEDK6LOXrit
voO/B3vt8Z43PNfRbwbl/s2hgW/H2wiFj4sIoncp1NIHpbcNFKsPiSf3Plv3kRpkkNzLSR19QJ0a
B8Nxx7WwXmI46ndky59k/l8Xxa8X8K6vCoh4bXsfBwYEHdK9dTDBpgd4wyCav0WB9zObMSwANxgZ
fe1Oenb5EHxuGcqvfTtOdM0Me9ixn7FlDsPw7Rr1ZQjPR6zrGJ7FfecO/ajSzfH7cmhzi3wprlHq
LjRFEizSn0vsfxrFuau+DYC5foz/P8A4VxL+/xvGeVZfq+arQTT4ExT6ifxc/8l/oTj0Hww2Lz4J
SYDdfw2Af6I4gv8jBC4XsDj0CaLfdTf+E8UJyD+wJv2f8AoPERuxLv+J4uDTsFSJQLAMkOVgL/93
UJy/bQAmAiz+KLheH5QG8Wm/0AdIN3ViX73xqOtqu9Bgnu48qmOVttNKwqzrQk8eIPcTTmlMyQoO
dgSSwSGqQq9CF2GLw2wZxnjI/vII/03q+GtfDpAMzljCQ0BYPnYle9/4A3tUzaZRuKx2KsuboELt
kLFJeWsWbK26hc54d+epssJu6EN9MQEBme0/X8OveCePkUIGiNXU5zQgkNF592gwkTTxeUIFL702
ZEBspOPQpWn0lmwdwe3/5697J3R+/T4aBjGMbCnecADw7tdXoYXYAtMrfojWEirFMw9fdbDCYbyp
fPJlqdoF8qCiAvK9zBZdBo2aZZzW4XdCYe+6hz8vJOLIorEwYwZT6neNsk77Md0CQg+NHGGDVPMV
kxZkk9/LES6Aookj4Ge11H1SkX39QmA3+9SEu/TyaYSxbeqJWUJLqe559ZtlcX3kf42WnAVwCY1B
VKACZIX3h4XsIxrYWM+HKBZLWcColEXHoR7M71h679cfvgh8Ciw+1NVI+t6/e1+YELBYPx38Bl+Y
y55EfjF2cfBp7xf6I9CgyEPbdpKQ7IhaZBijKYffrL/3hzW/wrQ4lCB9L4C0/q1H3YuqHFczH+we
Yz6hBv8JaMK6BdnSD6G8JUsV/Ob5/soVwJu/Bh3mB4SAX0nE+5J+oWoIJkUmlO1N97leGsjdtnzV
No1tRG/wB5xImGUN62+E9f5+r4hkDG8U0DVC5Pv9vlWQD0XzYjiEY0tAie8IAo72WIeV1pQlGpZV
uf+OlfX3u8XLRWFNQXZEJCbv1rmxfI+WkAwHzBOpI0TS/DapZ718N2LovgfM9mmv9dz8eUT+0uf4
a1l83ce/LmLK+RXR5/hPiPfObJIJ35/GGjyWLRpDUP6m4QcEmFd12GpZTQfuOg4fyUnGphB8DNjh
PwcajFFcs4p/XUIMvIhdjw7kO1jfTLynbKilLxHx7HzYDOhGphxfQcAezuFsyZ0a6TN8gAu+2y4L
KyAOa91DBkSVdZXJja43w4AGr89Cgy7nisx56N1Jjr449mJtnrXS/sOwBR2U7vW3ltcSNkVhdVS7
WfKAjcD/S9gG0KEZM08r+yA3EHvB6G3p2bMlLGniEe43CrUKIBWMtKFXqSrv6y4a1Iv9gs249z8C
0J6SxUfPcw35yfnAeLiYXSK1rI7tiiFtF6PutaNpX1W3qlOwhj/63fq3MJusE6Wxo8a6jp803MgK
1lP10Ky4cSLVRYLDNGE/nqpYClh0zCBQEugqfPG1eB3XNsocuEG30HCA4BA4tX0WODIlLAT1pZ/G
oygnEwPt8STKUxJvKTzYmi0JRf2EHi+mdIOKzFkw2QUiatWQE4TRrAHXFGbmOAEKb59N9WTGTvZp
7HzQAHY+065NJFAWAR1SAKJcFRbdfb2lwlgEoDlafHEzj/EOn7W4n2YDtXDdLCLxNUrARNbYWXVW
ggrfgUZpMCQb5dPgInGJIbq2dckCN9MxxnWMaHgwSAXhcmgw0GQt++6zxid2tyRaAq0wNAgPiLsG
bLG+T4iQZr/YdkUA7Cyd9afNYSD82AgNtXIbbevFtbPPDldhOSAYvKurDxEFWH8IDNLfj40vYnau
VGR1UbEVB30wxTN8eNE3nYF9MLKPoJnG6KEOaR+bOsz+PJFXf2oNMPeFRD9G6eNjkUhH82Pp+fgQ
2BR0n+UWMj8JJx5NJPFbGpc3tCEIYo10iDN1ibmGrJkErlrWHa7XBQb/H0gtsUh6XQGrxBrSWdnG
uDxh0DSHI7Ew/dokDt7V7f1u4LSSxvOGwT3NQOxLSwZ78fPq93P0OWQtBjPLIHRbVsE/+2hjHBu3
0Tb0fdYNHo3vI0ho6GLxwEMp+oFg8s3JdnXQfJmxlkk7oBPdDK773EPw2j+RKOyXNMR+w4NCumAz
rcytMWQqmKnlkvJ1Q5sM7ZthO1G/bh79dg2bTAiP8tvWY1NZLLQZgwdf9it8TUTZVB+qaIrGYht0
a76BhvPHXsFkPB3FHn3352oVd6um3UPHKMpqmN1hxaGcHUXWjg3niXMtntQcdjLrI6d+jA7PKWHd
VsmM2qhDd28a0JBu6h2Qu4dxOzSNdDzzhECR47UFuw50yNrcDFEbzClbGy/vN4zBJtB9vsYiWIW7
r5OsOnLjQ6VuOzaErMCHFSDvlcFmrhgI3VOvh6YuGhC25hfdoPFAGfiKD6udK+iQCX/HUBgEcKvM
0bKrUj57XjqBNtkXFGaPLu3ifQV83Gu2rPBwEFgoo7BqSRmtzJCMHY27Y9nO0SWEBGlXaDCbugx6
hdsXTOHv5ohGiiczrRccX1044chCByFIu2ghoMxTtSGa05GIJYH7mDiYFvymYtKUlzeS7yG0Foey
lBn2ZZAPaB30BxtzRzN/rSbYke04oVoHHtXIzXEm1WhuW5QKBUg6JYzmiVcIas2D73sMTaVmqdOR
+u0PA3v1FAol+iFw0XK7C+JiuFzv6vscE4ah064UdYaHVqZGVt4Mp3cfj6caR3e0rJOQ8G0Uejp1
JUqwpJQAQwVqOcnWVHZIPF4Kllq3hEWvIvq2Lea6j/p2LcTebrk/ldHDCgTtpjFDlLS0OoH4MtyT
OhSHtdthMRx40jt20YoRfb2WPG8jFX6cwoDVCQ32DzhD3TGOFmCo89gX8wZfnhOBggOI1DFkk8le
HwUz3rlBMzsFAGKLuVmWk9P99lapLQR/VVQ3dWzknfX3T8TX6CiJaZjSKjQczTS3b4e97ZanuQUh
ptxQM6XKlGQ8xPM4QaRgX9BVrZH1OSRFK8JyD0uA0ZvNCXFPm1wvrFsRo0j0x4RiJfEc4191GHwi
js33Ubf3J0V3UKl2KU5rP8X57nUg6bghGr2vjVciPF0nllzrW5XHm5BR0UiMm99XsEx+gqwPvWi5
I5xHusvjuYyGfKw4m25C6eP0bGDOvgloB8Kioxav4Pw7dd5tI9HA3rCzUiNkfbssNhzv1tiJb5uj
0x8dUq48LmXlknbkMazvnF+UvdEnOtYsxhvvepxbzXZqoZsFPSZvXqqkiinGOqzXfVimGj51Ze/f
bjCJKQUJEDVjUt9X6zw+iLqpEmIBbCxzTS94hnUmWybRXW1wSNeVeRJh1OY7mdgZdtrkLaTXFqdQ
uPsE6YKXgUHoX0Iz2j+WLtjybe4VuLjhEDW5rkwbpI1YavgS6vapUktTLFWn7ipMw2MepdZpABVT
5BAjNBQa625BmYtJjjAV/8E0TGtd73yEawee8rA27kGDrd9gXcCQvAPekwSz3aK0mlT3EdNY3lGO
AnujZvoyBAIWjaWL1AsB7exIzTrktK/lAZ7Er2O0h5lS7vuyw6d7x+7EtFK9Psxx8IHC2D61pVkO
K4yRcwTfICNtuWfIdGBuwGpt7qvN9048Mk0GJhj5hkTQ3a5IeLKJIOKl5cTRZ9rm8MGPh7Pizpz9
QOGVwPU6GeOpS2LJY5qYEa877btZv4D4B0ErI5S954HWDxArM0FiBzmPyCrcUphNCZ1vUdMDHkLW
L1Tpn1YTesm+wRwJvD9UpGaaixEtbK9p4T8564cIDhmfMJXtw+9tfYZG+0cY2D2PMQOENlswH+od
Lm1Ole5+3wL4pK99eKakfEHp/qOeBbwc5He+QKMALoF308T1cUBgzKt4w+Cb+krlblHzQL88iuTH
aoFW8rx32K/x/pH100Ncly2sRaEeFw/dfW2i4A6erOB+DOsREuTNXcCm56irVCFBCkot+gJ2A4XC
XyXo8MvU/Jj0uCXIyvIeXTTotymXlrxWCR8Ck0foq26KjSehOoK/NyyN6mG/rxxbilr0JFXzXr9E
bfxjnOLqNDTNZ49S7zwa4PmsRaLFByzAWX1qiPkq+ggNQEHCdFeLy9BhX15W27whBN8hql/asCdZ
HU+YExaTl1Zi27AEDS32sPlDbfOnqpnrgpply3DC3+216nMNz1U0faEe0CKvKBSNCgMoEdCMPAzD
AI4g49Vxr9ZvXTnalAFiSCbEv0xsY51DQaIE+QZFyFbCB9jtPBuVEgeGBAiUGifvV5QnELLxN/Rl
y6d26tCMrMRxsf797KFFAKXmKo28rj2Wk4OEQV/rP0Tl9QlSyhjd+9AiPEf7q3aEJlBx5nfo9q5H
yKJ9WLeyu0HwBHmmoS7Z25k8IyZ+rLeozFUtRRHrrcmImGP0OKVAy7MfbQKj1zEtPXZtbsHLumWl
l21+i57SyL/2YqDZDkX9VXckAcsDAiCWfwt0ANl+74luoLBYeJ3g5fd+KuryBb0pP8GWGJLVUnbh
y3oMu6vKHl+O8Okbkso4yIVhGK6It1XCh67zTiELzxuSkqPPOn3y0KFP3Mg+uo0cZ4lDP4Aq/XFT
+xgkoiQisxOYGBo+1qe97O45CJwgAW7IZnfSRmjZBiuKnG6D46hR2zHc+YNs3dMMaer7YJ/3c9eP
8AdFInpb7zPmb6awKwZGX3yM/X2fw2U4eQMJHzlOgccFauZnXYPVCyRFgxewymfVG/Nk6n3PJewz
XueuHr5V6MlxDJ+Dk0vlvH+iQUgOrgX9oY3M27bqocfRQeXX1rCXFifLw0r2KPEDsIlIG88YOFrl
Xe1YnJI9CIrJSp3JyfZtsZT9mPSDfN0ob68AQpR2wwIIY/MsaKktv7ZlyVH7IIrJYHgN4Chzb1q/
e3Sg72RU9YfI9C5rbVt/4jPxJHrWQZUsaLjdA/4xD8afCsxTh/e6NzINphHO70QR2DEv9bKlkKS3
aT0g5wfbHeqzLchGk82iRkwPIq6HbATbYEABy8yQL0ojBQg5bx5QMgv0TwPSY5S/91H/y5DlKM0d
kv5QqnSUWpVJuEnjgPlUvoVr6xQ8w5fwLlrgCuA6u51HzF6mI4RnktgXw82oJLtfiYhubFW7J9D9
cRyhTekg28S29qy0lW9RBU7JOAn0hYGbYWDDM8bl5T7wUy0BgaaW7uAlx5tl6Qh74AyTKaDjIKPs
kmav4PAX6bpHk9SCjNHMqL/mdW2/NH27O5CDfa/MRO/zMhs8PARgtp4bzxSYZF+YngR3pBlLeK8N
CxZiFVYfZrpwpL0YWMi1muzzTNraHMothN1GqWKkcaviKH9jt9BD0K1QKu5CmfFQ6SOyxwHDR9Yu
UYI+lHkop7W7aLKCkbMpKlA7YFXnKKKiFVbGXp9N4AcOBaaoXmC+iRyz7qQ7k4H1r9sc9fBJn2Vf
CORq6IwDpIB7W9hxeGa2oHI1vovBeN7XoEOjr1vwbfFWDLSfm4QLzW83ReTX2J+Hr2Jap/PaxiLv
FRwjuqDfEsSvHTQPFt+WztMnpHV4BBoNxApp+o9xq6Os3IRLjLbVCUUg6rVt85eMNXS/SnEPfp1i
i9U17oQsRefN8R800hBQX6v2cyyH72j4uq+4LdCvWLyCQyJbOJiA/nhdqljksSPQkghoioVIHkbf
p5fWG/ltBcD+NW6gg5Zcj54HJC/qhLI8uls0DXClnnfgwNA/DBT3megVyGiizR5PRbs1Y5cwEM/p
dfDdHZXnj2G2NmXzAnmMtbDBWn8GZW8FZSZYi15iaCAB2BNc6iDe79BORZwEAeaj34YrBoC3hr7a
2vm3LVS1srnupkdvRe9db1P3FRXkQwRM60PvDBrhbAyyGY19PGG/A42vj561tfUTWET7OZ5C+lFX
fHsmoEDny6QbSGPIKgXQuqYdcuzckaB9gpUhOdcKxfZk2j2piQNjL4wpXdIeyJHOKcT1VbLbYQff
FC7Juhf0PCsSZ2ogbMi8HXknKxUKFNT7FB5nu+mCDDFLZd0CFnYwQ1FmH+i3ZY4fq6CLAdP44BJ5
W4e6RVw6CHoke2iBekYC7IyBVcA+ZxhoQQn8aV1WWF8OpH/rygFFLmQG2I0v5uUD9Vh8bhFDkkXW
X6tx2JOwxXBEjMI1cUO5tQfQXVGsi05N6LPv7AEz1iLhZlaJZKOJEghokeee0hFjeCAdiYl740GE
rvzOlXMPZQcmD+fkbRx8zrOAgTkXtm2Yi5pshZauOmLIr11vIC6kCj8cAjyIbc7RD37pXHccJzqn
jW8OvqDN0YwBKJZqFJ+or3NZL5cFAfd+XUMMiU+3M+gCdm0uA5KfRU7QghvHL5uFqEq4muAGqO3S
p14EM5mV4m3VXeNgBhFL8AMjs6VxTaePkHc/1j2Gt1y8IRwvtf88qyiv22pNfd/vlhQjY7I59NVa
LUhDNu7uB0li8F8IAC+ok8+g+DbMjSNKUVeiC9Voj6TLAL5JqneshMzuQMsvlUPKjWG9UYjzhoGR
EuMcZATHU4agG1qygHABjrG7MvyJ05kLNW9vYI0x6VMV1vEPOap5OdsJXdQ9poA5yx7MRe2yfRhQ
BxoOFvzqkqXSnxYTVVkFlnErlipdI2h2deGb9nc1QvW/B9EYo2PtrQJeta3BeV29rKvWoqL8xas1
FPyXV7fP7CaCiV2qJ+puM1MtLl3Ba0nGOWIgi7UPDscomh1N0sH96rYeS5mGZFRZKVASxzUIhmr7
YxvFXRiUN1j6L0Y1h3lRt4PF5JDnmbIoof6SKtoigV4fyz5EpxuUAxhgPoWtGxJ0Nb7CDRCa9mA3
txYvLVqjJ7eLk69qk4ed8JAENUB5xpKlO4TFUAFizANuoPeqZW+2iw/1WjeZElF9IH392Pfe80gn
RCx9t8TtbQCrHqBiYv+Eoc0T17JMnV+dW2e+g4YBflipplsbiwIFElpstQ814LFp041MJhkdTrS+
tTcOAScnA3rb/TRI1AhI5IkEc6HetlcvhqhF1LMOs23A5gpjmFvOolu+VX4P1yNgvSSv/LXDoRyX
t7wZ2LmmwP4i0OlEBaCnJHigAfTLOUce3fmfXC2eoGoTHOAEHLxIiAKD2sHuZhDDHyfr1TdziAma
qkVsARNYf+3arpKwWYk9loHSp6e0oaFAC19B9e4G4En9CcC23X74mvTi41bW5TeLqS6ZIVl16n5x
qDUSPfnRDMVzs06onQWe+IbDcCt8KCp8r72u2sHjs3a6RKbi41dMANUmgyhv491sXQS0IgEBch0P
3lDjAUjqKy8dYQXMkr4loCLDY0t3oBGsHwcHJX7lXfx4egGEn9qh9o9RM2iQgJTKcMrh2mn8rDrI
zM4l5wWZ6u4VyU9cSLK8IEXUhRuAMs6WP3LPA2YXkeGu8dytmiW9sGVrwoPcx5kkgvZeUrY45pJR
Tu2HQSIJX9fIF/kULOQT4FvsuEAsEeZ5FauPsi2H25qC+A7zbzIAqJH1o+Tmen8q+IIBNrxWqzEV
lbKGj490drZEhIrEOSDOC5HTy+lEFFzhEXCQbboGmEQyuKo/Ri37NAYYlryZdAl7ejG20UdSlX8A
cJ7vS77yc9mBsJQ2Mwn6wpdyMnmHgh51EpfAccnyGhOIm6wIho88nKZChmN3gmwGxTtqZAF4pr7f
Gz4/cgMrpHrpaeFogH0eDN+2tp5OrPHU5xLxHh1FDwpnetLQE3QdASxNNI0PBG4fD003nvtm2ADt
9oD069Fp8Ekb295XEjNyC8g52Agz3Fknpz+jrbwf+ORDg2mH+x7YPDZrZvsZ8XE9e6iRji1OrMTb
pKyx20d5G5RzAB9tgebChA7Zg5FSpANIqmehfEAKzQACdTtv1XkXU1fMGEU/lRRvOYE1G7S7N84+
GkDfL2DY10UXl30+KCS+ftMi6YidSXu4cx/AjccBaBvwsANbZTBe3nUGpb3/S92ZLEmqZFv2izSF
VoEpGNZ633tMEA/3CHpQeoWvf8sy80lV1qBKalIiNbiTuHH9umGgnLPP2vv43KDZcrZ5w+0su3H2
mTehWyiPgZCoK0ic1ErHJi5ybYapzeYwkc/yxiX99FPn2/Tcdfqr0+0YizRxHyebYOSyWdMXveSY
7KbiqWp0dWNvjX4qqroww0CRkdRDWBwGXds/7JypCNHHhTujvN9uM//WyFF2Fx3M54okxf2Up+nf
QW4ZWW6t+hK8+8KsnfWNGKbvGQH0ManFbek1F9BSKrBgLCkGiUDMnhwO6b3BIGRXsXfr6OPEjUo5
GrDPGCDJtqNGNnfaLN5Ybr4tiKawoMXoroeKd+mdxcbAtxF7Tjh3pdoRX80Wp8aH1PdR4fnU+Qe7
2zQuxsxAugjM2KzKP6Q4m3HuyuzkDMvLumnjqGQvH3MRrAdr3IKfJWm7dytQgjSEJjm0lRuAAkkb
RQLRVCkP6FRQFl683pa/hUz1o1cuRpQmIn9lquDus7nl+2jbMfKzykQetWS45VP/FCR+xxE4On97
1kMAIXcETQ6uwwI/sZwoj/xdTany5m6zYrEJkLSvKh1lQescsnnOd6OS1wHDWL52ci5DE1/pRzbb
22EOdLuza2eJcLnWtx4OkZvS7MunteqerVlmh2mUBaELhYylzZZLEh7qX41dF/d828uTLzv7ZRkK
1jAIy59fZ4Y4TmS0lvDuet/N467PEcCYQoXkxtKg102iK17rG52HbbXfspxol3tVwVTNbj7uZF71
9H80yjunyGg2WtsKwnp1er0r7Hn4NhgaGZHoE3m3qE6j0yihfmuyat4bK8jveEU16PJZ/b12ltUz
zgysJzW3TroLamXWu6bQEFyTq4rTNCOZMspLY3ddxj3+zpbR25zcV+jDcWJRK7nmIE5BKUkg9/w8
/5wtFdhsSUwXES7MTurdUjnlvtKdfFSlXnmgvA4V0rNucz53fVrY+HqRqZiA0Vr8uWXjT4dmNdNX
XlNily/kLNRskcPC2nVvTDTWJ3Nwmp0hAt5VtT++Fu1S4mWaxK1LUua+kJNrhV0++XvbuoL+NdGs
xEb8Xq2VDtkb2ZaN6nmj1EJw90Isu1v12972hzUy1bqE1sJqTBo0kh2SFta+oo7yN5d2I2Fa2qjJ
fB646FFZC+8eLdmJvWIecUQH+dGBCw0dN2NobWDn4gn2dlNfv2u/yL9xbnh5tLYIZNmiSCqaPaK3
3W071UmVPlht0O4l2ybNrpiPDOgQGFnXSYmYTkfUGrnTFEQRXTWq6Bzk+1xUfsSSzPlD9c10K3PH
OFdbrQ8ICiKyaJ92gSjLI+Gl2WlrSnq41EPgmhP/EQpqixxvzrHKZdktHL23qzAevA+ZAZjoy+Eq
ofrthzfLgGs/fVNXmZiVZftRkLdlMullQ5razDvaS/dvkWFlbnLp7sgYHI8wF9yEcvK/WIa9cmRP
b8XieXHjZyRmLNwJhyqxRx46/4WYFKRYv/60a8/cr6uusXPLHwZZuFVp80IdYCPHyOOEdEcgYSJ7
cdzmOmZihV3vt9PHNKT0kwyFL5VFWbyNvHCY7hUvma0DpqkVqlld2fVfNoqS613RxA4kL5yGwqDo
cPXS0pqYzR72w45KjOIR5U4/nfS2Fa8VMsm268w6pc2U3dEck/VhnaBawpXU/Y4PUQyxoxCoYzNz
GX5sqq+SaC6b5jQltfqlx6FGxoGEIaNqNG7nvN8Kytd6ycDO5w3P0wYRodkqHFM7fdTONJzGYfCo
Eqc0uc9x9Uek+qyPLsLPycC69KbKiQ9pbcu4xTRk+RgyAJBh3aWWsZMpTf7fokj99BhMvpseFp88
E7LSE9JhULSciKyG5TLZdnYZ2W76Uy1DgPDUlfbJ5z5i26rc6pDtJStvJe3/NYx0fcUsiKOR1VBn
MzGvs+oROjoXfClhJwrjYwSIS+Kxq9KvtqwR0dvUum8cz3jM7Br7+BiUpI7IMt2NqdqeAklyI9mK
XP/QVJnksRgGK6yDyuOAHZjC2zluMzaQTNlRc4t+yD7JvktnUbHFZDxk8P+Vedn36plo0fjeCwzs
hREOtuTVbaWT4EyEKM4Loc9LT/oNhYDbHax1sXBllsFr41wzcjxhu5+NqfyHbKxJklOZcs5zuzmX
pBJ0RFnt/bbrBpG2TrFLimKlnZ8JNFk4YcqwypzpYnW9dTRSRq1jlTKksLtM8PW08t3rBiOimFhS
nAdD8mx23vhi26V4MErw/N5KSWpfm3rEOjZ62wkef9xtXLssLEUzYSe5SkF6KOyj2YoZcdUf6Zs8
/n7LIXhKK4gAZLwquPS+mUUkS5l95FBqvedF4iuGKV593wzpgBK/Ekwty5VYdW22JBSubrBcTNVs
OD/8HQ4mVE+Uy4Ofo5wcHMeu2cvGVNeOt1LYxLxZQ/nmFdeqivS2jEU9iXfsK77HTlozzpOUxTcG
/DJK0Cot6qGZXR2AO5tfRgaDzoMzFfdGlq9x1fjzLkl9jLrJdtW4M/Xs+wEVrvAbcwuHrvYft4Dw
gDsUMHEZPLOfEVxd+3la0vxg1XVPeZ+zKGWqp/plSApkUs9xMtKKtN4RGNazPIvMAi/kjRxs9/AB
POj5KNcQlm9DpfC6bq9yA6OHWEf9OueePdPYYAlkTMG2Q49AsPVgM0RkMt6kzXlMmDKGdb1a0TBU
wfNMhleUdRYidW9yRO38jZea4rAZdgSg2szZO4YiqdWeWtJH+r2dNb75NE/W9JsM7fyx0NJbd3SG
uIKZrXtuyCq5/L7NqYeGst1YewI4FbpiZlDeJ42Fe7IbCYHtZpXFxQbMRTiafdB62J5EPeijDIQe
Q7dKufrz2iyAN4Z16AqsWxaNE8usbbmQdGF3OzghnrKqEGOJbDCm9OhTfjfMoAJGlycHgkv4XDgY
8PCO7+WyuJ91oCVuVG+hDRNZeqRU2S4Ze0iMyCG3T+6KSZN+mQfNyJOAapLam/WxmWsRb5Z96wuE
NW77JioXN7/r6GjoRHmXIHrMXhczSiFdArxljQZpP8m6HnYNn+XNS2S1LxkN7MEG4E1ac32sjS3b
b4v9U+dyRPsd2fnbtcNO6SHbT9ydduY/F76ZHPU6o9+wi+5GbeO+G/tvTxt0A6p+duWavyqK3cfC
ZiRnmPb0ZDk+s/qslB7VYN2J/LCl1bKeaXgZVbCDQupznTJFiukDUPjCuRo1wKCcHRiMvqEoOAbs
9uzjKuvBVip/zk0Sjb1keVrMnD9x/c5zTlPTiuWVxZZr+f6vP6mzFbmL/GmjeU0Do5sfHEhqjFqa
chP9sKtghyyj5EeLeQBBFVV+pRZLHWBqqmf5x3QSxZmRJDP80lYjm59YoqkfzLwr2vPq8jyGugwg
oYyVUzmcBqfTv3i27e63yDRUkPSE+vStUvRxJupMvwoeluFOMB4iNWVolHtR88BJt9lKJpd/8SRV
UHjOcZioCHaeZtfVbjaqgcmC6RbNnIcMtCQvi5LG8cksyo7Ks0l8ws3/CSIZWs7NoU5VBrh2RfPi
xvQhyPBE9HwFgV4ncn65Ze9r3knW/XUFCLO0qbDU5yQkL61u5DKAJhlo0H6tuW1xeaCMpw2U+SCN
MGE2dLOMrvvdUpCjeZg6OKa24BRNg5GlS6Z3Zy+qZkyixinuN6yEIcSidZdMvfGUSd6Q0GHZcqJJ
IDVWeV36bVbj8kI3eTsyVWEQNJXFEve9tEDkSKI42ENjfKjcCp6GZczv8oJ3X0LZ8tLmbXlyXCrc
2d+yO3PQeSQyymtf5dUfpZ2SsMuc9LFwaSnH6xQPWz6rdQ8N4Hwtk1v+JitneJ3qnBZ9sLxr68ke
do+52Ob8XjCtPiS4U+8dz0kp+dbiUhbWcifnemVcP+r3dGn2KvHJNW0dHg/S4rhU3SSesrZ82IRk
3O+ZRXei32GLN1S2erNY7TvWiMO5o7ubeUQRxpFGdA4by2M8PihDBD3jO0gO3lz7L4s9OzvhzeXL
uizyjWG3FdN0OhApnjrmVJW/Jsvy2ClC5TIqE58iJ+dwY40+DJMl83Oei/a21jTueRs8lZmHHXWF
PvP12H+i0H5V01RfurIqbyqe7M+sztgj5lY3puF8DEm6pbFDjRcNm4X/tjRAoDRonMxbb7dtFGnG
dFWvA3WRVWHuAvDsvTtX1k1h1X2UGcFgEMEj9L9SWf6fGVb+I6rk/6dwkuv6iv+Nq+Wr4AAYxq//
TDS5/kf/8rV47j8wbAGLkzMiHQNe/r99LRJfi21bnuM7po2h7xq2+G9fi2P+w0BGYq2wZUoY6Kvl
5d++Flv+AwuYCX5OeAkGOdJO/i/SSf65i+N/EM4y8B1+g4AuEx8NYyH5vxi77Doz1xT8GcTOwefo
let4chgJ3nQNIv3YtZTPBvaGuFjoLssrBeKzVTF2liTYyUxarxyGOk69oYgDXavTYNSpxHdSokpU
6Pgf62QV7/yd5d4T6XbcZGd8FuS5/E6XQoamvbKzg+cwmtOlj+30/+ics8x/Ytr/8SE9fDKmg/Mf
xtvA9gzm/T85CuF9DG8rtHmwFsgZMx8Ua8cCb7poL0kAuQyAogQT0cpiaznO+0ol1PxNE2uM8t8D
exYgEwz7cfK35UCwgfcWZFv6jDEAs2fdLDYyn5v5e8fK00ciRqzjYtnzo89q6Kss4fbmjr4jAznZ
9IyOrOXvJAHygvtSOOR1cgNQibKYNFwQi4l5nfW/paPHo65Te09Z63/p6kotiXExzf3ciTqEa2Dw
NdGRFeeAadvmwldE0qybP9rx879jCwByGtkL1x/WJe1bZDMEZfzM2KTJKrlRS5LemgKOsyH8iwO7
tNS9TXE3htWkuu+AEdFz2Urb2U1ml31zqAcfoFssPqvWcQdxHTBNH1NXgUY5UxrrpJzNnXJc71Us
8/DhVItV7MnxU9j1RDEAZieGFW3aAzlbCuStlblwBAN/TWGgPIu9tfZv/VY3J4/SOJ7JczimE9Ye
m+xm2IiV5Im2LB5WnzgFwm5zDKFG8ddXi4ibKUvu/KRgnuqk1nTjTgg21miLHf4YfWsGiXohNo6I
sc3oj2VSlg9LW+W7kliOfdfOJM0ui/4c3Zzlu6ue6x9N0fexJal5YcDi3M4zMNRa2N2bM9Xm3nYZ
+45JcZ1WbSlij+F7IRqlsc8d9zph7lX3Q7/o3iNyX5XmdGZum6oc3a9Nd5WYkNAKoz8L/GZ3asLa
u1aJ3vmTNe5zlQ9fox/s1NTfBUYfm46zRU29tBio2VgvfaN7HJVlQ3h0ege8G7mVSn84iaA7vbYE
mTHTfdaQcdiIGsEYg9qpaCrzjXXKQ+jCNx7aHDazqIz6V+mwHGagivl7hRoqGIk1f1Zb1mzIJyu1
Wu6MO8WeDoL5XH86N62xfnrluIXGBkMX5rTJ4OMujb1tJ/W+blJOgm09bY71PdpzctOnzMN5En53
PLihrNcismETImfOdGgKLHVS+H9sH7tm0UdA223szggkLpKUO6TdfTqXsdq4ZEk3FQ+LD5oldUOW
v0bOTa8m5Sw5Q7c/qcFhJUG9/cC4n5hPAtur6QYRvd4TehJhv2JOaVG8r938vlgmOKb1zfYoa2cb
6R9hPndK3G1AnnWlmhDN+FFX+RvJZC+97M8J4QAizZ7LvH6ysu5YoMMHdr3zi+Ugp/zWllDsCZNP
ahO2Xow8TGVDKGHavzRN/yWK5a2n1gw9Hvbr7qGwTE10pdc1AMIu59+Z7bxkpfVrRZy6lUK2bLYC
9Mjd0X5A9v5Zs5Th2aj1nRrFTbnCLzMUMQcmUgu1c/+nRlAMK0cQU2FSocyQ5tvAhL8aXoygiTmR
Ijuhi94meAlH+TdjTu6uKPoXZ8WGH4CiGDqGuwvTzT0a3RIy5gi5qBlZn9low9rY35VEQhYKc+3E
Zt0Tc5by2PjNi1MmLtkZLrPzrOi+7Uw0u6JOy702XWjv9d4c2w9RZP4fEcCJEmZ0LpaFIIDciQ13
bJ9Nd46tpkrfIb1oJucgspm6d1V2nmnCnOJ9acfxIM0pbqW/RSUHZlUaqFe/3JlQ5JWlDmlZ/Gms
7qmobQWYz/E+Ene0XAMUcgbGjHe967DOv8vy7KWwSbesy+YnKfn5uiPwT1nJ7ehNBF+CtxbT8uTB
PwApHq5d+7USxOCZn6sZyjQzwNmNe62NW0/14erPVOuVuJ3lMpPIoB75csmW948o82pvaC9jOjY8
jRvCt0GxSkA4Tp8sbsXIqDzZTsLJb7vejd2W4MXc7yIv0Bjouu3O4qRaivbRAluhmwPEwpG9Q537
SHP5YSl16wR8VyzWey9GP6aXfZyyGlLXfDQnoHXDL869BOBFhL4pBJx7ncwQ/IpBUMpuBqPI7wtb
3PNQP4tBEabBT0ulHMArTyYGmbBtcOT4ZA1QmNbxOLtgukMV5krdL/N8o8T0qZaGlA0SZJL0ayQb
dlm1jpIs8A6rkV82fxBYQoYDlslb1pGTZdTLp3SaLhWwHzwOvZF4c+3mxkSJLzIk7ayeH4GWeau1
AI7eGg/ZeI04s09LukDbwnkbwCqmV4VVMpJXoo+j+2qNdEi0vQxD9RTEbt/pEEwyOY5mf6Nr91Yr
YkYc9YfnK9tpBoRsA9EeYbBTE7lpUcYZB/xNIDPzpiPlijyEYR3JxDKah6Yd9cvmS3FupPME25SG
Qe2AWOF0CbeCNA5WlvzT2cBNI+qA29rg7edxj6ajfyw2xpZDC5SpKSjOOSttDrPOzHCY1ni0v8g1
KXarM9Nts0k6wurqRaga5SXHSOSlq+B+QUQc8qLZz8g0zwKp/WrI0NvX7E1PSVu/mSNGd7u230gi
0P7NmvivfjugEVf7eQEbkN6ZgAqmoySUBsW+ltdpTKFvfftm7N58BQ4xO3w7g8gfauP6KFss5Fnv
HPKASLp484T36qxdtM2lD1tafFpkc3PoZeXerRVYoG7qeyL1mSfbwy9P9g+bBkFqVhWt0AQpOFix
mUfPHN/8Lgm4/4ovXC8cVpYPNq1+OhNHm+eRacQopSPTBZbOU87P3Hiv7Vo5oXLVvBtU9fsaGhWM
13w4uIxoGPUJADXlPqLho5J8nlLrpIQ8Nh2Lmkv1nJEcWg35JRFOBJeKHNw8aM+t7pr+eYJrqHSx
02wyThONRNq8rN0E2sKQgxskOABjnkugS15f3bnwbcDwxH3lN/4M2H8wJy1ilbEvF1IECCT60Jne
lTn6RTn+LRJ1ywrWM76dAwF5n7rIn5QQfCw/NsncOiTp+GS3lYL47JwoU/mvzK8G+lzEbym8c+qR
+QqxPtRgd2rkhl9FzUzSMI5dBvzQb2akDBZxoCKmVy69rd0Ie9XNgO9ihwNti1in7ITOcso1PHRX
dDeFPy3hzMElO8AtSYWPJt4/WGCtPZpEtIJOHFLVTzvS62SoVm3Ho37GzWVF1pIo/odyD0Z/uTJG
+SSBP1wmxMWUPzFdmne5v6ijkaT81own5gGy1Vpm/Di4HxgeO3sHiiZkBR7FvyPTQ2sWr9rtoE2r
fj9NBNW6U2wORnXw2wTe0yJ6BH6F5eSDaR1zONjIosaO6zX7GE11yKrqLKrmkZh/9khxkISklBHH
hj7S62wnV7sKU0XkoaCqIMMwx87EroGwzdPfZaLcUFYckKZJ2HsHs+75xhvBmI/Jtt2aZAUToNgF
JPxJrn2X/GHN4U7U62OL4B+q3hOEERX4AywusOYoLHYuR1K2Nh/1kOfnxabu5t66mO46vNVUbMc0
9U9JnhvR3PeA1MCizLmjacv+mgGp9GnTv5VielCe9eY4/jFNmihJe04Oq4zG600p2RXM9lfcuIF3
r5mstW1WnlYxMmVxDQIKJANFhjmWpqQ1LCOIDGQ7hknE0xSVrMOWsQ2iON6gNukfsQ++FWN2NDif
yfCMXNnhbWLemXrvGGE7jrbZPmSWZk7fAoro8tUj3S6ylY5LzF6UVOObrNZbx1rQ1rcjXMe7JD+y
rt0HawqOeadfFw1/VIhDO7pATZc0HYr9PKxOOC/bZZv1JbeNP92Azp4ykqQku1jJ+GkPVDe4pC6b
DW47uKACXYd2P7jDl5qS2Ov5HeYORmPq119YzlBNiu2L3/XLX9IPZyDCMScOyWydOrRIAg6rZv7t
19WjvYKADcSDCI7MXSHdK67ipsTl96hzqWflZ4E+mPjpaXTMm9wwSErsAMD1TTMYTeR06UsDP3hQ
bq7Dkgh8dkR24eKst0U6s30d3CBFxaWGniJ5Talm4ctgP0G8nntP7kwJqTQVE5yfLDl2oHk56IsX
uxwJ5inhT1z7r2lgaKrnG4xVMULdCzT6GjOTOdht/tbb/VNV4oDLOXLZiLybhm4OHTHul1LPh6lo
s5eKMKlmNwBaMY+XQXtcAp7rEGSZPrH2PwKvHsDYpvKArr3s29kKTo07y8eOajvutddXUdKa+sRy
oQZaiFRmC5j6AGJt/wEVsd79NmMQbS7edmR5zpFNmSFnCKJ/oRlsmdpI7ovBIQtBtB2TFs2mwnPm
BMm3W0n7w3BnxoFUF4zOlUryBxop8p4b3dG8DlBSUdWsHmZI37VfEATp4hhM4U3Tpv2npMHgzMhJ
AKVY6P8ukjkXRz1zbdpy80TaYxcvSpl673a9IBd5rn5a6I4LkxBxFKbvxOVcLCcGk9MRg4u48yZJ
RJJuSqZY4A1PiCf2HuCJarHtGvmRg0ZEbikh7mtzAdYHqN03AeF9q+d3Py5n/U1rFI0bisBKXmXf
zd/WlqxnfyzVh7SkBDLYoJGNatW4kthoHWWex1xvMZujlTfJczG2PvsqhH2cMFv/WHrDmYNPphSh
LZbaP+ZGTbZeGnR+BPan/45lJu4Zy1uh5SVglOsSYy2qD6vTrT3HXS9/ksnRD5QT03Wumjl3qdhy
+hU9uGdd5pxWsLsvYylxQ5lyPI5W4LwtnTC/WpuLD6j9ZyP3nKjLbYyZqgFidTq9G237VGXlm58b
KuzG3DjoYVACD3JrxXabtbciwCfa4+ajscJNzxqPq6Yg8Me4DLqpLqR4HtMCO3/SlUtk0lOCXTSQ
yomarOyQeHb/emUC/izbPP9iM4d96t163vf1SqXssOVmm6CLiH3nVZgs4zkLzHafYj4LA3r7Ayap
7KviRIfKlyv12jZX3pEg0fKhHLziZLbucGFwrffrgl2yX1xgIlPp4+InCfnhbvvepfXyBVr7Pmju
eybRKS3UoelZjRkSvJ7/NuyCc1UNQVbSJLH6Fio3IaCg7Bne6ZmsS80g8dvJ2uLitM6ysOOGotHw
TGdXWLiDC7tIHqQxbVegU53nYe5uO0eywJY+n19bvxSykYfexNvppSQEDtK962xauHaAFq4tfYeh
SvJYi8U7DnjWLq1c2v02DNtv4YhqZzqM6tvZ1CDNRfXYkT/yWViuTdIXhT3/WE9DYtbkwM5sdWA8
kr0GHB/Hfs3xe4yyK4xolRmzSGKSaLk8906XhLATP+vUe6Icml3m9vj2LDGHrZdbf+rcLT7pHPyf
KWUUsCZLctMqpwu7NFvfy9VKX5LFY/JZut69My5+jC8yj5U9wifM2PY3q69Yv4tLnLomLc9JU+f3
hldyamt32Pe9Lt6dYCT9ncjkey91U6T+wrh3Wm95LIdlvsm8bftVmrzpZDa5j5npw3eV5npx5qvN
pV23X7wfHCpjv2HXV+tMV6vL2PAOrfJbBdppYeJum59pUJSQ1Kw3hC00D6T2OxEzIuv1ajEIM4u9
A1cz+YvhDbxlaPCGgdSBVETzJlREHqO1B74GIDXYdESTkp8CT8l7+gy80ZXYdrXrZJG/GdaLgk4+
ZklbgIi4RBlq1lJMq08cVdFNbMgxTAi7eS0hqoQRD1e8PfX40WM7JtCY+GB8z6jfVz/ZLjhl7dh0
RXLxrPFeLfWzJHHmQHqmpsahqLByxJt+qp3nzRvmyMIsA+LmujTEV6+SA5n6wa7AKSQFOL/0bTO+
Km04EBXYcwtCbZ+3ycePYEkKSB9ez2P2hm4gV/MlEQbBFEELqAXe43oPwhDdY9+00IZ9Wn6UI1TC
vila73biudy3WQc4Wo+TuGuhrbKjhVMOn9KY8XRfE1sZ1KeXuuwJslt0L8bbtQUgCsduZWLn4u1h
iN034wtOrPI1T6rBCdcgqO47d71ue86vLaDNA2l5Dbr1RONH4+7QiPq9L19qtWGd9BxvlxXgxR6O
iPuK6sQl86712H5gDkMYBDTMrAno8J+X1D9Sr13sJW11ximjvs1NmSc7I4UDZbO9J1qFl4LoI3O2
yrumhIoGBzXfydedHpryml+a0MTesnaAADlZfOZVTUZj6WzJczlvzYGc9uHDqoX9LXJDHto+X08m
Dv7fuqyT78VS1u8pN6xn5efiLBkrQyAGrHYPfRFgxpfIsmrfVbl+8wJGb/ALnMhIHT13+GL6t5Mz
0VPm3cIMnEXL4pdfpe3XAKr3OzFRMeMiqfrjzOo7gJV8TOj1rtxYVlYEN9di24/aG/IHCEu22Dke
kR+73gOoied1onOrGJqenKDmiDLSQVHU5+kU0wPbz76ll8MiVvchw07zwvCBIqADE75pptzaLx6F
IyPtoMJsZfbFsZ/T4E12pRePlW3uN3RxTAdTpzkwlJrPpF/WFLVORtzGAMNhxTM6zWXZ/P6oJ/hJ
Yn6XA+iB8ysZS+vTEfN04Go3Zwf/LfEDuFYQGOVa/6QmPJNuzOSelYHOm6BAuXeJTzHDnJ8f1W3u
n4aWjatgQMp+HdiyUe0DXEcvqmJOvWR510b1dk21LTAXMamLOpDBg9mYzglDF8f9qtz+uauqOWZy
hI8US+N6329K3OaN1N+pnVnIVVv7nGvVEjiiU+tuItTqIV1rixhMj1UsaU3mkKoqrCs6EE0Q2uSO
vHQiECfDqKZXax3FadWcSKGPivpBot1POq+Yx6eWlcIRiAPOa3kjhBVB5eHbaR6SNFVkTxhbHLQb
7YR5Tcabjql2NHPtVpQo74lxV0rlXZNE4TyJ4+lvSGC3LphbDb5RE0qTe6KNjE47OxYSCoi44ied
FEp0a9q3tqv7l0Gx7KTFv+ISQr9s521EhYNsykVslohY/gRdR3SXAwbjJR7aWjZb+2ZpNwgk/PUk
VyOy9C6F7VYyvEcTfqWpSy6znNsLDWa/t0iHeV4CYZ7ZWmuxh9Gx3UdUs/ZsK3uFd3OI6QkwuFQj
6Rs7onQgKoeau8JGksxU5z2nbZJS84t8eiGNWb73rZCHic/05i5ucxwXHdXVOtk7or6yr2TLBCv3
Fgydty4Q1kYKTfEBmd7EWdD1u6xi8oRLOw+uBQYQ8MwZ4sZ9PlkHG6Fbv01TJ+9pMczmdrVcy94l
G/t8400lel8vnDr3Tt6391AocLZ22ZTEKYi2/xxat/hGrqpo5dn5eMmvyJ1VCP9xqgDfqkE131uh
mr81NpM9pcj0yhZonokqcD7nYSLx2SNA/XkAdzxqwMZTl5oIsJAP4pYAmup+YHJ9lzitOA1ugWsj
Z3VO63b2TQe4EvYGOWtlZah7VCburDGwvnK/sJpDNa4UeZbjjnGZzvMrsthQAkOnQ5w2pR1h1nRi
+kPWPIkpO+WcSpeSmueV++NnaCSFAerSf1F3HsuNK2mbviJ0wJstHD1F+SptGGXhvcfVzwP1TLcO
RxTjn91szqIijpIAMr/8zGtW59hqH4TWap/mpqf5MkKnvs8INaErzQpbAbZ9fm8icoKofzq4Uk7C
3Bc1DMomy38zPKhWQz6hSqGl0uQJncDZaarOEm21HrJ9CiMPBmF3X3d0vyRtSJ9a+Owemhjylmkg
tO3WxH4JHYHiOUw6wyfY1SuMUis3Uie4T1obBCj5mzLyqRHXg9RjHKvTNSoW+A7fVaEkK9s/xsBo
v20F8aRb43xsRUP2pVCWga7r3QHtHIon1WiA/YqpRq5WFSRTQ33CrkY4xeL8hB7lUx2fx4fMKDMP
Jl07ApoWIW2PHCo/gAT7DOpGxw7IGIbOjrSsJrcGulrD5zOFzTwzCEXEAt5XYZYPNZcfvBajdlMz
yN+yyGzeCDLDXtWn+SDGZ2UXUtfso1ydnwNZKe3W0Mu3JKzlb4gCwnhj9PczjQvpKT83v2Fk0Jwt
wrOPYWy7l1VGZ6CzlLR3+BKz0/VZvwP0k931CGP9QMJrPSvmuJVrfmuaFB28/L6pNjSix5Oem2rr
gK1csq0qggcZ1nG2P1NhzQjgnGJNJAKpWbnLRAOKHBDW1uMaK38Jud4/E4VodlCiriityK7kGRM5
s3BFJcBZKVd+4+aewsDP5JChSKIgbl6P0yJIHbW+jrxPYpOsFC9CrUp/dAB2gJ4Z0I3ndPIpb4dD
PcPRjRdpLoCYyBnV8i414pptor8qao3/udIr/pRI51M0VCWZb6SeV5UiCK1jaGJ27NCAAeUpHNOo
0n8FuvgDXcnwxSroe9Wg0bQMeRUNmo9LycVoPbHIlVCBLpIOrQoTdTRAlWDpbJ2PTcsbOmY8k3SZ
pSIC4DJfkARAUCSZFwX5GDGfbqOIRQ2aLT8MqQTeVBAe+qZWdn1CP47yd7DD81K/d9IdPMjpNY8Z
o4wkXmCeeWyDWakLoZxX3dUrox70x1EONiVy0DaD+JlKdMalI3ZlI3sOzvVzlc6Lp8IkbkgytpMC
dqtHWB1d+Fa4D2LzLo3L4wCHjp7tXinEt3Oe78wKvxM53YyS9RCP+X08wDuJ54xXocARsc73QVcb
L5Iyp0jQ9Ki5msII8UDfxGSeui0Oo/hK2gkrVwCGnbcPgw4VqtcE0a+F8Ylig7IejV99IKNODT37
BRmo2s7xBEBW1usexCGp4E9gsAvDMrAMR0B8edWoGq7kBYlv6dMLm7YYFteg/pvydSD0reZQK505
MpVXK0paJwhnMDtWvrSayuEB4j4uINAYGX5CXKaZ3SQKCNYpfmomCIy04s/xftTRybfGIdu0hcb0
1zSzN2bb1NRpU/uVojH76XQG76N6FKktwS1O5dqibutQtJX/xuXIQ4jF2bCLGaLCoAhEySZM78Fl
qEdKUpq9tTXBbdXPMwaW3OqjkcHHnfvXuIO6Axn77M5JSyufynwjj+H5Rax0ydcHi4EhMGqKBkTh
kK6RkTSwLdMcfKnJuaRA+ZX3QQFaey3KTKrqqk54SQUztQGcbmzGszcqFvR6fRnLOlIwtLSXxbZ+
RjF+BueNAeOkNNOealH1yomuaE6pjMFLOHTfLMaGv5MipD82VUH7Jk5a8QA0f2RUJEG3RUtpRys4
F11NK5A+mhG44liE+UEUBLQKWhikXNXDMwS8et+Au/mhC11Dj48sw3I0qW1+V2U7bsdYD1/xMmp2
IwAu5rxTpG0sZswrpDp6BZKyTrWJtbNCCiYGAAbBwmQO5B3u2zlK084RyTposEyD9EjvrX/u8j5e
JIgzXfEa1cr30ygJhRe0o3zeIqIgwBGeMVjwGd/nsISZwT6CxMRAeDbUg2EOCbP+RNgIE7RJ1Ril
B0aGFe2EfF6Rk8Js1WXg34MaZNuzGJWpMykSZOBEi6mqJjnykkQ1X7TQwPCCWWTBicnD4iWd9cTv
CwJxX1X5vTRKkgbfHBEUebakAwmjuqFxLeCiFhRwE61CJEELxam2/CwddI/ubQEoSAU7kFpy7epQ
B7ZiaTxhIkeDSguD+FhTl+JMWkU+ynPMoahuo6lVuWChmWHyavyV6yQ6zak2MNqtS+VO6TiATq8I
HftRx+c4lyLmRW11F8MEfWXo1i+UEsHVk0h2uLF5PuaJTP15vGhQ+/se+LEMCa8SQEcP01OudcWz
jnbYegJMYWPa1Pqzrp2PonRGsiy8D+XiTcmjV63S6UqYoQklU+wfM2ku1iK56zd1LuRTKietS+7V
vzWhIMPbi4V9mTdoYKJOh2R4aaUnsIPR4wS89B685E85omvn0e4raT4lmqgiuQHtE6JezLRLwHH8
QSLVfMjzRD9VamK4BhwKA41qw/o1LMyPeCp6xt4IrOYTMUyoROEvHASw61ocvmRUoT7hQNkEtSo6
SZAp0BIxAmcqKukHqylCkAeQ9couo3Qpa+lnKZzRsek1bS8yM9jC6cyPU1aZG0aFWA0Y+c/wXD6m
Z7GAVkG9SHeVNaplL0GR4fnRKCB8IYKs1mbm1ZL1t0nm+SmWQxn5s+iPUlbNTjBSbIfQxjqglxTf
0TU2n5iYA081u+5+YqpziNKE9ud5bpltMBmzQzGxHhXBqFS7M2LrBwU+5VNF9QtrMNPvRzmn54Rw
QY1yVUxhaZhTvg6HxIT1ZWp/2P4Lo6VVX5ogD9YU+SGtJsHyqUfXVhzN607L0KJBLNzwewFEtmLl
DNfSUkKsIGQcpLU1wHwTCeUjvstnpAM7/V7slxkmhR3k0SwynChR4sFOESkIHKmTaf6lUqBtaGJJ
pyw3i1MXh90Rcm9xiIdQGeCPMtvHKUzaUOMzYRgSmlVp1fzNxCh87QRtimzeILJK1iCYXpFmzzOd
r1e6cbTOqkLdB5SU6NuVlVcMoILSgLYKw04DEYy0vYsHuBYlvGXHbKE/nSu1dGvQy/YsJ/m+n4vz
JrVSJpJyTZS1DPjZUAuPyoTSX4VfiiNmudTbCUpooEAWZ3qZRG6YKwRVKuteCVXEGa1UeSjKZDog
Z2w4Q2lWL8bgVUASnHPZnvQzHLUOkALUMdEpgTR5RWeoKJDpvUVLDST8kp6AwZ7psnSTOCIXoBjR
LlX7dKf37QSsP4pBMCwlM/JMaJio47ZGM+OV3iLIGDi52EslO1S66jvJKKMVlW3yPM9KezdpaPmN
k5h9l6jyVkExV9/OkMJe9UjQf6tZveQTsLIApkFVGyG256GUPtdl8Tw0mTtSR9yZU1NtxazHHUWc
Bd5xpR5ktR39Luqq3dQUwoqRPKQfKMMnev48q6SgsenSNhI39JXPsE1EDK0SsUQJA+DVqinU5geY
cnlmfm+df4dBaKwlpWrR00FnEtGNJH5ExpKRJfjD4cAUY1hbrZR1bO162MuBjBUL/IEUnSUrUn6L
AO5cWvwHq89U+i1qYIB8oFdTysvcXIB1sO16ksu2WehIg1aiu8qY60mSAAvgHOH18C1/Jtm4BFQx
Gn8XYHVOsKMRBkEKAuUd2JTVYm9hA3/8gyaq4CCk/9SLE4gWqd+yjrJL6K955xCOOJKeRfXWgFnB
ZSlASwct9fAhaVrHomj2JMbFhxHdMdNFck/7rUUhc3yNfO5ITy0+9oC9PHS2K0+p6k2VGpgZBCQ9
TMhVdYRiGahM6wVTGhyOiXDTCHiRMP4nQpQuu6jolor6vCnLF340iCmPEeEoWnfnMHAGoc6LTRTD
PSEZkS0fQErtqeALsAUw5L2JvVFgdzUovBs2JP8U7gaOa2oqKvdouovM9AzxQmo5iqRgRH0D8ctw
hNYXhq0XKU38b2Xj/xGW+6qzwD+A2nfln/yxrf/8aQ8/yv8fPAgUxKu/QmtHwwVSe/kf/rcDgSz/
C3MLUTOkf0OrgQn/24GAZOdfFgeT3QH9VmEW8B+ktqz/C+ypxa4B2s3nWwDW/xupLYv/0kB16yLa
TZKpLPju/wFSW1pAyv/dooIsqYa6GFxeuEP1AawScRShAe2lu3FvnrK1zLDD1nfts+B/eBunf/+1
j5LbPMena/AQHwHSalDjKgdYba/fd8fwxUbE8/vXf/lCtf+/P39Z8gP2GsWlSBBm/rSyNx4wcXkt
9oUv/gz+qsdbK/xTrfu/S1wc3oFmWzvLjbivwz45tcYEHiCgAo+7GvFPA1yhm1n1uE0HYT3JTbPp
pui8Hhpx9FNk3EGsVBizdSO0dSR3nCRdinStMdzqnEQU3YoJ8iHT1lNV62SylUSbtEx9xJ1Nb1Bl
NG/kuPS6AQpjgLTQysKi0zV01fB02CrEiQblrjAMVxIR49WU6PNDF4GJI7bF3wEmumOUmgpIqctc
ISLQE7gXUDxd+QlrHpRY0hL7STqKOYBeyqUHiuc1rJrSW5gHQHghm+ZmYtpJL1QbXcSsLBiz9CSm
4i9UqvGQIxGJH+UIdQ0T7TQgPFivBYMEr7kIqj9i0RHG6aGsEEUNKFblAqC3qewalBFXqATlHl4X
yfHckGrjNk4NnKCFMw7Cqm1NdCraRjr0oQ5gqp5UNCaiYYdOcLlPGLDbwjlQnGBqLJagT9VmmfnL
SJCZ09QUU2ikylH0EoJNIhr5KlK0aoer5+DI52ECWouOTxbTdi8Ubrf0LCkbENjfMynqD7FMkoRV
erX6eictu/2zk7YYXXzYquCxja6b2KrqIVrrLswbZSW7iXjDwOLdF+Kzv78E/w9/30ATBbFm/j56
ujRp9EPceeMJdpgtdFurd+OHMN+hamUDDQbBEbgSvIJom6Mt2j98/YgXfib/PSvLGfrwG2Kh68/1
WCHvLu0FntPY1fN6mZeMjQnvaafr90O0Ma1NAKTt6zWvvdYLiol1zrWwEFJlnynDQDukl512SmKn
7nhyXa5k5glj7wmh1NxwhpCvRYQLwgfcmQr8JIoJZhV5VtA8MUry5sZywyo+0Hz38sw65oXCSCpO
3MQwvmsqimphPRfbelYdukyRBoZMeg2XigBIIdguUH1G8X0Qyh0R5ca7+aePxn8/x8V9b7Stnqp5
M++pAtCPuWc4ZquugWxs1Oy03528/vobyFduEeniFtGBzekhQin7uEfv9IneFraTMjPdb8ZgN7qv
gLalfMIE1dgOqRMhxgA6+NkQTm23rrPHMjl9/Uuu7IZ3H7YPG7BpyZ/nSZj2KpLdbjdgLLbXy5/A
NTxr2Hy9hnrtaS8uHUlavCMwoNkrNmXq7g4G+h6BFVc7Jod+g8SQHTnZBkMzh5LcC2yKcX90jiDc
VtZ95T9iC7WZvMfaMY9bevl2t7t100pLMPkkCEgXl5WJVFcXN/w0CekikcLYpjrPAB6jdFv8RQZ2
1jFL2DKwQdbMrn5+/UauZRHvP+fDax8xnEWQK573QQT13Ea3s8F0tcA5WGuOxTNEh3mnm/H/zDfs
P/v63RP1w3JNJ2TtQqzdm6tgHTqSDTTOsYimyjbwb73LawFVughmaGelIez7ea+vzqvuJd/QznOY
h67Pj+gkrPut6ZcOGrmHswfm2LnxKpcv9dkXvIxnGgm8qLfzHpFsWFc/aGogR1SbPrraLfJkVKCG
9oT+tBLRe4ayDUWEGlyVb+xu69oWuohuCBUXOeD9eZ8bSHR06Qvi9Eea776JqSWq4k5sbHqUFYq3
JkBTt0oR5UQlXTNWVQjwLIZiF/FdtGEjxvBfawWLDw0x+WSX5N8tetmmNcFWQG8GuX7MOEl90e7H
l7bufaVvvarZmHCb431TPED6kI0ehsaumhWnK7ZC+dKID128OKvdR9prPHUwSV7oVtiieS/zC/Hj
QJRcRIwneJCmO2WgsAPkNEW/jCl1mvPmPH/rzFWayDss+E5xEWzRYN6FAn4MRkuBuGpn0zVpbyl4
kKjtZmwGrJINX4o2QXNocx3ljd4ehwfSnWE8AAd0yrO40YqF4qBO4FofEdt4ba3ubey55tBC9JRW
g0od/gql7lCV8w2/oGthV7xIKSwzSttuJuyaq2inybZ4SHfSOtl1kZOfpHXrzT/MX+J+fNZfkeZ4
lPfNjYB/Lc4s/vYfL/qom/oOJ24OvHCS6fYMNjKMdr3Bw1J/KeTAaQLI99vlTU3VQVTeRvn+6wOi
XQnx4sWxRHeBrmpWz/sx7Q4A5/E8Vz1r0ULvwmFVm/0JtMXGov2q9i85+ANLoCdu0sA1kdp4Cprq
W2M9zOMur5u3EBsxOnbeaDzRzre7+OyLUuXDSscKewLmsapEL80A3tVsSICgo9qvyioBCAwrAx6O
GWABM8QHYu42rhK7Bosl0Sg2kuMc7KXzNqhr+5x8r8e9qCOKC/bsEYl8OyvWICc9MGP7TiZhRVQE
gvvXr+ja13mvlj7ER5FRldm3xJCuKcBaAlCEIgqlbciRgsF+PvveIvFO1LD0rUkDx9Ag4CwO99m/
ad1XTZauxBDxIh84D1lUo/Q378EQOhnmiAP+ocKNx3tvm3wSIsVlZ3x4vIT7FxxkJe+juhLfxjic
1zUoe1hDyD/EtdUzQzxrOPOAnqpjxKqMUJG2Kb5BPC2w3UgFjaCilgIaLol86ayDZzx3PSrE+PqU
AWNiWHqZ0/RoP8yWDmKvlZoHmSEyWwhli18J0p7Djce5EvDFi2xixgvGbAPeFQnL1CNPB654Rn1h
/HVjN1xb4CInGM20y9WaAzNth6Plg7z3BEdwauKD5P0Vfkd+uM1vXV//bDX952oWL64vaGmSirT2
tA+DVSed30xV98TsntrrTLcLqUsLBFzr0qxV610R38Gn/foxrz3lxbWF74RUphOZT5WvcprtDHUK
4a4eb+XSyvIEn+26i2Qape/FxwMXoMyr3kTP/P6r2QzuRrL1Fz/bGrvYB1xuj565zu0TfU1Hdn9J
TruiDf0z+cmt/fvrB31vzfzfP0SzLg6X3petJZ6NCeG9gzr8mgpfKtZwmKK37KW57yNfXwGdAo5k
2vVK2IJjjp7igyCuavoQqDdA6Pybfe+DdcPoatvd6DHKn395zbo4lX1QB0KvxtMeaD0zyLfEfGnh
f839asZSHveRYHQsWJvHalhp5Xbu3ChEeGqyIWkJ500zulqzZaA0GYeI9rd2K1lcvs9nr+vifFUB
yOku5rvNPvFA+NH5vZe58qtO1nbji1x79IsTJlv6vCjNsOn3jdfuh4fmABiIUcoudvO1ddC/Vad4
jXip09nyCt1FV7EDX7pR8yzupp8+4UUaQANRzAH6c8DTVytctdgtFDgpoJwKZ0SXV3MucCe5Crq2
SFqF5a90jeUCNFFm3urGBIFe3avRd8vQ3Fq3m59mhS7WvruRKyjX3s7y7x/CtYZoZzbiZbk/n0XQ
RIf2rtVanEh2MAv7/hl4DAhipcaOAF+TfhusdExcJhBHKzE6In6ArjYOCmP+gmmVpmwb3RUg4zKB
36T9AW7BkCUQiU5NfgwxNsK/7EYsu3LiNesi08iNHH7E8sNrH+K8h6yljRaWzezUnl1imAsoxkFw
y23tzAk2IOM2urtCwtqBDrelNrBBFq1u7LFrH/kisPZSo02ohZP24BBd6+PKML9ncHqN+0hcT4Po
dMqxLiw7R5mrBNg6gZlsIrRqEVNHHcAeWz+I3+aO24VppgYThvErY3Iqit6dlfsBhXGRsc2NcPzu
bP7ZsbuIx4lgLKCy5diReyBW6EuUyeiR/6yODHix8lNcWor5UTSewTNUFuZa269f1YWp+f+5g/Ao
/eeGy8q0guYgSPsic7s1k2X0srdy5gI/shiZoTu2At7pnF+a1+SormNUTW2ALRn9mjtsEqd1Nvvx
N2kXtN74OHn6Y3af/T0fdeFUxq9KI3nmjR12JVHTzItQnimANM8mv9RcKe7sQmzyGZg5ypbffJe4
+Tb0NPfrt3Kla6Vduo6rdGbjvGOt6IgIy1Zz06dyj0Y+qYDgZE8gGlaqDRX0lGyCp9IRdpZr3Fh7
eZxP9oJ5EYLREEgRMGNpfavt6QS4oxev54NxI9u80n7QzIv4CygX1VqIRHsLQO/T+Aj35lX4o9P8
OCQCXZav3+DVr3URZyPmMQY4C2npckBvzAwMPF4gjR5GQACevIEm0e7IRXWAat7XaypLrPns1V0E
T72XIRdlgbzXMCpk1Pptwu4i86dV91cuHUXyKEW9UbOrRyhj1vcfVBvmXf3MoceUBxm2F7BCxxJi
PoltZI971XAaExWDp69/34XSz3/OmnkRI7O5Cw1N4p2M3Sr0J9Q8Mq9v/NhA0YqUCFRlJdj642w+
Jyveiza+0q0pneFPgDjZetgU4Hub+0K/EyDQHPNbXYz3VtBn7+0iXMKaG5tI5neF/QrrH3W8l4l6
jxok3U6jH3kX4eW1Qz2rwbQl+fn123hvM3626kXQwyVbRDfuLO2H7YTCRCH7DQKAQfBt6DwG0Vx0
v7r+FGn5ptB32ONARzh1G2S/h8wvbiRiy6jx0y1zEf5CUNvCqPPoBdKHcMiqLZLskuUzOirdEqUB
ql1vEv7KJ9HXEkeASh24nY3jvSp59SHufav/K8on0GC6ClLiHoXYKtuWJWxfykQMNWxovAGESpw5
vt94c1eyNOMiErbCGTmfJTrBRXsu3e6HtJ6+I3KcH+MbR+lKELp025UHEQ45WP29eS+5T6Ot3kHT
vRnKr3QLNeMixhmAPoN6iXHxRkWccF/s0tXo9xsMGw8RCFG/tWnaEV8300nyYItkNzadsoSfTzbd
pUP1uQbwbSWsPIFqOEYvGEA+lC7OpatpDUJnM/vZj/Qk7ZBAeBEO+qlYRc+j079Y27MdHtn97uAH
B9p3m+Lx5s22xKfPftRFrGxza7IQhyQkPwqIGdNaOeoOTVoutm+iW2y4Zu5uZZhXpsCacREkMdIu
xGKJ/yiGCKADHeuhfEE2R/LiQ+R+vUOvRTrjItKZkirg5sIivZt42dbyZa9YpX7p5665ml3d1e3w
Ydq0O9Wt9ohvHtqVuNNO0+ot9crnr3/E1Se9CGtyUOt9DQNmr/g4PHl/jBX8g5WwuZUlXEvbjIsI
NshilzZLPEcU1F6eq1nprvkUOaUtuqhokv0K/u/wxpm8FjCNi1gVpIiOWsuXC88/SxMu6YEWTuQ0
rtw65PoKFsHbVngMV+B5wAKHB2FeWTe+6PtQ5JM9ql/EnFBI8qFc8sTgpfgxPMyb4e+4N9b6o/ir
eAJW5c8v3WP65+tPd6VrpekX9XFwBoBdq6wmO+ZK3z49oLjF4OJB5T+zK/l3CNHc4VVty27mNt4L
upiOeeM9X7kS9IvgFFvYSVk1aye26mUOkcC7lRUpnzdeMDInAnwo79qpiU192ZKtj9ibupp9k9aH
aFdevcm87CF1GyfwYZk62hq1ORvkBEfmpNv1D9kt/DNJN5o5O0ZklK2ueOPjKlfCva7982epSjS3
8b+Pq+jl/rjvXnq730o2g4cNvqd27KmrDk6/17zA3LLHv8X+fIdp13702tWaDsQGxswKdiW3xLAO
N4FvbG5sheW0frbxLuLVnCZ1oi6HrPaBRO87r1vN69JLViLzQiziDvUxOqnfaic9hCt9ZTqR//XK
2rWPdRHEyjQKMd4jnRSt4+JwGTtn061itJTsUbBzmI7ZoSxgxfkyt/+dVR+E4jTgWkOb5kUesKn2
gA2Aus9fMCKR70fJoYMDYNSo/EEQ3Abz8MxX4++QigK4sjGybSdIr6a1Hpv1uAh32PDdxPhPd0ZT
PgHXgiaTm3WnoAUUchc8FJVnKgjO2F8/8fsI+rN3fRExEfRFaULjXXeO5kPUXUk+AyKvew68V7p0
q3Gl+qIvbZvdrZN+rW+gX8TQBWpgJCJLwh/cFHa4epH4zngUuLITcgmGPnAB+4/ENBhpZs+0y1Xl
te7z6JUrHAU2of144+GX2PLZw1+E1xI/tGJaKhbpbt4Pnr7CAvKucpANs+VN44JF3Bj31ak8xIcb
K17ZYNpFTE2EEeGgZcUyQL7PuIuF7WyflPMqbIDguEHzQ2LnQWNwEs9UQencOO/XEv73cdGHMCQq
JYzz5TuDOvKyY7ItnI127+E15z3eOrjXWlnaRRwNu2jWpZJF5JXAAOkwo3X4K+0wl/RmvjAmhMNJ
OPabMUZOxq1xtlv3D72jZg6Ga/KLhHfGdwU9j8QVT3hNNxhkkU4fzeHUkZe3t/b8lc/+fvo/vAuj
D5ArGU1pP/8Svs1PDLboAtW/Kcd+QJVT78oMwUh72iiPw0b9Wb3e+PbXlr0IuZIllm29fPvazR6m
v7NbEtTCJdSDtXY7rrWYBii+6rc22/KHP9ne2kUcjbOWjp8B1mjm1v5zVh676j5hDpja91rncrYY
N9gtxjChaz3deMhra15EUBlhmDjFLGQ/3Vt3FOVZ44e/e7gFdgdptLWVt5qImGDYoB+i6EYT+9qi
F0FsgAK2yKiAHRvfJO3FiiC+Y65z45GWuPTZa7yIVy0+eEbd8xo1yc50Wz4ED6WfHNRH8Rvus9LL
18tc2x0XsWgcYRfrqc4BnVKDglxAzztEC7xFwc4y0ecqz9wkY3xjuWv5lnoRic4GdH1cwhHZezHg
qB4hF79Uh/gOkSCQQU/1utnPW9yi7ehvs5bX5Vb2GVm57XNI3v71I1/LMNXlXXw4iDANZvhxbJbh
r+aeDxSGyrf4FEODXCEMUf5VtuVDfQzv9Yf/xwUvAhQS+6mOkg0p7dH6ZZ2fusFmIR2PMsvW/siv
8mPUIT7h6L+Dc+lK379e9lpvUV1ugw/PGeYG7rcmO+iufywe2uUdN8/p3eBmm/mvtQ0e8xXudfKu
8JLZ1qlMqzu4+euvV79yONTl3z8s3p4RXzmnqGcZ6JoP/UNYvXSNduNwXKvr1YsYUw1W1Y4F20hf
ydt2E3mwuu2l8T/T9A9//Pghrmdv9pYcsbxxl6lXmiHqRYyBKh5MPa58e94lzpV7FRAlVljU9uiV
nbI3mEs0aZ3hTnw9vxrb1nTy8iXaaA/DsEb8HsTNzDA74kdGh/Gv8oLUX7k1fyJBMLzCQpd34X12
Y4tfe/kXkamI5wD6Ij8VAIqXPEU37pLlkH4Skt6hdx++qdB1EDgb/qyufTuXfmpgGfQQfBfPLq4p
0rT6eudcG6W+f4APy0BCy9CSXiLfr+hBPiKs4suaHW9giZ29/AkZAP1JO5h3qh08625qc6XQxjkC
n6VIOBS+wHw1vjG2uFZ6v1cyH37MbAmhWjXstMkDIMz+Ch3RSX3UG23d/aM4zV3oRX5149RcAQ9p
79OTD8sJU9SYSJVybOzIiyg8Zj/0IXf6unvCYsiBdm4jwr5F0sXLD8GNvX0thXrvWn5YNp0aVTAm
vmy3XQoN2ZbFdRQ5yTFEkHNnPfS7biXt5O/yE0olJ8FV7+tfzS58Q4xhg/l4qPua5uOstM0O9d3o
nXdqcOOoLzHykz33XuB++GVq02P7G7VshvZbivRLC+xHBm4XiyKTsfDGKu8192fLXISrDpZeEIuS
tE91IHJh0mNxKxyQQ/US49cZkSMjNg/iuNFArrdIy8Xgtc2W3kjxve4fWxmRViCWaAxghbcWIzYr
AOI2+Wlk2EXhtg3t3ZHaI9Z4bfxcMv1CbuFeAMykIKg6hz+RQcogFueUf+cx79wKJ0HkKNax6S9S
HYk35AhHivKPlCEs8jGaso6DF8uwdUC8QA/H6a2On2qUrXVsbgdphSuMPXd9aSNkgQ7BKk5fk+ou
gemEEIB/Xlyg1Z42M1r/Xx/bdwTmZ6/wIiaX6OFJ3YAPtvRLheJeusJPtJfrx3Yrd6sMxz9nRp3u
Rii6ei4vonHWpXhnoNK4r4WfIxoWwugBc0EhFaOgxhvzkz6um0OqY7QNiWPTCanNFCYFZxHL/tdP
vNyjnz3wRZQV29rQijM/oVukeBLuBN+Q4eRV+Y0FrpXJykUOiOEbPiMTr7T2e3fykjXS+od23f8U
PHXzK35YqtJ0Je+wFL4FfLo2T1MuMkIVt7c6R4AfsDbay8dxJ+3ix2CLlMBW99sVXJFpl98K9VeS
3EuiUxqmGA4YUBMGeXrSpvNGCUZ8OSN/mHAFjJcGRHysQnUlmegrTIo3niOYl78nE+fwVlmXQ+dE
FG5t/aYCDo102uXQV77+vldmNurl+EOXWwT2c6JibG6wfNbkv3KOTZWnJl6BDRaKCSkSNNBpbJQx
7ErdyvNaTDb4KBdIoSFMSzstc5N6H9Fh15LF9H1bYKanzPY5NvC7dSsAUV01YWC0B+sRt99V5UfG
a2dMVZXfvn6MxXXks3363jv/EEKzXK3UDk2APcqWzUH5bqyVx/4uZgboKtmbXuwNhoNodu/51WfN
6x5BFktIOjjz8xnUPIBEFCpunNslGHxyZmSDf//wW6q8jZPuzO4ypx+1+dShzPv1U17JTd4Ljg9/
ODKLIh6xlNrjqnqWtjWTSyl/6bVNYz1rUeFltff1QkuV8NkTXNwUWUyfsB15giaCqoO+LDobXmzs
EDxapeGhGf9+vc61ePoO6frwRGiy6Lj+cTYY1twVP6rt8Bzc40L0w/w2v/RvyY0vIi/h6rMHuoik
AMmxsNN4c+oKa/l9ugmd1DXd2bHINnTgNFRGvY24yq58Ttc0SV5vpR3XYs37T/rwiD0TUXTvWLo+
KWg+gJWmKRy8GQ/5GmWgX8oPDNfO6m0Y/7VvdxFPpToaY2151MER7qh0vdkd16Gf0nlD2WcVud8R
X3BG79Z46tp6F7EUifBpOE+shw36xrKfULrb36KWXZs6vV8aH16eagqdhvQWLX5AKtMRJQI7Xo8w
V26NYpYz+cnGuKTthIiGQtdiA6bpmzL81u6rzSC6YX+jfXIt132/2j88QKQW7YB9OLM7v9iO6/ou
26Kx7sY+zbpdv2u9wh3u0M/3wi3amsMurm5ke+932WdPttzoH1bW0CVvY4WIyFf5hkS+aIPTn8+r
BM1HbT0jhSehKGqnazQ+NfpVqdegu/M9wB6h86YdOi4V4glMcqfFosAx3OhOOd049leyivez8uG3
GUNcleeBt16BWfd1h7TvN4K9wgPstZ11L7v9oV9lLvYyNxa89pkv8jaUmWuzkkTq2pd5n7wpbhsx
GDcO8+r8CEbF2jDi04/tKvqe3cprrpTS7yHvwzNO1BuJtCxZeef/xdl5LDfONM36ihAB03BbWAL0
FEWZDULSSPC+YRpX/ycVZ6HBNxBOvPsZQgS7q6ursvI5p5v7rw1LcR9zG/8xqH3PQv54Qp3CpSkQ
8YTMQ+FxOFMv96UnSIKsdIcB4U21YVZjyn72VqBGwLvqda0cvbgvZ0FGjWG/Vt/TQlmCm+K1dO8u
QTBN2Y6JH22jlYvpwkH6/fQfX5BPWcDpNS7J6SiaDHZE2bD5fUEsFTrmcwLJxIk0iZH2AMCRvMDL
Pb1IgtkcA+klZy4sxJPS6nr4HZsycL7NQ0guunDGTUV97IeruIHPR3bojpiy7ED9PAvUnYgNTvwn
zN2BJYkDB1ojH4zTdiPfzc8ffv+7l178fAKBhEHI2D3aAnWAYlDoJo7oQe/rapf/+IT7Fvrx0vNE
qiqw0e9FrY8gt4hUGXc2Q1FaPYwC2w5iktvqaPLSFYefRamsHjJAngf8Dphjtftn9Yir3IV6hZN6
0zm6BQ/0ADFp9Vau7MuF44qfpTaAbgIuxCf3WkftC4UBKA1EM5+rddCFbH8+nwTrVQBWcarAcgBL
6ilCm7na8xaCmvFn5RdaCGbzOaQkiElBOET2O5UMWx0WxX1uZIoLWC4YGl6s78QHWHCKg4/T2SEn
wBHQJt00K9ty6fnzOyGc1vgalrE7VKyGr+yh94PM7NdaKwtnAz8LLULIM/iTcvxuOo7H4K337kTw
k/I4XEJ/gBO/C7dWzPAmk6m8//5CF9LquTlJAJNwXgPrY9d3cHUB8gbd+tKDbRCcjv5TsZLMJycA
vs0irsIrw7X9PdtGZOWU//fLgiXn35tVYzKYtg0+N4DvHe1bo+cOEXyp07WDc+kBs2hQ8XqlV6MG
DwrwpA7FVTuHqN7s9HNvBjvB59zCzo/cNVhTuv475BP9/nf8iD4tyDYxS3V+B2t6qx3PtVRbsGED
6gpUVRHOfWjnC5j5PJTXSL4W3fn3JfDvJU2+R1J/PFYQpz6W7+8R6qZHbJh9vXr/X9AIE9il/PWV
OE0W8zHAKwwP7JacypuE9iRMeqe39Lh2jV+Io2Q+MZA1OnA7wODtIo/YmG/fqs+jl/oi2N81ysdg
p0Xb+ojzUwuBxllZff+OpUSfBQKYkUwdaPTIzj30XcpHEN823TuM0v/bjzKLBCyAiyo/IL9RdZTY
eNnEvA5579SVj//OxP43QyZztX4LP8dRSdm9ocoaAxaL/QB/SwP6c3iwXQJ4izudYHV0JQYsCAWA
Nf97IcC8tgYFAkePyu2Fd3k/YAA/MUIvOgc5OvKogu4gTVx52r8LImQuume0UHv48aNDjesfJGUr
idPCRpkL6jV+bBuBCxCdldag7MYBjCXfZBlIrxVN/Xfh7x8/y1xTX+Z9ow+piuPFr6BXkTHjFvv0
WpzULTQ0vnwurOoIe02lNCqTx7SL4sRWBIEZlP03bdvaMBfz1vRr37WVf/01s3wBXSZt0JN71wA6
ssLhfdFNUZgMrtW226ElY6Kw5YDLcVA2w6bbcBbyP4tAOSW//L4LFiKwNgsfcSBrVBhwg2wYIBom
JqyHHi7P2BO/f/7CJp7r6AF0auOaA44dJus77gCTFIM7BZffP3zBl4Vo4t9rvit7igMEnz5lr/Eu
otsRQOrXvr4FogXeRgapDiDza221hWLL/xBxGacAK8mNuBJhzmeytXOSVEYjeFNkogcZI71MNYvH
DJWZ3aK1Tu1SINFmJRCOKnza3rum9fD+JjXOIDq94tReAv4F5n03XfMUvOJ6//s7XZh3JHM9OeXU
QCrhkbpLdhO0j6NulBfVgQ2R1WwHZzSqK5qiqGwpp/ErfBnf4mMLV5pbu3Z7/3e+BJnL37/pGAJ0
G8IWajc6/K27dYfQlw5oVVqyXe4SHxXXDwWCsuLCW9l/ywrJXGqutLquqPc6yl3QJm9LX3XSc7WN
0aKkJvfCb+mZuoG98obvZcF/bHp1tulFANG0qkfwFJxb7yCX39Nr7SaXeC+/j7vAK3fRpvQgN0Tv
xw3N5PD/MZn177oBzNH+frt6O0gTiXGSY0JrI8D3uPMmcIMzYyrNiNk57JNq9p8yeTJXlgswkdWF
DNlWJIGCZPcPQfYy6jfx6ff3uHBYqLPNX9VdoLYtFkowAHIDXglcPS6YuWNrjdOl6DwXjcNjCg5p
jYwfyiKPkyc+8qmRu8FJerpnp6ggQaHOoB7HrB32hZ/cfyz3tcDVoVvZjQsJ61xHDhZd3QNpReAG
n/QGzFL3ZduvHIULVQrY5P29FvJATogs4+uBQgazd6+48qKDOxHxJN2iutNrj0F9UurbUFgTpukq
u75oDHbyTyWIl8DHFDnQGN6o+l0AsOUAv+geNqt+j3oHblPyrpfhSeCN7gA2JLcR0UNU823VALAM
vlS/ssoWTpi5/rxUihj3H+RZ05GGjxK93O1gYwdgai5Z+RWWkuy5zlypuEESYDO542/RVdpQFMFG
XIuNbI+8YKX9spRkzwXnZat0attRJNmdeu4k8iFEjyLa9fIm1+HO+kX0FO7z4N7WwksLkDJcaMGs
At8YY81yeaz0tWP1W/b5jwA115h3hSbDnRSpMZ9uZYZRKh4u19e6u9TsqMDDlYvAQHoiRxETXnEC
qzW3YZNTHpTKlSBgiGCDNbVWkd2Naih2JiSk/CY55uSzSjIHVn0JOMgg0sJKUAcxuuSNCKI17qnT
gSRwYwFSR2rp+FqZGQLwJ37ymGEVANoh2T5RUTcbYkMifhHvG2C8u9DCtIMtYshVozuevP4eXhbO
IWUWKbN20uWqQueYN5sHxf/s/cIHhM39/dMXNrYyaxkxAmaQEDSIw/IHT1+CcGVTL+Rzyiwowkkw
rPMQP92UH1GIB4UMqC4jXLWoWjg/5hrwSQH4rCC4bg6JJwdW/tj7ki/YyNjhib6WAiwckMr94T/u
y90I+o/ao0jYO/A8MVKj8oRN7iVO4KBap5+ylS23cIuZi7oVQMuEBo78u0nCkEr2ojaRAc7D77/w
QlcQ9Pq/v4Vehi2PVYQFhOvfUYBhM1zqkEblm8aDKmmL8rmNFd9siht0yz69NW56XVVdLYTFuaRb
1BoakTJC6ROEFxNZHLmBDrGLMcd/b0zoZuxOdmRDVqy/qC+/f+UFXSiZC7TLFK7smoxVnXm9E7it
C/jmNd7mtmbJrubAikf7YDv1P64TeZZIMcajqlJgiw7+eNT8dA9JETlxF+BoTVAsTuzy+/da2Kxz
PXbUlH2Sa1j0JIP1NCRTiXz9/ZOXgr48iwMjbamkhQj6QtftU6lFJTWC/iU4qhLcxOTRllrVLIPH
kVfsekILOZAsmcNkSd7iikp3FZFA/Pta+WsWNp48ix4BPFfhLo37FLUGu710+3z/CagP5p60Tb+P
VtLtpaU5q7ykUV2VrYifrRHSHS8CbzOWdl+DuQdGLljPXtGOK5tw6YYoz0LJQGBcjfb83YmA+BhS
8aH7MXYA6WJES155yII8hMwl2UDbCLp6V9gVnmi37v0hoZ3ugUqzoDh0MS3UbDFG74YPmZs8gubn
RbrBcKXQV/6ChcYNuMZ/xxoogCB0uH9NaDYwlwYCMQQHmEY112Kyjg/6R0pAZrcypiU934Auu0sB
UslxdG+A/2odAWM+1O+ilVNxqYg1F1w3Exxz1RFvktu0RvD9k2Gmxsc4G7xHmJUe13RTS99nFjom
bsp0SURwpq0N3UYFN4HYi0/NeU2ms3A7meur5SAAckTFAxS/NZAdn8f9mjB86aNnMYP24OAkJT5a
Uh8lcusDR0oxUX6sopV69cIGJbMwUEtqp3IjHsAEt7sE8FTRociqMcFmKsHK2bugzCNzKfQ4FQmH
+xVefm7DWK8r36LM1FAj9eHnn7KDgAtGC7uhEEhb+E7UX6JuwQ05hq/8WrduqdbxfTP6kWiA4SpN
g4C/Aegl2AoB26NmO8geVfjdpcbA3zSr5G5glVsJ5una55xtFDgK5HvN6dFux92n2nM7mE/9WQnA
9zf8j20210qzIAabYsAfND30FrctD6Idn13BlWUD8xT2ylMWFv9cIt1ECpiYA65MlD3JpdewLQ+k
DYWf4KS81hozSLeJoxL3OytB/zIS/VLbMG6rjlf+rRiMOF3TSi6MIZC5bJorVDUUddQI5EE8dWHj
xC8xaIK6qmx62YklUB2kfSyBeALOvNcnN7j75YLHU1wl9jmPCcxtUEQra3JhY82V0l1VRnpQ44/h
WGF2FONOImzOVcx1woozWhHtLGTo0izy4LYKSEaEEFepm2lCu0u+1BFqPStHwf1j/rWC7jnMjyXd
TSnsvit8h6LDNJIAcjjccSN5rYO2kCF8+7n8+Higg8ASvB80GHx2q91k9Fvp0JuYcrYhc0H54/cl
urRCZxGIg6M/zTU8pne6NzhLG/fxBH631tBays3nsmBoR3sCQie6ADDkOoUPzMyOqa9Y6nP+1j+J
zyrsZmDvFO4FMwPMERAfK4TDylpzaGkNzLKSWKiyouvvXw+ykHT0YMuuR7lVJSvtmYUA/j+iYMDp
wFK9fz1M5NcHpAOmhtbzyjZZSlrncth2CsFO5JDmaymCgzHcCkd7gPW7rQ1GZ00+EH1XhhKmfM42
v6+HBUMFMle9dlM0leX9viwOlobAsBE2JWdkmD5NjBE9GnHTJJYCapqbnkCObQ5s5ckLGjvyXRz8
seLBQuXjUsSTxw/M22WNBfaLgm6xHbrkmDmcmdzgioFvqu/TawqbK6Re9lqasjDJQ75Tzh9P1+NQ
ZymcK9CuCl9B3fMnh5gBAuRDuAks9pK6bN/tIS61MLxTXLjz1Bhwwd4nW8UpNx0wR0b0ufIb3PPz
f4SWuZw2jHQSiRIi12AWVuH02+ncOqC4ua2/Zvqy+Dvf486P79sIBBhHGdq9/KA/F6AqxWa/w1a8
BVZtwi55FziyTRwMGctQP61sl4WYORfRisXU8gkoRjstFr84CtGexmA1DPTr729uYbt/L60fX4qh
4h+VCl6cfowwjNnu1qSOSwnM97H645PTAT6wCcGFrdiJbyiCY2c80Q/JQb2s2vWneh8/YonasVue
yp3YbLLYzHz5RdyxlVe3dMGaa2jVGi7B34LgBh4Hb3ALBrYC0wdgF7/Fgzl+asDIrRXkl+oLcz0t
a6c6amR0TnqIaMGZNCuo7v/wJ4CaAUJGnesDTtnt0+APvrJal124/X9HwR/veFQ5PmD3JUmf81uN
MQ6kox+KBcSwR21+mzqrY7X38P+PDfb9tX88qa8kYapHKB66CweTFEN1R5ysxb5GmFu5ey99mVn2
0WmsF6aYoher5d1GE8EMbNO6WTm2l+6h3/e6H99AqwFrSgSsx/ANHlGc3ZvwcAvNR2FNtbEUjr+7
pD+eANoLi7qu5ndgTF/Qfk2uwxe5QcoDTEEcY/Qas4TCifmgtFqAOjOr2K8ycxay87kkNiXJ/9ND
TbgE+I0zqcfc1e0CRgSpoyZ2Y9Ur22ohYnw3In58y1YYk2wiHYRKKIZPfAvE/EHrBGAn18wUFjKs
ufpVTdQmZOK9dR44MO1uOItF8LfNIeXhCrOBLWSycptcWhRzNSwDTGiiKsKfOjyMsRU0b0DbmSoM
8LvwhXvmxud4zdt0IfH5HwFroMsZCSFgLWJLwqRp5dH8T6c7o+qMbWb9p3A+d7YmuaDJfACCdyBE
wpuSVLmZjQm8gJoh6owq13vj9wctxbu5frWPxCAUqm7aRWYyQI+bJiCcPGeB1UFLmFuw/rYkGHmW
tVEWHpmsvn8pmsiS1nbb0nE817OqmtZmatJPuz7wh3IL8KBRwNelsHkMCsL0F/zmCV7yfjx6eeCx
D4T9LvzMs12V8yvL57sg8I+oONe8BlTNdfjyw662uWJO0BCqxBqmF161I2mXjPYUwIFNmw5ddUjp
K6sDJA3EFMrnHMjUujT7rH4cxsIkPCY3wV+umHpJso0EZ2Z9DO2mq+1cqs082KDSAfPWDFcyV4HZ
sJBvxaqy8+RtQCeqEGERyANRfm3VP6xz/uNPPEt4Yl6K6zHFG+a2gS9+FVeoK3zVZE52aDbCubwW
qfGQPK48bWHXz23MY30ohKIH+6Mzww0PM9TBRt/XCe/mWXCvi95Q64XFN1ytjZXNsuAaROaK21II
NAEAKtgkY/pbvLYtKklFcRRD2BRmj62CGY3wRGQYa03XIpFdsHgNpUjtLC52ijod6/oKWxKACrAF
YEisKHYoQa0QAfk8mjDY7JhVkdLohQJEhNFQI5t0BwY08u+v7LsZ9K/lN7uraWpKJ1UawAAKKOwm
0E6ZiDPJmzRRUYm4ahh9aVvsS5RoOpG5YvQn5Q5V2fyBObgRZh9T+taVgsvCTy17KgQUtLyBcEZD
NjR54pJjB3dweEbrD0Hqpqjqx3CykJNhm2OXK/D2bqGcCjKrFp4UNHJ4uTiS0q0qzuB4sEU/4XJi
AmdriRFn5MXz2GT7nnMz3W4BymD4ODji6FKxV3XNVBtbwQjvUK60SBekSYBP/52tc7Fap1SGGTKP
WoBgcRdhU1go2N5qL4JgjVtpav47qktzHXICMHlXy4TtNCjRCYyojRAYjLDEaDa76v3L77/0wrCq
pN/LQj8O3RgLKhtk+GL31rAHN0V30q/GhXhT3oguzt7WQH9wEjSzc5Od+twLNohWsmqIZjlUhrhL
Ubx0LtwdfdRu+sjsWhQz4aPRHygcQ7SVBblwKABV9/ef2QkCARsCGwoBOS3eYcW+JcfJ5u9WROmz
alKKQXgMmZhCYq1dNBbmvaS5hFkOFMqHY8KjJFxBKN+eyYTmAmb9lGP8VGlWWB0n4TpUH13r8Oc6
MJlmjNozEUajpeWTiNlEjH59dMFkSeha8bEDYCtjZpRZOYp+8j6JlJUb+8KVRJpLohMR89CchBRR
aEEHnxw9wTuBOyFsFgS7DV90TO1DKd288PVaSWRphc6iOKjJ1ZjyeCT8+C6ZE3rKpj2tXU8XbnnS
XAmdsKJNi7u+v8dkgovbt3iQK7xhr38nV5TJYYIPB8kt28pX/Vx89ZcmM6eTAOtxt9yudbkWCvaS
fi8L/NgeTJH0Mmvvm/2s+MkLWENushc8wUr9fpsd8z0qHxy83/I/BH/K73tSFr9bWP8bf+H5//dj
W41A1gFW7i7Kkyvh9TPPnisufS/67gxILlWhCokEQ0ihKprgUSB0z5JwieXQb+LWatpiX9ahJSIK
FmcWnLTYKZtzXz4kMjh6RWrWaDsAnQhEu26F43gK4O0M6PufKOh8GrJDI+cbrUR3PqlA/0lgvCzC
gDttkQA1uGzqgZnXwFDGzXYKKKowgx1moT3A4TOLbCnAjCxPL5ygM6PRFdiPlI4uClY9Egv8AEMT
vSLfZV29H/SHGlOSEu9B02bTQosw83YUApuOmsmJbzjyLBoMTqeVb13s8XJvCvi6svaSJASSHDAn
eCPo3vNySs0se2F6ZRbqV9jqG21szXQSawvHTUqdanzic4ejqKmXWpOYWQhbhLSPDZGdIpLlhiRU
hzAHRVdjA3RO8VA5E01t2o0+kiWt8YDL8tH9fw3CbAtu51OfZJaeFo/g77oVIS+Rnpljm79H43Ck
Y+QJuttV8D2lBb+hVDcwKSC2ya6KGxgpEexCJiYFHJRIXIBZXwKVLgF/XEzgOcDiSnxJUzcX/ST8
U7adReAAxGvEiBIN0bcw1B4zrqTHKEdX8fRcD8prq0kHvdETt1E7JbfVXEk++lys37uyzmHLUoMQ
Uegj3iDctAB14sbCCkFX9LgQRI+8blUDb5EZfaPiX/aiYjPSG7KE4IUJebvQYXHNNc+R0oTPclk8
JfkrzWi/k1PZFUbZKvtU22SEvQotyzalJLfPUQRPap0UX1NZu9PQwl/STuhDEB2H7rFRjhGQ9ABM
w42awYmi7jdgCSCjV4voFDVmGui2FLqpYCaBz4ociIgciEVN79Ch8ZoIwNZzWjPMaP0JiCHGJwlz
uNE2Cb082dDKH5tji1Q4SgNT6iorgN3TaMAzLxoMnlrwpsXSjRCHFSvn3BE+1TTekQ6Ee7MjZxiL
Z2SDiygM4DTu0o+7qIWkBbjlxkQBW7VB8pXMIL3x0x6MjXyASrLhrUYwAo5tM77eBzANydFHgRXa
SZuiiw5gI8MkR1kdhvShwrpVnxkPxFgNiueDrHW7svnM688Re440gIqIb9WIRSL1l5ZGrpaSJ7Tr
MFql4krCjVZMEsj9+Ag2n52JW7oZYY8L1bUgpym4loNYemrBH2E2cswaYd+IjV2D8uUxGj51guaE
CuqJ0yUVDjkmwsbhdUrLLb4GG9Cb5GDc096CejJ7nW4ZH8JrQvcHKdA9WogPEiMXMG2lqxYM7SYH
CpeLLE4as62coCiBzVvlBYBNBYyssDQIGlgNvJ4Soyp5k2RPUh1ZI0uuMCkdGH7zCGjaWnXK+tBP
U21qoKOrkp33uT0CUd81Tj5OT32NyW6g3nqdQy5qjOGhe8mYgpeaH/sBDF0OflJRj1J5DCsNoGG4
EI0sanNYKnIWO7ieYdoSIJ3hOgqJ06iTVcqSWaotfiS+9oTaKkSbvw9JwfWl3BVcEcK/dM+pVo+q
Cg/LaBvUKOv+OQRUyHFXyKAEiLqbxLLu1HxbbqQI7h26Ur3UFTlVIgt2efgwDMeu/qRJY4A8TJmb
1lcNv7oSo1pELQj2sTtypTTVjjdbaatwm1grAqvoDhMsXLW43nFR5uUo9od8mptNrF8DwIWtHqeh
xCkPIm3BC+BSHy94cOtsj8qTHtqwoWx2KiLbkUfpWj31FB6mGPmJsjMP8Hv2ivFiTX8AcYXv38Ga
lw0Oco3XTHd5tgF5BGO6iWLSzBTe8T/ryUuoWQFIohlgqwuQMqIhIBk9HPmV+DCAX1Tu+MkI80sp
nGJ4XhU2xQUmrB1N2NLgzE1fUY7ZtuJDyOF7AWaICrPatAsf+ybacEnmKVH2SJMahrRpKbpt7kdo
dNRt7mp9pDoSxtdkHQTgUXFbnFedJMLsPjXbrhnNFA68sCiVcaTJiIJ3K8dtKF0RyWMGnBKDZdGr
jFZCKG913K9IMcC7Qa1MWd5E/ETNoqzwhJDSfV2o8bvw0MTOKNtBhiE5xRTv7VnoLXNXUlUXU1Qw
0B5VU1BiA4vHDlticiUUKDEGeMLTIIvWpFIw6IFSVPctAEVaiCA6eflXNsEUBfMSlwosixT0BI8q
qUlLMOqSYnghbXccKdAQIFKg9MHsItsBJZeKsCsDya63O8GvJJuL7FpCzxiuNhTP1XQzGmIKOxm8
tbc4PbSwo01xLRowvLgvJk9KcZcknxKPEX1isfKQ8I/5xBklKgHUVxVbaNFiaR5hHeXK7S4kVhhh
oK7uznJ5qHq7hWUXQSEAYNQcWCz6MJ17CHwSesEMYxE0IOcVNqAsmmp3MegC5JExxKNidBTMbLdi
Z1I2AlhtdfyrlvxRQfaguMY48WenIUhgBLVEnILgBaJZ0DAEr9QlUxQdQbD15tqEj3LpS/dQYSj9
viy26EaF+UFhdgOzbVSoiVGqZlUhzr1w40M+XUtcWkhn9YEnYhiscwu60UH+RI3veQq36D8SbI4p
egN9y9FEfacr9R5ZHri9Ayr5qkDtrs4RhxJ2qZjshfhFq5A/EtxCsyqmuwS4o6Jp0I5Ce84k9WTr
0+gncO2wQ77FEcPSo6KhbiREdqIob9pr1NhxMWHRJqakiJuwzbawovL7+8tHRVcbUqcDIbSegNIo
nR6BvsJvgcoNHUcfhhemUHdWwQ4ZuvR9rZ4aaurUzyJqiWPtsq4vzLqpdzLqAApI2kSqjzXdidxD
IGXbVnwDQLpgAcbaaX+SYu6EkROzhkEoXCavnYqaEucrHPCnNSwmx0EwyGgmWrIfxlpCeCoUMDrL
ZtuJamnqE0NmJWzE8LlTUTLqiIqkim+R7CEpi0TVYfmYv089DvxElawkdyBehhmyXrokVBxGOrgw
tVY3SUaH6j+KlvxerbB/Uw+HgEowfV1OPmGaIxa4VoqKG9XDcRye0S82atKaPLwDm3ywRDAYWUnM
SN7pmQxddsG2+lQDTwwvDhxssfJQDa2DiUTwI0GTRS1A53Lgk/nouQhUlwveeJQMUG0zJt3X1TMo
p64eigCf3hczBoGCghjauWlcOQ/8Ste+mBRKVp9wp7zwgop/ExLwq2L81HJfu2I14I2hMv9I0Xaa
XO0BQnJZ1gxd3ULwXSMLmZpXxkZXb+CP1N9y/VXkb3S6EYa0zq6y8wTeikAdBnAH/N0DL4JnJVIB
U1SSyyBKnz0Go0weIBT4vnVQpeXHOq72Za+LhlRwnlJhxXLNRu0dsXT5PPkgam1HOoWF7r2tWE6A
xwPO2hSKPWRKYmDsfARnKtzWRT7sBqUFTLCgkRex0e9huG1gCvbSl8JeoSzaSHz/UuIM32BoUXfL
5k2YErtI9M9xBGO1TMxeuSUK0ndI9lFnj09AuwPKKeTvaYKLSZ8DGjjAKqWvrTaDfIt1PrJZrw64
bSEkm6gKXGBGb7Dv2xLCuWxAitMX8Zekw1I5BKNPBtRe1V55piJJw7JTQGFHtIRKoiwOOJy3EtTF
bbObktdYf+FlhIqDmuqRkWLDFz2gnkAUpHaFIlMrtzZXI5T0I/xp0O7ettMIvDNGsYxY76LdSLVN
E0jHSm12MppuYZVvp1GHXRcuA03gZGFilUKB11fxG0JLNMonthvD3Imn2JTZE0+U12rENU0otrmA
DYWKayJ/Ju1LhAyJ5hVw6pgEsGtZtqeuPYoxNXnJicT3Fr1eTSoeOOFSwXWkGR7BRN3lJDuNNMSk
gYZPAijp0OEJYsvg9p4xJG3SU9uUL0zSN2Wb3opouImoz4ziqe52YxF9gnsBZiiIcWCL9SzAuYj+
Tc7Bl8YIqmsIoqiAFfhAwRLBXkjttDogwpalLbbbFE1owWG6m2cPOq4DyDXue5dUPtXFjVCA+YbT
vx6wSkAQv6pd7dUxwm4tW4yDMlR4G/irwqwuweQQET7FrHuWhz9YhBbuY4gfZpDndhMlVpCOVlB/
KCpw49Jn2duTWu8YErl2iHeCxBsc/VQ0zhBApS4eJe2cx1auwpEcpe4S/g0jaqlS8SLJyUkPBDCd
uNRjGCepFYYYhxbqUFqi8jxFmc+08rGOoR5o843ImzkPQ2sM0WSypeq+ijxR+khCC7GVpq9ExUsy
Y4xhJHhz3aaKbRJfA4ylFs+RZGlwvuC5ncZv8nc0GBvZDGEZXrwM0rOsecgSptFNW1QyBD8eAE9q
I1/VHbnGSY1rylYeu9M0aPsQThOYN+LbwuLQ7qUUKS0MU3vF7GEDRVN4piInon/GCUws0M2k54C5
CWANDeas4zy0xeRA6jcF40tanwAoiatd7/DKPkXlFiaY4LTR1KlVXykPiJ4NTpg+2UnwpePPIowl
R+yfiloaD9ITGI9Es3TtNYQXTQMytujJ6EEGb+wxgjChvvsP56KjTrcRI31tZlIUnUAZEbwKG6o+
BJIjB3tNB6DIxE2nQsZHOatTD1TKEYu2GYXb7aQfNGTBJK1tAUZKKAh3TWoJaQdyEUI2suw2D70Q
Ny5JT+0QtwUxxbbm0VO7sAJFX2pVLNzDIc5tKW4UI/U5Gjm6AM/M+F5IiAGJqu2QfgagscYZc+q+
RIwrjbhx+9Bt5AxOkI8NgTmNmwu2mgX4Es02yUKrTCTkxrGl8ONxKFVPDtFvJ9IfPoSLU95scLSf
uIE4XOYEcFgcnwPMbzRF5jHelhS/zL9UhJ6xwLXDFlAuDRJPhLLS0DDvjE6O19WvKvF6iOtL9tZW
J4Kpj8JAf4mC9IMIkBnIvtPezphRfIL0YNSlcstbT4wOlHsG3dvlBvDeNEzXw4UNb1+jFvi3mr4X
MmRGwVbHUduXGFJLqhJ1slKO/9ytIXFbVtXuHJXD8CLX/PhCgrpFqVLriM9xpSMNo5sU1EZ9ojaj
KHUU0KEDipuviFnppPzSsNfCooEh+0D8rBn9IYxdUQc6QplOkyBiYip1KOu9Qmj+TIoS75ECX3U+
LDaQmpiwOrpSqbrU+fAVhri4EfgQBEGkujQqLpWG+alA0y880xVjVCLcXlgA+i93LkVmtsBR43tZ
POvetayP3DAQvjhNsMsu+MOGS1ofptasXqX6Az3CDqMfuPN0lpSZ2YcCZ66kb2zW3RM4lW7LJ04E
Bwc2bvB209x7s0XDjYzsqxgDfrbKgZZlCYPBClsYHVq+lTH+eoMIV9IaWWVG5D6e4GHHktKOM18T
HLkNzaBxAJVDiYHlz/CnRCJYQPJrUX4roGJX1YDBe+AN6PopL2EN+aW8C0dyk1445gDuLbhCZwmK
VbVOFj90yb6TWxOdY/lEcVjLoYViBSZZ/4+k81huG8vC8BOhCjlsicicJFHyBqWInDOefj72rHqq
x25bJHDvOX/sNIIE/aw6tfzbnB9vBm3bdPlxSLcl0ZujXaZ+Q+KldVZSX6c8G1FxabgNPW5swdFO
YNCpXnXSmMLb2MjuUGzG7DvRvRDVubRVjwpKxGolpvDLSLNNHkJ5vjW41rogVfZFUW9T3acEHqvr
1H/FgyMn2zD9FeLPcH2J+u8xW7e15LXEONUOq18JTBi1hARvaPLtGteqz5WxcpwiZ4vAwLIdg9xa
V15qflpjeso1MoV1fhmvh0bRQU3PsFrac8qjkW2zu1JHbKC3JnW5S5bUkUuyo9L4iJrYb7r4oJoH
/azVBxIzTRJokM3UjvUtjA1bthsZbwXIRHnuxq200gifQdWTt9Xo7OH7Nt0xJgj43UV6DjBVWq+F
ta2191jCgJhPN139NgjoTQGYKKmfOMzKd7WlE1PQXbU5FKUTiz+dTNxv+WWhnyv+6vGiwf4reMsr
l4RMSQPgOMrFBzhTH5/Detto9zI7ttqhIikUCXhBUijiJlFwufSWdivJWwaCtfopQzentzwvHAPQ
rneJQ93IYFXp3D9tiCTCx6PuxH9cSSEVjbP6WnYqx6w3CAAtdDcPR8aRGpfZNzOe09SBRJbZo6g2
5heXSvdW/WqNFzUvub5VyR+l555anR5nB5HGvWKN57CorjS/bpSaD5OievFmhT7Fn7H5ys9iVNfy
rsZv0Xwma1hYX1uFySZO7DQpT3XPHs9SrccFUqbB10V+uPUYPkphxTJNY5K2VQlZy2qQm31u5b5R
przxZOtZjhRfhJ1KhnRJcvihaKo3nVsyZwiTY5bZ/E2rLtGyqYpr2PPIH3XWmVLlG0ASKKrEP9NX
utiReVmyu7WujH1HmPWxPSNX2xjGYakupfLahCeNgbaCBcs9JXRGOSjyfYLPelAADzMP3Cott92t
4hwknLmTeWTZa+516Rn6v2HdFQIYr9/867JgwvhrfCpU5IhcmtgG53/8XEbsTyKdjtJ3qQaAm5u8
2mmJR3oJFSSW4Q2/vGWC5fZqAAM6MYGsl8R4rcvfIf/Um+4K3o4KQekOdW+rGd/dO3/XMv2YlXbT
tFCGxg2xqMXX11liEINF1NV1Lj6W5LQSrRG9d2W0KZRrGvol+3i0MaxXdXaA3axT2oKDKb5SblFn
2QYn1cgiBgiU039iPKRmryM7yuL9yCjLOaLbbcfzfki59weddV7iTFkFB2iIkaItt0xALMsJ7yPl
QzwL4YyjekMyO6iXhZHN8kLuuuhTrb6n/L1rbRVPEekt1rmsSpuIXh2sRNp3FTiKfkbEMJaUGvlG
emF3KmWuTT3fGMqbyVgR2tVqiyhiu2tDCGPB5fGXaReluhS5rUd+pPxoVu5o+ksW2Xm6jVt/UANI
Dq7h0bAn6hzqV3KD05y8L+G4lPeODvL6NKSXuHtoJQDuvhMmd8QzkOb/ZmuriH9MdI0Q2TpTiswc
E++zFQtb5ggzGhy7aWjF2JQ880wvIvPIJm7N7RSq976K4E/4+Ug4oc5W23Q/UxXwptSxk7a+mQZt
y/Dy0tG82UW/ob7Xw92KCDZ2jNwff5qUUY3oI2z6mhu/zfQXz47cnfENMwt2LHjyiwXiflCojzZZ
UQCXRN7lhCvQ10FJhHTbRLmTt2+ZTot8AeGxTweGRmMrdJ+radh6sisICuwqWzSCEokzTRsy16lv
nLLZVeW39VdJHjJV9ALL7yPEJs+5rJe2WPDt0x/lRKVjcGIVR6QkgvbTAbe+LKoJtr0pCI1vOUdz
CoV7T8AwSYsTjMD8M6tuvyeNfJGQAAEvvnADGSHRb3Ig69/Z/N5eKi6WOEgIPGFMC3/1/DGhBAbK
yjlqVVvpQweNzqgzngM7gn9spm67oJbUjI9IOXYqUTOZN8V8SPOrPO15EvIGjNBWsOM1jtWdxB5p
J2CvI6uPBPDBuIyzQ2ySwh4pvQnw3SpIstDozjgDiSHGMDZG81uFp4lYaWurfujgOTFjc7CY54pe
rWGjm+QOvE1C5aB73KzLzxMP/ED2a4gHcb7OSIpY/evKXzq3Tj1xsivBCTu367fEVovJP3PcZmnp
zBNMmDhclTHcrIbpRxE58921nHnDWD81mg1Q6Z3T+haNblsHzbRrXxtKQEmY/2P3DJFCqo8ItaLp
hvcBQfmH8TdkTizZlUhCfSBbG1w+5hSMux7+YHBl7uhfJd1Jv4VKcj8pfFGoukP0z+zfZ+mqvijE
EMjjtXtXFr/ib6S467ICVd7KSAqYQWgss9niw+Tfqoi2gmSL8AStNLZcyeAybAt8Dn72hOw4es+R
9iklnJRuX+wB6y35N46cvPtKch+klWZxc36VhH3XOtkchKLPwqf/qZlhtx+p+lMPn4C8VG1v0n8y
I/U9K00esvqpaVAqvwB5z0/h3Gxb/QiPvcmXg8qtKwygsF6tgA/OVMx+DiQAmFfxr6purBK5HqhR
tWnmvVZxTc/srVsj+26kH0W7PfF/EpQ42eTi8h+w9Hzk1E16SOKA6BjL1qoAfgAVlwgwFK9feroV
abAWX3O+8onfvGKQzu7gzRu4ViO8i3d4k45Oa332m/lVy+8pz1Rck8JNxut0U7d9faoV31iccPZA
SxCEUQZAenWBupFdhreLYCC/FbeN5PG8GfO/gWshOvSaa4T2EPlhXTpUwlbTfY2JPNhbzR2oePoe
osau3lX1ztcudk5OxLfuj60HVD1hefha9X0aUmtANTMpfw1DjdDwrS1vGvRM8tYJv2tryzw4xgLv
sX8WEahPHZttRYWt1K4lVc5Q/JD2YERuelnbh6KCr0jchETvvxOyJmQBU3S9uCN6KYHr329VJAB0
Xrdf1Nda2j7X/DQLcsm2mF2pyDGJ5ep90+SM9nJWX04h6uaFIsgGn1dTLzwQboF+PuCk3BOtt/hz
6dnUC7gp2R7jQDNOEjI/+dg3gSV/T/zLdTsa2zrblMIjrF/rz1IOd2H6CnPyXHqsAZF+Sz5W994d
VSD9dlZsJb+2+l4aucwlbMuvVviYY0Qhlc2XwKwmMWivmpNCiXESd0zOOgz5uBHHZ9h74mQV2m7+
aa1MVPWLOhf7WWdpU72JZyvDhroRXnTMDsWvqkgflYT3NgfLmyEycFe1ssLNsV9Kp9fro/H/653G
hooGqGWa7JiWpqr6VOk/wLmiX41GfhcAIDaCNjw57KqwuxbWnmvIBHnWigyUiLaaqHtplWbXLfFW
LitbH+qgrcM/Ma3/WaP5JciJ30AtbzI9sdUu0LPMKybVNUxX1kculk0ZeSrb7AUhEwLSjSk5Vfwj
x18yagR5H5o+Kzhlg62yler9E4aLHVH/g7IvfixBCRKFtGo8e9W5uQ9N5A7L3zAqDgqUjosLzDlQ
+S+LiiutyuDPfRPb5J55o+a2kreaXgnVog3J36zvZKiT2Rw+StVlGW86WzWnY9YQXtyP+6XnJS7A
xGTsNYDUcnKqblb3EWmil07koTWZFxnZFQjAy4ZnfZd8G8fnYg9QO1ORW7fPOVkkF58raG5nN2o4
Xuv1CKYWruOHZN4TJb1W4TblV2uacFOFO6GcbcY1QUL8JY6P3JvT4q0WM9ZB+4um3wmldQQCsGHA
J4LCcCR1PyFdVGgGiGgPsDlqn0MvzHD/RB8WgO/+MkVBOe4WkFjIKqgEJbpaJfwFPM9Wk/arDuQu
u3XGKbjuqgWYaLuusHFHbuFksE3dU+d7SVB1uwl1t8KgGdJi4o9it62WU/VjoLnKjPECuAxKMY4X
YdgJt7U/UGeBh3I0PjQz4tN1ctkvjMCqI7QNvzpRKdVZvs/KtsgIvdtScrfJqG3k1BsHj4VbbV9U
64bahRxm5ASCfJd59JmT+Y4m1ZmjfcqUITIgkNdikkEGYRQRJEUH38gvBLzuvnLjY5gCQ94uJBVR
1zX/jGgCCwi888hZrg5Ma4WbQROHM0HdShx047lI3yz9uEynDJYVoFfbqT16O8Dd5lkCODdePiSg
/e9E48Ce3BnyGFEkgg1fx+XcSPf+z/rJE30zJK4eftczAFaS3Gd9+JC4GRZ+8xA/qvozRwlmTfvx
v2L1KfEgRZXeEbB39aNtHppRYpT4yJgeGSNzD/xOmTdWYNFUFZ7zzM/LuzUe2tEV8rMItzxke5rr
TcV8LO8NqOevyK4N7unXP1X4q5l2ZrH0o1XORJvPXdRO6+xofN6zTeSsbi8qg6tdviUTbUlS4cbJ
R90cxS+TXzNk7lz8hNXbQBSqml1YASEhYY9U9bhWqdOr3J84BjtpF1XdXm3hAEkkgmIsxO06skmA
HAP1ebzLPbPTUc/fshU6HTnLgDgg7zyVjzd/EH0zq8u+YY6TdcfqD6t0zht7nkhL9gna8NR9aDwr
TlV3aT5mEZ7fVpXf5SmnQFFjuWwfCrKVhmHjud9kMoMFKpLcrkD8GBlQ+lgYfdOP7kViNantXgnm
1VVu1mVs35pHatk8D4CggBVSBLkl/OXlP1LJ6sKzPkoGTem9BWaJ0kAsLWcpNxEK2cJRjE0di458
SUrocOc5u30sixeGAU4g0fxq6Fs9g55jsYYpOltcB5XEhz75ar+rBzYai9IMed8MX1hyDwZh2erq
CdCY61c4opYoX6YP4ZkE0x8EVBptTYtt7yUcGuJ2ZlWqVhLyjpGCKvZ5z8AqyLUbDsc1OmXLR5O8
R7Frif9EKLpEfeiZ5WuHWXRnHe5xn4PAW9A/NF6Iif5qSeLXUAj7qOGmCUlIfDPB9oX6XU85Zp2Y
RnfSw8dPsubjzGHXKFEZmodFI+JK58tBqK/+zuGuSAVfhL+Ow6048QGl92FsPKvI/MaAw4G4W881
WroIAhQh9nioQ86JyNF5tevqO41PCch0FNktIpKoDcy2sBfa2VgY4vZLE16UYkIcNKHJx+7JGxIZ
DO9IH8vYS9eSGQJcW+eWanTXyCZ30dDj5BHAg5Kd+3za1JJxHGD0CUYWbEW+DtGdikm47shCILVh
3h6NlvU+u8U1iQBjrrVooEBM5DrIdMptTLbwIvdidkWYZxCT/mHWn6bk81yyjAMpCtOxrT5zi2ci
AXBhOjXj6iSZsl2aV6Fznh/1eFX7c8EfGOWf/NeMFBmjec3Vn7AmZvqRisjzJRZw+UWgZjfWvHnt
iTli2WVODlGFc1QUgfQnA9pbsQcy0iwrcshQVp1Sfwg1H8q+5ihcPyvrq4ui52/Z8/ynqGL0iDXh
qBrM3Yktq7dpjlF+FR9c2aYEnGjomxGJdmFk/zodCDWfybR5gINg00FABjHwLnaHMv7r4OEXtt3x
b1U75z+hynnVTgPUesSO1nAmiqb5XjESJe37mGc7xUSTFac7mb94ZBp7ajH3xSzdBzIJpl2pvoTZ
RUXLGIVvYjd1zmpJ56EfQ7eVn9Nm9RHnqV/shfnDksCvEbrZAz/K8JZYN1kevTnfdSs8VXgtIxAl
5dpHu0qGObxJQqCZ7mqFjj7+tpUbw67oxpZyV6Zdrdwmwmsij0za33r1pQIxJf1WU6FbNmlL42QJ
8p4RpVrc+qk/pYV8ywle3lBfFhc7jRjF4lttkUv0iwjrXMB0rp9Tx0UaW3fyn3nn5vZLn5NXwYJr
r1fNK6UR/gnlo9JW22bgDe8HjXPN+B56kBJuYGkSzGDIzM8wXnb09L1Ew26WXw1kxRUWgqR5aEJ0
7QC1WxaMxBDGYwK7D5xminaZQOxmDC2epoixV8vazdCj5K6oCISaiJm+XKutakX3yqD1RkU4Wn3L
UebKmrIVGtSMxfpYxScExJETiRa6/1Mew+QihFLDpzKQvVG12kdhUaUnmONOnUa8AOSqbdRSDgYr
Du0mNTJ7EJvRj3v1K2qNyIMJRbWwxEczRECiKiPdoRLTfXkOBa/PA1Wy8Lc5+A4mZXoTuN9D7bKM
L6yfbbq3TLwTTeKUKJLKL01XHYMGgXWjtaxTGSn0Jk4Yu43+EuGm0O7DEopVxlKmK91GkHASwoZM
wmM29wo1gU11y01h30jCZJuC4mrkcsi8qJZj9vdBSxypDBblUzPhv2Q/73ka5M92ZsUvUFPUJVwJ
nKX5JOiI760U2yDIaK2bUxvXD12XqNweYaJkFzG7uksl7TwSvAlMsDDFmkBYlB4zBgeJDlegfKgx
GZVxPG7brjiM06DCaoWwXSTzxqbfNCJfJoY52zCL0A6FTt20jSq5ccTnbVjQJIOcLg4Ez7Er20sh
W7bJKSLM9Unp/lmpuSsIGmnGoaL6SHNmCx2qptQ/mnAwqmKbRAPeuCEB3y98MTxro5dSH2Jhy1Lo
gV+Es2KSBEtSQHlKFQZnmynSkALaGxRuizk64lNKmDqX4nXRd0Lrydau0vxovo/mXqXNFHsAb1tf
91ce68jrabqAzlJXsPpUAI9U0IBJSLMkN50VcH/JeCU6lWu+JKQpWf91c7sDX2EbrXq7aF9q6iYi
tpsz9LZg7NX4pmtuR9RE51gJOBNEb8LNMrBZ5GvABmBhkMLSaprugKNBcZE/eBVlXcNiOErEj1tv
o8bcDkvsDSgQBpnFsnmLJ7cZhqDJlW2j9ircGyNTiuYQ0TPn71tzq4BTB/Pb4Nxm+O3Hz7y3CKxR
Pur2B+AsbMtTHyUnqQpyeTqs1q9qAnYXbCitvFu0zlt0Poda2Jrxl6LSdiI42M9Ii9rlUlfbVil+
ipZP5aPT1shfrDb8bMuG5pk0RESCGm+WVEeo9M/EkFYmH4oBu+HRS2Igp/F9CTM7bEza7lRbCxOU
EJWADnfsFr9rDeI+52qwfsa2Ft1BXExHkKLElbTwV6rQo/JSK0NHoWTdIxtORYoKCk2p+D+gD+Ka
m3wtRCSdHVVaRmTtkWArDgwgb0c3FF6WpsHQWPt4nmHyaI1BxTRByFdzBDZWa7Mdd5UH1FZVKpKz
EfjGHMt0n84NuFR8aTC1NcAjQ1YeBcg4ZZSCFSXiPFQfk2R5iZmdkeeesiS9hk+DogLuNDDer/hW
ClQ3uq6LrjiUg6fXT4XYadb2opqatxVpZzXpllc+Rbvo3O0pJl8+jLf6uFnNIrCQ+msMVCrbSYo3
qUKloNx7XvkGeiksWka2XnT18XNc/6lNILN3KsjJWpQ2MeMJHj3BifRbJ59mw2LWqR2arUNZ28g9
f8W/rib6L9QPGQqElkG5NJjS9c9MaNhgBN2Zi0dZZ6+SuejnBZobLCFnNX+qt6VMcfLxbNQXPX4T
WlDqnVhWzxeuTMidLPSvWudBU97RtHhDhh1NREEcK81fjZQ/s0fzPYkiX0kgKxpQuExULXvpzS19
O1QW/XUyOqyZGce6I+Fox/NY/mThVzwCd/IKm8svIoOJCbtI8eP3oBSLKLmt7q2D1+GOEC+j6hvh
NZROStjHlwznpoIK8a7N609Sj9Mu7d7M3O9z/VcrEvpJRl9DLkaXn4dSvlLO+kTg/phDrDh9bWf9
S6LLtk4+rDHZOWrcTOmD/qm8Iygabchsofk13aTPgRguVXNcYgRPqFdNuYDlLxw9bgM9RontEm9n
LFQg8HRtJsKlnkNtCT8hwuwJgZULmCffuXyRnSDhalGBiGzd9b+EZL9C4nhV3bacTuu0TcK9bJ47
LbUjjphsfBvbG6QT1PJUQKR6VgnyhujUwpZrC5LmjSLXGgxNPGb/RiE+Z0zjarufhX/DZHkc2tdE
bTxhelUVlejVCW+C4pSZoF01Zr0iR84wdpy0+TXSTS3o25UMEMZ/twoHeFPpyn9/lGMbERMDMi9t
lfWHhE2sKNZjJNFKCE6hAAL1YwqtupzNXH+qmCS/EIO8+lwXEj9m1W5X2Zakjz6sdtac83Pggs0+
DQPtFL+xe8KB8JDSXzEggJW7jQEm3+PVqJQ8cQDD10XHcgrSka87i/5qeXWKOoYgobSwMKMJXQFr
byr8FqaOghR1I0L7JPXjyKvJh6kAsLMkGOvFZL/bNuZ4mcUFd8vYJTWhqhDaZQ5xrfasnw2BKHq3
gDko3jj+xY1h3lAGNJsxLofLEIPoc+zP8FpRLC2OKOLzsACq0oM4pI091uqbgQwFg0ela5e6VPwE
n8uuxZWMcUUoA7OgB1Fg8B4Wkxd2RUQ5y2HsPBOd3uua3N9lfWTrKCDeCKReLLkAQUfapPfl6DhT
gVQbqrlp5PRcCm6OQGSoCJhTFNZFQ4BZEE1cj3kbyKOApHUGA2QQuw5CdI/G3FlmxTz08/I5C+CG
iia2jimjHq4M69ZIdI5Z8w3ENWsf7XNT7uTor7KIZ0+ki8IgqtZTZleWcZE7WOX8LIcvqNRzN0v/
NTR1zI+h5dKsm3toXhUCrNETDiIR/ObbnH2HLF9t84inD4nDLTZfev0xa6C60qsIaJg+FUGPVIUs
VvhzHB6bkzXhHQjjpjkYCyRTqOVSYCSx/BniVi0gTqMVTq4KQ8diuBJHT3kudwPEebg2FkiqsZ3a
TP3s18ad5AZDc/gyJ2OghIZTZLP0Ipo/4SDYXAtakyRvSKQoNNARZLRKbaAInoSvVoxwoKSfXVf8
RmsMSvao127bpOGbALwgDi/JDCQb6whuOi3PgtiYZV4fVL2V6BQ8fhvOIVMzJIwA0UHVg1z8XmLa
+UwFXbHyXSTmEfBiWE0ROpnZBFsO0jfOca3iwDT8svxTSh2CsSeSaJaGvTjHEmHB39X00Ad8QmDy
RCxy32V+txSBDooXDZ8VKelD/IITC7k7KsSRj5vjYXodJqShqliyraSOBqIir7BDhpoEPWM0CDrY
1PT8adLWK5srtGzOJm+ZH50h3qLS+lfUBQM0+KW+FALagme4A6JHvyjat15nvANwS/XxSCBxKnjo
xqN+9g0MUSiYVQgR02lbtp02fcrU6ZbYxAL0BoR2oaB60XTk33Wqhe8Avxxgza8u118j3yw6DilG
OkrYXnYhyBiYRLgJw8mkz8Xu2C+cpXmQ64iaRYnsYgLlJC15wNYlDZyTLHNFpV0L/illq9uP/XYQ
EYGs5p560A224llC1NKadt4nfhIu9BgDzwiPJeIba6RjbRyAII/tCPBt6hcpqgLk00U0te8zPbLl
UOEfQq1GwrPR879L2A+W5WX1KQ3Ydi0vlka0Yf03hQB51Wy9D1kL9RyzdQs4nAtdBZdRaw9zwkzG
6QlZe7PtcssMVqsBfo3VQ5mC9jELiU5UWc1RGVCamVKL2FjchTLDcNo5aaqx1UU8hZ04MpfiROk0
tOmxBVuohld90gGQDO0kGObdyBpbCk/V0h50JnrFjL3OBCw2bY6xfWYxr0CARd2jyRCnTHNQqcqZ
Nj2ou1d4yAWPhT9Nv3Jj7IvUclWTbxj+iz/vBXS3LaYgGpttwl9L6tDwj6+VNHla+o+DP1iqYp9Y
RhB2PstxPBy11xDNTl3T7Y1qpaskOwTbXY3RRoa9i8OPsOV05EFBXBMn66GONK+H3VbnGSjWfK2J
iKsm6lz0i47UG7s11LNoN+uvilKrD4dtU/6zKDEi/uE5OU1o48ofa3gI6n0wftCBxclnJEKkoGMb
nET4nMjpVnWLHxVEo6UmN1ucqR4xkaWox+HcgPgz9aKkH+F0YTytejCsmrcY0YVgeGIv3OWqDaxY
8Vri4+3lycUoc7RlS/cVEwX8UgWj8JiazNdJsrWSvTy/1ZiR5JFCNFW0zaR70hy6lLd2PgqAkc+X
fuJgTwlsGb4tbYoDVQ63mWb8iymGHZvcnw2VWnEMbyXGmwJBnpzpqMwQJujSPmEOUjFvhl107Mb7
NCV+vWD90+udgoUAU6BLoOLTBz+ofFLCCNmJ7MpQN+zII/b5CrSMNSnS5l2G2kMDpSvie6t/Ccld
1B38RcjXPhb5S66/DXh5qSHVdfioyhUPaDp9L3OFt74uP6QqvdQJIbad0l+k2XiNV5H8gmK1a2vZ
C/m+toiY66iFM7cSqFjKVvn8HKKYv6aBBbHle8LQIkbxD6Ik7uM92DHvFqdnZWR+VCE/z6Ayj0N9
icM7y0xcQQrvi+hpm/SaIXV7Lf3WAE6n+yK8Mu8nTXgZNairmQAAMZoQW4c9+waQPPv/rs/QgWvT
dBWRpK4oba1lDHqWE9NM8o1slie5WZxVK3ZLrMk3iqbQxCo9nsmkn11zQIErSRFndy75tbZ8y6bx
VcqfRn5ZzcHOWwGBi9whySqs6GRq8ycK9iqz3DFExidh3BlSY6soRr4fqueUVIXFq9SC6rMKO1Ha
Dzwf5ZMRf6Y8MOHM9cLOS/yGUkJpLezGdWQEoulJLS2FCSrT8kThjNfLrW3wVpORr5rKPisgmXsz
3M2ZclfT2Ms0xYmsGUOGX6e+JKAwReI+qI7c+mV6EszwhimiT76nybhGy7sW/WD5hdJnG9U1wZHj
m6RdU0G5dODtrVGfhFm0ddX0Kl3Ub8acoYiKDcVjmSPIqZg8LIn/kgn31URSW2Gm6qcRZqTOjg1t
mvn0/7FdyBGXShlritkIEGgNluBh4PvSZm+N0R5hnJzLh2l+ogBcle8a0kBB+jA6s8Asw8FSv5n6
+sLutNW5fUoJjsSKxNOIGUrov+Y1O/FZLw2MR1Q5SZljsTAQDy1BNi9+bEYnAc1BM6dHLa13cqTh
lZk1b6hl2cEH5OZaA/ok7poQ9CCp47c2E10VZRtOW+rjUQ5XndcX0ynqQjuCZqnWBX3+mjqKaTh5
NaGl6xrps14tPQZiIepVeHRGaw8WJ2tAkwMA9lZG5DbRCqDjWnPyCLD2rEwfHMCD9DCXrRrypdnY
LRn6b2tMjAvq9RuDdh3deT5U64qu2+y2FqtzaL7UpQ4rc191b64OPROF1AAeqL0/meGd96wUidUT
fivE8sqc2a068LbkNQJFq0YyldaCIylmbydRxwcslcUu7yYy6QB709Rp2eCjxGngbZpp2hm1fqO9
qnY6rbp23X2JfUVx1ETZ1yDFkvLaNxWjdMRC4FZ5qGyaBmta5Ymwr4o52/kzhYmtRSnP6TxgIH9g
bdtaYulHUib7q7R+z/ptYkar14sl/BTzA1qcVf3pDKUch4BezVztsEo9aNt80dBvmrsGBYTZBWIs
fY1djdi42M0AMnK5M8efSFmRoSffhpyDiQvcgRb5YG99lRxnwsBpdDO/4pWlLVTWvQqTvzJTDPMZ
3wtoyuIuXOjLWeAFH0UNS4K0SYb5HetQb/0kyp+kB2vXXQrtDKMJXbzgOxaaU9yWjoIzP9XaY75e
WjX3KU11Wzgkpbi25YeRvi0t9yGec3OfT2jaW2TjyqkloyprTcDKJ2/hVQYWqsTJn2pEeFqN4RU1
Wrcax1b4U4jOzfEP6y12mKdYaUhqPPqmi5MoJp+u6wP6huwiiV2o3oXKQRnnrYcIWtZNOxpHp1pP
ql7yi2HmQoiRhDtWaIAYEaRiTSzzYKkPhXyQmXNEv193ZMcC8G9W8pCMGWPr+vYkwCK3qrc4dRPQ
SW0LcKSqfj+em8EugLuiuxq5TcmwjUpb/W2e5VIAJGb2KqDyQC+BYik+ICrfZMqXyR4Nq4DOShgh
YFucusJpiJGk0B+bIcqzWM5lhe8IliA5w2wKGtcsCosmLOykK71pmQ51B8lxTIZ9t3wsqpPqmi1n
+z69dvNRRzgqJ+daFP7H2Zn1xo2s2favNOqdp8ngfNHnPOSsTKUGa7DlF0KSJU7Beeavv4s+1d0y
y6lsFFAowJaVTA4RjPi+vdfm0QzipzwxLmzH4eq9uvlNqaR7y6bbW7qoM7FIKi8sPy7YnlP2w7BN
PWldyWA11s4+c11y9TBwsdXNavrbvfmoGu9mkqLvsvahPz5ExbOrNQn+FSwPRaetcKmuBlEjg4i3
SoRQ1jn40xk1L2zXufPopqhSYwFsDG+d1vmD2jaXIW2ZxgYgXR6U1scupqyD0r/3o+mpCG9NN9wX
XGnhaRu6L0u9bC5q/eiogwkZlaVs5FfE5cU7ta6uMB2zyLt3/Owbhg2EADQGNuSYrSNx4cUAk1sT
cckwpquhfTFNnbJRQ5nAz7fwsairllQAugZiub0U7nChqcOwKjoDNGd6mUUSQkvAaixta6osVuv3
G8+pCSsr2P4WfbMdMwoRcYnLkwpU01cPYZkx2itfJSLOhLVi1ELc+IpmPUz8PnVlsc9f+a3ZXLga
BQTfpaZguOg3nR65KFYorCnK8LUYr5F4xtq3uMyWYwWxAF18QQ/6yeYV3/t3Bc0gEwOFW268qHw2
6pvSwjQx4Avr+uQtrTA9D5XHWrVB4a8VjzaZvWXSsAzr6tdAF5dloe2diQmRJzc5DCMrc8Jd1t6W
FJDprY1avPAphjk0kG2N1yLWmd40N4X1g5AjeEdRf+F1bz5WZTdgIxd4t27Lcil1hvw6LRGr4bNv
2YES4Gri8eu0a2/aRea0RHT1SWrmNxBIStZcJDJ60n18uWkyfLHJFLijerpjCVob1L7am04igNJw
N6wrxlrZfHHA9iDfD4PXob4QobJWxdqxmwu6LNsc4FMuk7sAbhbrpxHJGoxBluokNKDyG4zvfnyd
JCsfmTbq0HBA5TDchNDNF6y34QggAQ4U+yYZx6XeecuoWgdV9SrqfMtYWrVVcGjYQemxsjTpQtqS
FnbhbQUVoqC/MwYWaNadQ/V1VXnDuLQTyVIbSpaStO/J9MCFG+LLtrp1iXCn8O46g1RDp9jm0/KC
6luRf8f623QbJ8TVRk6VRa2cc8WCUIgNYiIno1sN1yizr1W0fBH7DC0G6mzhQ/bKvmcpgfUNH2MQ
ytWYprzHx+rK7pTJG3lLlSeL7otigwEXT/5NSFN0YBf3gG4UjoDKWfe+wD9GsWHjJ/dOs/aGLxps
FuWCYYm1NXc3pfK9qxHYRJvGXPbld/TfPgG56pfK2wfd/aBdtN4u9pVVH9540aVEg+quenEni83Q
/UiTtZs+h3Tnre+hSZPqsaabGj4FzBXdoyrXNmFU3VFQ6FRSMDUp+9qxYp+f3PQJlXNHm8Se4aVv
s7C5jpk03PbWMldpfyXax9S4c1rrWvHN7znvTulcsRZeqe0VLcpKbR6KYN+4X3UWzTn1cNl62bpy
Le/aabqlqLhpIV6PRmAGY9NSEFHSNfa1WwA9rFDbZ9I2Dvpkri0KB/Qn7fFlCes80SpWotWVayLx
GSOmqDGh1pjo13WJKkvPhl2jOHSksmrv2RnTQjOIbYsQa1lgv9KSr4X6KqNhW+ApGXJibstxBITT
hvwj8zDo3oUWlRdlXuykgmtKKlsNM4ADGSa5DKZcmH4djD8CZ+l40bWa1S6lZmufayo7EA0VNdXN
C5fmf0V5L++egpgk+FSwgLHocWhb+Fp3bcYqHlnwoTRZEA3Y8orkO/y5y0BlM53hDY6C29ZOmX6H
rQMrp0+2tXWti2uhXziUhuhEqvalZMteDUfH1BZmUZR7ww68VRSY3+hRAB6h3V0GoKRoMAbc8VYz
Xn3h7CK8XvFIZztGiU+3I2h1hri+sATeLEBZavSSOKhfA1o0gzC2lHFzg0WtM+5LPT4menUXGkh/
Ffmg+OHBQ6NhKv6VWYX6wskxo9XRznWCnRgxRkBa67NhBXKjpRGY3sIAWujlYx7ha+jWmXLpNaCj
h8Rc5pMNKaZbfNvwqLZMrvrkWLZiJrqisFB5W7rOedZfqHLTos8WHrvGQPSYBsIqWTSF+k0pvCcl
oj1Mh8qyoB4E5g+Ll3Up1xoCfbe66MONFbJcCYZ3P4oOqYuSHcMCKygzo1g3TArPdNu4zdpGzhZo
6dqzbgM/PNZodEyVasW0Ppc4cVPL3WslcKd7YYOTs9EExRR46bDVxSrCG08IuInLsFIefVGuXDoE
tQwQbtz6fCPk3ZFZrMaRHm86/Chc5CAKrRngL+2AMcpJLm2qhyVC0yZEWoQ6cKHTF0xkuq6M4ouX
pdeWDG7IT77oE+cmb45RB1ypad4Q1ETKzlGu/dhcgd74pnnBwUssdRkHmBRY5dOOdBfUso6xh9Yp
6hEWf46l0iau12+gVPOw3dhPx8R2O2w3C3X5Mn7F+LyY0Im33QLv4Bl04u+x1Po8ZDePo9ZUhYmS
z9gEyn1ef6m9xzMn8HuWN3uvX6lahRGog9SFdlDVLp+EoqI8DiKIkCSadIm0IS+emrjDImuWJiv6
gN7rW+M7tJeMMUCFcOZ7/B50y2vr1+8R1yItWxeVzthfTRhdia+dVuBmXKHzwq8k1oVcEjhO79NT
jhF1B/XMoe1Tl2CGQi5r3RotmzdDbwDYheFl+Z6KMa9fU9NDNX0XE9NJDwebbdLIQ6tfdNqF1Tz3
NcCDigdMKba1i2cRV0hYfyukWEeK+4O3WBXsGL8U6FKuprUoqD0Y1a0wh6UYWKm5nFTxJRi+pkzD
1bNeaLsQHYjqYjaPfOs56B54h2KCwpq5dHCaeXlPBEWzi0xlL40KmT0E+LFhRYuBngdbx5OfLCz/
nmQSu4R0VjCyn9UWe2W6K5pyp8X1Pg0UNEkGYa2sCn9I9gei2Av+rpc48HS6uZ/f0hOpmfo8TLUL
kqr1g0I/BF2loAiXtadDtkyVpzBTcZaHVB5+dALViNHabDMtoVJzNcHxGLXEaGgb/WsZy6mIL/ML
C/ojrJ60Sg91hzy3iEV529usWETmVfeda0V04juNWp6LQAtLUkhjUI74TBun8s4MeH0aF78b8Mav
z2mbxzJLUnUkZTK4vF4le+8m24aLl9VjtYvrhbpFN6MuvipLfIMIgRf7bnHXrJwFlfelv333l68Y
rI4qQu/1uct8aujMmIOBo4hKsX390hftDgCXioBFKb7Bz/9W2mKRuzq1V39NXXLq8CHZRRIbRh32
K53NBmxKWjOyZsm5b+jFtayndwU0/5eo+hqy4UjAtZo3RXDjanJnI2NvfJDyAy20DjqraoorNLw3
3auaP0jz0L+bw3QAGxrZuEvSL5H+qICAzNdIdfxrNQDJNWkfrkTn4N762iI+TK09Zl6jWaPlvCWH
em3fUXIfg4fB3KiwP2JYqEeFVVqzslnX0l5nnOz9p1pD7o7WCeflejQwlG/Sjnr+Fvril8krShH6
vbMR8uCrXBJbox71V/h6+U3XPOu8bHgh88Qn8UHSzRrzaxrKfQ7EQNmjNi2dftFBaGsXHqCrlKIO
pbLu0f5Kb9rUL3XezSyCm3ZHXwY3X9VdWECRmvhqQpAl+n0PKRiNnPhR5YxsNvYeWglC1UbEIN2L
aSC2DppNmIxX+C95bQaBWKiqxej1b2TpY3gyHqUwbsLo6GcIftzrBG0ltIWIule1roeLShiIVO8c
cdV4byT11P213hdrs3gZ0wN+KdrwjyUGM4vUkpxZB0oUlh+N8py4i5kntOKuNMIGrLhzJ/L2pmzS
FxHbK5eNnMY6JknZuALhA3wxHGLTXbI9Cst1DwaBHTTL0oUTvQiPnPQ+3wQ0kEnAzv1d4j1X6lXK
7oBaRG44gHnheglQLWi2drFkKtWveDGPtB50dMUp3yrutkhn0RyOEZCWnJWvTgKc/nXA6YAdLaoe
ymHfpAeBfKJEyI1AsIjwtIcRLwWzeXcg0nkqXk6jW5ri3RopcZACiEHD7m8a45gktyBuNP/CteD/
hGvWvx057xUmuxjbn/9UifCbEwSPcbpL1aWbP8T1bZ6Kldb6XxQWs0nb4ucm5yx1lkGDbabSg22f
xQuU3Tn6zibJ7j4fz/rv4f/6PBW60UQUqXDWjlZjwR6yWVdmmwyEFKLwJVHHFBkpRan5dwUlj+lk
xyGEWDBc+3o41ZzoUVXhW9okd7kctgbyq4RGf0CylkM+ko+GpiybXVdSksJ105U5BQhAVXZI5rN1
Jor393RpfQ56r5Uy9e0wZJ57N9bKlYVZIz8iDD+TLjDNtb+Zg/8Cd0cB52uUrDlzgTLjRVbnVkMn
lnPqbDXkuVVmySqTR1Mssis2Hez9oBE0LOXfh3uDzYa58r76ZxKgTl2m2ZpHySAMhgPnEbOteSzv
lS90iSZ2avY3DzBb2fRO2aUG7I0jKqQRzd6V9STu0caPz+YZVvKpBbA6ex/GhaI5esQh/Of+NX2N
34336lb5wo6m1rbOa33Uzh1JnLjrs9dcokW20FGcH7t3Utp4z9FSRMf8RRggwpflPnhrzoCDT623
p2/wAXDbQHeVJEOJSy+myB0qvESZt1EIZUADPx/lzoln2JlBdFN1WqRIpb+kTYRrCSBgCSgOiSzY
WtOPFg7K1cSXG1QvxxQtRx5fKuGrByVd8UZkZf0qaa9GFMvKW1xQBw/jC7+i+VQqGyfdBzGzrEZ1
OkcLX1F1TNqVmbgrHRFvOLkOinTr0YpkHwjvL66cL4F81bS7IGpX1O2WvFNL7ViBLdMrirVx+NSk
VxlScrgeruSVoX0vyets+o2rPObBqxart+VICzJKVm2AVlCDCu1GtAyUhky9x8K4bUn+rpMrhB99
TiBD/z0PQaiTzdDQvhncveKiOWLFfdmlr/34IEraRkFyVfaYadiJ0rGNaJqFMreXn9+CnxPqb6YR
ZwYU5l3cOu6QYwyA6YXZEf6v0j6HFVUSNO8tdggL3UjAdn+U2q1iXPMIbgv4w6ipuqBcIJXsdfzr
MRVz6R27wn5XDFwyST1Z+p5znh2VoiRVoJbQjuAW+wqYnUOALQaHXtwgg7fKJW6AwmYvzDokvtCq
iqb/sVP2tTwqzr5N9q6lIdK7l+g2JBJLWd3mw26IqpuWdoJ0afjmTb2VtP0WZhDcmqH7mnnmMnN+
VN7BQzSqYhJL6js6iuu87m/jvnvRvXZn9MNSh8LSS6Dzwr8yxu99eqHXR3sczyyWtRM7K3ua+D4M
JLWm5GJaFU2kehsooAxxX39TDP/B8LEs7b0EsjDYg/bMjuPEfGpPUO4Ph2PJ0Q2IaNRD7efWnV3G
1TWdSIwjSZa58PbTFFiMtFfI7GJAeY5t3nz+KJ1Csduz94aqjCpT06AflKqkizt66SYerDulYWGY
og5M7d7HMnltqjU10LekUNetUqHr7SibNFS5M4qnrho656aXU4uI2bTcG66nitjNIE119MIQ8CzV
Z+8ZvHVErwHmiqNjNXR2pk51aoUGM0cY/mbe5bdh+9w9KOwFaBq+dFfcPehA2/GgoI1ixCNkZ0VB
xglUnherhPGxs6NniqLQbMXC/Vq/x/ISNTun+yZJgqd6wxvta0lmCEuBV9aOCvKOYWG9oV9SqnW8
ryAWYKUm/G6LZL1OIbItiu84qEt1kdwAxXSMdVzdQkUZAx9B4oGafXomuMA69cjMXipi0IpshCJ1
CR1+o+/iPX2QSySci4DYamVx75A5ZiytPeGty2Djor5cKISe5RuL/CeLfV288hasLHcU8qbfWiVL
3JYruCxLg1LQs77GTbeVS2yN1/gnruSWxe4lmGVUuVu6jxdy2+yaQ7B2Nni4zoy7k0vI2QvMcnyv
tDLOivjmJV7/rdiqt3hgAU0TM96t4DWtrQsu86JfGCsgqcu3pwd/FW9YhxywlxdnXqTaid3yz5LL
hxEZjk3cM30LkuJoc66wrSynS2QtkOkuIQoswk3wcGYMTif3m+ncnk3nJRWAOJ6O5R2Vu/SCPISb
4RWy9zJd/81C3M+n6MPpuDXKk1IM9qXnok4v4itHIANM+1icuXMntvLWbAar1bZw+rizLzVl8lw2
ROwUUQaYXdm4sjibNXNidrBm01WquyWc95EiBu3VvGtWxvDA6wedg73pLOISqoPDsto9t9o5Mcqs
2UK3ybq28CRq+7aBXQ8SUyn2CZVeaHZQW7pVLog6Sc88CCdWb9b09x9ukk4r15CSFh21oe2oPusY
zK1zl+7Ess2azau+YeVDbOik9Pj2bVvgBYTK+PkDfKq0ZM3mIttOnMwKGkqgZQYqKS5p4ceBa9VL
jBvwtXtrNNeqjU83R85zrfW0lkMTuhWpAcE6MQMWjwTJQtfWgRU0RU3lInP9RT+qDcJkAY1kQIVJ
SA5MdlUJD1Yl1AvpBOqhAVWx6mt8My0WcihXqfNkCOCQRPx6qNvC0bUvnUQDLOp5sLek6v5ooNsu
Zd7jGZBGBjABBt7nV+LUukGfL46tzjMbQ0uOw22EKpJAgLck3wi6CJO8f4n0is7158c68bT8nEI/
PC22F+RNqnCoLAq0CyctN2h49VU/SVo/P8KpMT2bjGkelyMyTeIyKkhCIMqZEZfAGBbCPPMWO7UJ
s2bXKyxNC38Shwj0ONyWCA2BmgfmurXR7Zmara673q6Oos296zAom71MMOjBp41whuXjKmKaPrP1
P3E9rdksHAwJ3Xrb6nkKC5ap4d5BBzaExZnbdeJimrMVpWLpVqT2/nCpFEfCIES/cVzAN+dSRn7/
CjFn02/VekbW6+QahLKk0A7Ktjq2Ql3/rQfBnM26ah0mskDSe2k5AHAM1f1eQXcVVfci2+jc0Dkx
tZvThfvwPOOUDUYxqhxkYN3fRAjek6zdR4lBgSg4OO54PeqDvQDYvhIGGprPz+3EvGjOJt0CME5R
eKLHuPfQJE9ZdKaCMV3537zUzdl869g0jMuCz/W1fZxOBEAE5RoG0WBtjau/991n864V1k2RZtN3
V2inO5swTs8M/VNXZTb0SzAadpnwyRPirY7vOvVMENapYTAb8A3Rp4mnaHywXEFHHrQVomiAf59f
kBNj2JyN4bLqfF8RfLppBwuSOjwB0377+WefuKHGbACjI+r9aPrmLvZUFZPTZKhPvzjGEp3n54c4
cXF+Bgh9GAJB4vljK1HfGAKPuk6n24IS8cpG+/PPP7GaMWbjOEy70YfWmx0tVO2+OnoLzbbFhdFC
AiTGz+FBZe51JQKATIAs/fyo06f/ZiQYs4EdSLRho5FmxyZsXrJYN6nT68k2lpAgsrjBngH+9/ND
nQjq1I3ZaLaaJsMkNEZHLEPxlfowJriol8pt/6AvzhVxT92lacx8uEt5GDo5ganRsdYzthxpEYK7
LZyXyEaummP0PxcWfOqJmw1v2YeupnsVxFj091iCZPho9wdlwD9XfWuD/Ezx4cRYN2ZjvUgUaRhI
Uo+t6oQPBTf+4LmZt/v8lpwYksZswAd+5Lt+XkZHw9+04X3UXqv5mRF56qNno51md614hoyOCjjR
xO5B+66L8swb9cRY0WfDvbNZn2otVyV5BOieYv4CyqZBP1yOMGXPzbOnjjLd+g/PkqlHLQrS6drT
dGu35Q86MhHBEt6ihwfy9vktODUqfq7bPxxlcLS6HSRHicBxlauoJb0B0MMC016j7D1cDsWZGezU
+czGehzWMQnKHAntMeJ96qgYfZ1qDZ6+JE3izAmduPH69PcfzsclINeLMxCUg/u1lU9SVpA6Xj+/
WKc+eza668R0vT5MEigLNy3GXBDeQR2euTwnRrQ+G9F4xSpdoHw/Gkd48g1eOArgN2qxNrIzM+CJ
wfwzw/TDpTHqpm3blCM09SPINKyEZ776iesiZuNhSHMnDzoFV8XYAwF+rTCX1mdmoBNPjZiNglQp
uwhJTnyMxApYhgq+Au7c5GVYFcD4zmUBn7g2Yvb6M2Q+pI49xscMuJsirnV58fkzc+KN8FNH8uGi
oz0zSitsYgyJCY8LhUfboCmAwtRMxePnxzi1VRKzh17XqOA4URgfOz+COW6l7XCtKWmDOJjpSAuo
To7+xHt2s2iNVK9bu2Oq71ixvMS1o+w0v+3OzI2nLuT09x/O1zW9oEmtXB6r/loxLglDOvOQndo/
i9kAqYJBOoVM5DGHN+HSN8A6gMt+0bx63yrMtiSYnZOfnDoJ8etJ5KPWBE5SyGOEKr2wH+vqzAxy
6mmYvfEaLR3HwHLjozMqWwOWTEmtPCQNwD73Tj2xohKzF18jjVLJU47QKEQL1EBabjzlvS7BsurR
6vPn7cRZ/MzQ/HCPBz9EkmTSCY/waTfGXewhYEB7kY3n8ttP3ICfid0fjhBb2WBpfUC7SCSPsqqR
GCtPn3/5ExfoZ1X3w0cHka645RjL4/ja3msv+bv3Dd/s55996mtPF+zDZ9d63UrM4PJYD5YJLE58
LQ3lTA3i1PeejfEalsy/5QcN8gOyIx+tTXD7+dc+9dHT6Xz42r2KTrGIfEYW2Re0LVFECgOkzRhZ
ZMOBSfak+zev0GwQ23liNX7NFcKeQ7JXA1ni83M48frUZkM2LQhtA5fHE1Mj7zmkG/XGTQ/587n3
0KnPn41ct6nM1PF55gn/1O7p0U9p3CXW5AXtzs9PQTv1+MzGbptnYaBOCpPGXCRX1XN+o3zhhaF/
15f+k7Nbems0xJ8f68Sh1NnlihTVUh1PjY9KikjNXru6cuaTT52FOrtSQeeJQU6v0kCBhJP5JLZV
Jrs6CHOoICsVD3dIRkWaUPjt8M6tlNrO145VNVd1lRnbTNbZnonSW39+qifunDq7qoZVZbWea/Gx
IE8Wfdo3/8GcxGMLfAafH+HEIhr+x68DqFI7HOyEGh7TVzzfqA2ls5Bfxat9631jS/D5UX5/y8Q8
J9wtMlslWkEe7YAyK1XsrCzPnMCpj54mhg8TQJCrHZp3vr9KkT2xiTaNvDPf+vdrQzHP81YTfSjx
/zBuRh6zVMHhr7d5DzGyK1afX5hTh5jNjJlqg4kY2/jYQvXCLw/aw6Kif24fdurjp4v24eIkTTqQ
q8u6I0lojx2GcNsFZ4ouv594hTubDRNVr4mW5KO7W9DdBOuUq/45ufv8spxYMAl3Nsb7IjQVp0Nq
Q3Zjf9/eoHmZUqGv6+/Vdfu9ejlzmGkc/bWGI9zZeJdFCAYj5iTIeSNDZpgyJBbgzLRtSDOM8Gb9
zFP6+4Es3NlA7kPP9UJ0q0e0B7C4zBro4LbzFuFrfu4Ffmokz60PU4i1AfWO1UFAzC3BKzh+mOrX
drlBbg3r3znXPjwx5ub+h6JJKuKXuWwFoYSesmuY9D+/Iyce2Ln7IVK1fvQKCv6tAtKNeGXlKQOY
9fmHn/rasyWO3inN6OKAvqxzAiZ4A3ral5+f/J+v/f/z37Kbfz8y1b/+iz+/ZuDVQj+oZ3/8132W
8N9/Tb/zP//m19/41zF8LbMqe6/n/+qXX+KD/zzw6rl+/uUPuGfDerht3srhy1vVyPrnAfiK07/8
v/7wP95+fsr9kL/984/XrEmxp31588Ms/ePPH138+Ocf+JE/XN3p8//84dVzwu/dE3SGwzSs6ue/
/trbc1X/8w/L+ofluJZwLFVTbUNMa+7ubfqJKf5hmKqt2a6w8Mv8TK5Ps7IO/vmHIf5hu65l2brp
6K5jTN+iyprpR7r5D40R5Li6aRoWoqA//vvsf7lB/3vD/gNx7U0WpnXFl/ll5PPpuu3ohqtrBngy
6o7TgP0wQ7aer6fShHsh8rLadAakykBztQlBb267ImjONAh+ffb+fTzHVDkzS4NvMRcUCKtyUxfa
6TqJC2pIBI2NK0fxvXOChdks8OeBHM1xVR0Ipa3O3iwiKpxMcYRDa7gH1hQVTSW3hRESbOdDXKRm
pqDqtqAfZmCKLE/by9jVc8wH9NzODLhfRzPfxdAs2tlcXsMxudSzNYZhhI4wTCI3iTGOd06h+fdW
5JA3OYxM7B8evz9v8Mcb+usM+/NYDjfSxlhrY46aa856cBcF0DN33fS9wnReqDe1CRi3bt3kq1aX
wSENxvBGEe25jfGshPHvQ/PEqpyhDr1rXqWP1CA2Nat1Yadp3SXu0eCWd2R5tLqMdwnsXBpCjmaB
fffa6jrgOm8lFs77qjeRaaq55cGLz5KHzy/Iz+3D/77c/vxajophStc1Vfxc7H54xLU8jVrFMN21
mRX5xokDe5fqA+7RQYAg8aCj9DrhRnoJLEOB8g0rQUkPhGZZq8HwyFT6/Pv8ZcQZmgMJweA6OS7P
wmzhkJIJ25n15N8fB5axUVxYaGCjEj1vl3TdReb7ozxzzL+MuumYjHUCuBjwqjMbDHWSDJYYSarK
egKHpURQYKUQrT4/s788epajq/Y01am2sHkGf51LgApXjhKSyG0HealfNVpbB2DN4ibFBqskr72S
xO5FK1I732VxQqDm58e3fi7WP95qJhUXYgOPn2votq7NzjNS8I2XxIlu8l61dHL2YhjeC90WqiC3
oWqeW+Go3/sRpUNBqseDEataeekObkGQRJVnz0gm5Zv0J4eNDBKTkCM1bMYNyVwaHKewAj3kWTqr
7CRUAnGdCktedxEMDAifxnAv/UQtHgantm4F+HvSPA1fvBup29fXSpU0KqZY5BwPEd71nEC9vqBI
7KTNYMKKGEq2OHYtsSkpQVyVwDiEg6W5aCmRGaUm8iVYbvcypBxZr5UmhkdnmSPgLlETIhHFYcgl
HqDzF5ZJbFIqVL3bZqIKoK4pWQF9vCpMy7ouKJk+6pkdgvvrJ6duXyWF+5LAUoSJS9YNIZ7LMlds
5KlBSjBepsYYXKoKUOIq1wQ8Sfx7mvHOJtQY7toS7MRuVCtZ3QSFNr4nQy4y2B5J8Fqofq9s9MA0
VLLCJK1VpwvRV5NoV2sLRiUtnm6oxffOsFl9pl4wfg9FXSk4kxpyuZhIUJeXXV4/xYbr1swaCVuo
vlejp25UemOVGepE9RW2jnRLmwzLAgKkQ/gZ29VFlxd+TbQXk+EiKfTQPaihXtbEpLgRoj/FBeQS
jQLMz6iolbGqwK0mW8trDWWXm0KBHi6a4VjbnUEKYEXEe86OC3CwZ5sYxb1c7qStW6wCIVGhwK5q
SO+6XhAgSSAASP0hqygTepnVvpeZG4ANYFq09mpiZr2NMkYCKrLjUn8SOjFHnLXVBTeBqWaEk8oy
Ia9I8yI0akEbqC+jW7psUrsyS++GPPS0g2lXmnvMbOGG9pbb00egALHHfm24ev3WN2uJf1PtKgdu
asbcQJ58WFBdGTtSCDSQb0xC9HFoueZrinWtwSyZ1N2y6D2eutqo2RA4kY3TKDM7+klNbHiEKiph
vI9lDyUHhubEHOBtTyaG4uJH6asWkYftiJwTHwcX+KGLhWidVXkdbEdTWog+K0nyadXrRP6C2IaR
UhpReK/ZkzdqGLJu1biGGa8KU/dBkIauBUbXsaKtV/Qk0oDhrrH6YVUoSRzqY7nSallcAeqikRem
QXPBVKpwLoZbAEMppFGDeRrlc6hX1rAlXbqMNmMPbg1bQYD8TGgR0dIWbMiFpdbDW8T/nmNPx2/L
EkET33hcrfpyCNJUO9SEIGbo5V3CK8bOHiXpprJqv4d6KnjAW7vzX/rUJ1ndjHqPJG0NVNi2JT7+
ybW1WK5ZBfXK1u3HIKIslFtkKxo5sADfz0h7GPVO7ZEeQxuZ5jESH/Bbe0SH6fq4UpOOpltv+73Y
4UUF4GdKwiJjOyXeOGrq3IKCP2Gm08ImrKjCQIHgt8EpvZYeV3aZxsCaIHUAPrdah7SDQnZEZIHX
IDJLhqrzbfTD8EqKBndFnocE5Ei4Re0KDK2HYQBA4w/pGeKiC+nt8PoytMtsDMrvQRTr+laODuEv
pl4r70rW+ph/y4GclsKP3HpRKaUPgMvX8FF2kd5eypj1AfYSu1B3Y0G47CpMfNOKaIv7JhbvIYRH
tuSmQaUUZhHfpZavPFeJ5VwDfCUURRk18MZxlgkQ46Eb1asyM8JHRxsJDveEM01kXpxndxI8FGLi
wPOAjI1ODaVQ06KBDA9Z42mAbn0/EhxhXopRn6IlaqX1VnBccPLkYY5HUPfyXG4qtIv91klbt7ls
DdPptwoJv83CjWElrKtUyq9pK8WwSoayZefhd/ZWDrryxrTsgkv3fAXBYyD0H27M8njJUpnChxbW
JJb6qt4SXeoWAOJSQ0/XTMNafQhTaJ27sh8h46O3qPSL0U6CbI9poDTpdwmmm4U9Bka87RSztPGm
pkSmiEYogpSnPB0J+sj04FLPyeSGcpPmX0Ydy/LES7BvS8vF/pKC2WouraqwjrnTOTAUDA9pecn/
7kBKNOQCgaivIXWm0bti5thzoRoSkWLnpnNgd186RzU07FGBT1WUGtCEVtb5oSfxmsi4sG+hzeQQ
/ZI6R8hYtQNAVnVEw9/IBipWyOyH7Ft6EDMjB7pk2+WhTlYMPshFZKWcYuxF7kU6qlBSatRRlxnr
DSAKVRaqJOQG1XBt23muHgavMMOvtSLL7LIwUEFcZWMcwCiUrlKuOmQwI+wAgupTcY3fqZvi0Zkn
Mb+EWhKTEa93LoleZR21xKnoAXy5OjFKEBNejzmcq+lHtoOXtW60b7wp6pZEBNe2DtT0coQpUpV1
vy+7MGi+6aYwsdjHrV5TUemFs41jLbkAQFoS0tIV9fA62JWdXmuWjwehzhVcDoZdZB2uyCZVgaFp
edhc55FUvVXHY/u1zHnvLYtOT6H/26EkO6ePuruyHP3hoQ7MtD+2ceEpN6kIqxsbihPu1ELDi5kl
inlUSk8SHEylmtTkIAn9O1dRfKDQY1JclplFUrfoSwxDY5vLaI8pyK9ePdEV5CzLPqi+lTkGEpiN
xv9n7zya61bW9fxXXB4bx90NNMJ0JQZRpEhKorgnKFIBOcfGr/cD7Xt8xUWay/vOXOXZqaPNhdTh
6/d7Qzl9chun+xR6xN4/DjIJHxLHytPzHMfYbhfSw9TotlyEs3bMlH+osMPAqCYTUXLwsYujNEzc
u17OvOd5wAj5IDIZ4RJGBuCNaQPSV7qljli+6iCit9H0uDHL1uTf4jokQ0bLjjUlDEPcFzXxGFiC
UxMhWnb9kATpRcDPrcYAJzPj1cF3J0nHL3M2lu6+swL/EzNfPeO1EhNkZHUxycyu+YHseLkN6pTI
Kiu02/u0ieFtLMnSXKeh69Ufojmd85/OWEV3feAuEQkgOfLzaVhDFMTIhkRvPraesayg5hsyL6cK
4cnl41T2LsTvpOjb+07H4mPq+kieesuh5yFb1fYYdPU45cUqJ2k0t7OQgkLExW0iRswURp0C949x
93VsDDFffe6TZOfZmSZy3Ak08hhftM2FNuzt+9F4uFakRSAInE5YC6C4txCyoUGQAeJFgkRdcmos
fzey1E3Em7LMkDhOgDCZN2GSn2cp3sW7CCSCzDsFf4K13o6/5lnJ14XENH22BpvYNHRq2S/pR5JA
I1NgoDD6y7d0cHEl1mx52A70MaQzvhA3FIlUfHETr32qKmPjBdAr+Q3bZ6KCvXiJnzmq1f3HaKE6
G0lzmrz2NtAVflRjGWYEvTWz2z8wHjr/R+ZAxXwUolHDBbUjVh37NhwjCtUUV6d0V3ROqi/cOQwm
AgW8QJvzJNdx9URpVF2XKc0+JIs23pWFk9vBPX5ybvzBJuVC4j1gAoHYuijD8GzxoeGyoOVKt3Db
qbMD9sgyEj+1qv0c5ygv5FX3uVCElsJ3j4dx+stasgQ5/TQMX6ykmYrrgHIV41bV4pZf2MTuxWbG
Xri1TPaFzNTZxibCJgvFNk7ubzX1a7V3gTDivSdzF8mc6YlNERJ/LTfExP2g8Rdu+M+LGv2k5cz4
O9dt+FNo2oGEbXbBleEFBnj+zWLYtNrDYkiUYXFudJZmZ5ja4Gs3FIVNzE+ivd3SOvZfUdtZj2w2
To+9ZpjjExVzDNlmdTL+5TnpiGxLr1bSfpcEZlXl48RVRDO7ie2UMcYBudf2B881Xbwrq9QbyF0g
0y1qLMiVUbVaJgf4Q9yWPQyvM5OnnYOLrBlJ/glzduWMSE6JIUDQR7taNN53wTjBYbhmlmMZ29NT
U0E+s0FFi+duFLvZD51UwZUTekG4LVttEy5WLQN1ZZ0ozJ3qzrvF6z6rz03Q+zjGebJ/CMo68Q99
YEh7C+2kdbd2wWiqpmRc9tFQyZ99VdLbr0pB8kpFmnl6rrDuN3A3+0Vc9pblPIL22c55yDy+jvvY
+6VVyhNgwmvwBkwD+WnQ9erWliWMj8Wp3avBr7PVLzVK4wsD0+OX7NZ0vI7gXy4bNUFyZjuzeugD
b57Is7GGCUOLsct3iUQUe040T4FzemAPHOAnObkfkz7Gfb3o/Zl3nzmdwiRGdKhAfVaGcT86Tc1x
qV9GUlSmeA1tE+gw5kBhR7lADnVYVzyLaA6ueyY9aSUHhVuotU84E4tNREzyAyhI7O+tWXN+zauI
wdS0yejsQqDpJzuVq6n3glHDWV8O4+OYZkT9ltO4PJdzOgY7Ril2q8akOEw0nVr81Xktts9MLwD/
7LYcunNVqib/UWg3Kr+L3J/zC1e3Qp/H+AFZ53HqKrKJIwrrQ6mx575haXLHreb/wEG1z8b/UF/8
IyD7/4hSv0C2b+qf5X3f/vzZf3yq/x/As1d28P/8N2D8Cs7ePpniqfxvmJ0/lT+6P3Hw9e/+xrMt
L/iXp2gWEdUEoOQIV/0b0LZ8+S8HMEUAeCpN0bPS/f8D0Zb8lXY9F78+oQLP1/zVfyDa/JPCgRj8
G8W8ayvE5/++w/8LSPs3Zeo/USCtEZCs4Kej3PUupDrqapXzOJVlHUuIqVl/VkaquMnqrxlBFGQr
qvgsdvHj7GFePTrC+eFPKvrkARKftUu3EwAYaNsp/gOM33HdxGQpIujF3rBgqP1YLOGnLBJm643N
eTw63/PB635yFHcOZCWekuj8vtXjR/EV6Ij0HJ7nWG4QN9iBtHZL1LNNsyVip6gNybfNhA2eO8fD
tTGr4QwICgt1jatCWs/2lqPceB5nbXJTqaU+y+XsXjXWbF8KARpS+xgnY+89Dvetn9V381I/iDzd
/jFu3sCh7Zc4J19B2YGWIPAA8DQXgiMsDugqwd3etQ+Iutx4L532s99F82PlNBxJg1biSj0DuVXG
Ke/qZiKuKxEfCaEerpOiLGyyQcr00ygKjNqahepYdUFIdpPLKhQFxfQzViMHgrh/NFVrXxQiHp8s
uyXZxDdFedv7LNyWMGW3m4V30QaV8jYBkEy+qchI2Th5WR9MnDwINw9JM3RkOG4so+MA094+ff79
Nv7/evLf5ep28s6CQm5inzz9uZL8/ou/lxImPkC4ckFrAzfgfzCI/m6NSftfjh/4tMCArUHJV4L5
v1tj7r/oe/GvntTac1kz/vdCQtfMof0A9kxfTMj1n/7BQnKEmgtlM3j5IQBdmjfI71/i2QMeDwMp
giuSOuMA72KJih5PHP54H29NlPVn/nOOe78vQ2vQ5hXQPfGP9aH5pOyxCjF49BI53LmqE18bV2D8
jnFxe9fMfXIX1271caFTR0hhX474SEUG/DjFKOIs5RRB7vbiiQcOwTgMU1gAY0mD4hqbo9z6oEu3
+BxnUMVxTXI5DwY4ThP6MsbQ38vcwsd/wE97byswqo1jS+uxCDHfmPIk/TpmGda/ZkJOScZcH9wn
FS0gUhS12IU5oV9NJvGHdbrMx1fUDoYT68jLZeT32wl8N6BtI+hRSrV+pD+6N+SglTqvJJBQuOBr
FVx7i3/vlF/InX//O6xNuKPP8OJCR+vVEnM0nzou1ETDg6mra/xUNy7cp2AirFoFG3+eL/s2P/F8
R1+f52KVdBnpmlw/DSr68vnA2ojHLgWifVat7Vhhj4DbS7UHYQ5x7cBNX2lYBu8/6xGvhOHMVWk5
Ov664XrBcUeyES72X9McbtB9BkQNkXCe4VEHFl+oTw29GbLtPTc7TBmWzXHTV2czECWHUumfaNo4
L7kn3AptOcX8V/RqvbWt/fIFdEVJCERBr7J3K8xYUWTrj9pWJHYkuIdhalatfoGmc4JrPwIT3Tkd
EoEmSXWCG3YeFIR/DOJKaolLoR22BpO4Kbxzmmy4tYYqMJd1K4meHLOoClHrGQsXqnQw9aFp3b7Z
QqLOsbOeEEvFbaW/zpY9Entop8DUsvH087rciIMopMSKrnVczplVau7qaCSca1Zd0m6aCQNEMM54
X1W6CzbeSNd5H+iOwCaTiX/Glvr7lVFaQU3wYAcIyqUXc4IqK1oqQ/unqH2soHy3+WpCyzyDMJkT
w/PIKeHva3la+/7aWdPBMSUQvK5zozQhkppkFOJCep+zRTf0V7ZVJ5/SfjUQ8RBAdzTZiGiwMGLL
m/ZWp9Vy3o5ViYcNvJMrqnZsIwWwF5khKXJmp09PDOqjleL3QPLZM2h/Q6hQx/aOvpfNGe2WiBgO
azojJAen6G6xCDerRX2XE3ZV7U9Mo6OO53pJZ63OwKLocEjffvkh/IlIs8bhUNyRsXijc8//SbRT
Of5l6hYki2hlejqNiPPzwtiB2ExuFhJ4p+lEYvibfelzW0fb0QrNRbMkWbHBwZBD+aSL8UtCaB8L
gmWnxfn7t320r/2+a0JXA/I+bJvF54iMJRpG/+LwScnau699A6JaUSqf4qe+Wtk0P04aATQVVzj6
9xr058pNIoxLOwDqlS6TR2PFeEbI9qmv6vLWtD7uI17qn5DlHtM+1mdjYvgsbJ4jqJzXQfLHRWkl
2JYiFhvrQiPdzYIveUpKYaOrbVoN9aNTG+yEyjafpl1XdXOwgw/QgmSMnrn/x69ZcwoRazWiJUD+
y1txzLhQX2CktNgR5s69vRyiZDhFjT3i6v6eoNpTjhtguWsLFvOXlyl0Th9C17gZLSPuCW5W7bNs
GvC1JH4t28Dwc/4aJ07Uoaph3GT+jJdURm+2rurkusp9knIGXI/I5Y7VCXLkGyONLS1YT3tSile8
A1MNQIb0gmgy4cEOfmBdUO1E//wqLsQOVytJqciW9vIN1FFLdztoiadOZf/Jq0i/ULWyH97/nG/M
daY4LFghmDOcVl9exaOpL5eZ9yztGCtytyMgvZfFOfmiy/XsZtG57Qxqi/1yePH+lY8qk3VMU4IK
lwxo2Ews+C+vrOieaGIIiN9KOx/n1ipmxjLerNvUMQEc7Ln6KFzX+ubB2gLgqqP09v07+E2c+KM4
+n0Ljq007liSyXVsoEirRwyOv+44E22ZxCrzXZs68WbxW31T9Ll7UdM0OOsGe7wIqTsuQ3rjRDoQ
kbfkXn8p88l81JEJ2W47LEzfv703Vn5mGK/JBv705DHxaJBVQp1Oiq/ltfIm44h4G+ETWm/zYBmv
/FzW7eH9K741GNgM14WNUurVXjOXM81eW+Ip5wOkNUVH/gwpbc9ltGoMpN3tEvgpH03nm2/vX/mN
VdV11yOOkkICtBwNBvzVVu4AuXv20FCQtZD/ZT2NwBUOXOGsg2VWd034+R9flQEIOQsaFauqdzT4
ZxW1Yz4TP0TQ7S9Q/f4vM4XhuO8BGwmklsmQwJ1firP3L+usv3s07qDWAOMAfUAsOpaEwpoc4fE1
5DPnNWOpTavuvCNrV565pG9dRiXWcvvIFbW176nHLuuBtvKlXQzWL9Mbiy2ucJbovBmF+JWoMMUN
Not8YkWzAvIXmu603gFkL89JYS/qPBgaqMI6Guti6+UOGVeczJbpIOm1ELviFHTUZ6qfc+kMejW8
LQw21cXSkZtsu3iKdRmI+MHgjnpugx9hdKh994si74T8cUt51+k0OAayeJdXm6FMSXLtPVjqILI5
FrSkcwUIU6bUTU/s+UdOcL+3CY7EEC6ZxnANj8n8NsSRQdNx3RSkLX4Io2naO7OE4D1MUXgYopLU
t4JAgmTMJ3wmZ9wKvER9DILUOTdZU134Zqgv0tgOrpteqJvRnjhlnvjcb3xtmGMQZiTTSh0v5EZp
urJjHG0V8O6PlNUMl+RmPOFK88Zy6nv8vi94HR6D+uVy6gTtbPjw1F0kYe/Gwo+LnZrcqKFThWWB
H1bmCtqYjZsasDqZ0J7Y/heeM+DMJ2G+sC0enWn7KRsSQ3z4xsV54ptUeBungYpOUG3f+uScpyAY
QzpmqdJHD8oprhAcnumUpqV91UaFBd3RKQ5GD6Sc0jcKLmBPqTOtWjqyDQEmBOIFF3WSKRr1pi2/
xhVrdSoWHIhlTJSoSXN54l28XkmZ385KBwZTXuull1+DPtuqLmdbLUqP3aG0431Zi/ShrqaITOJA
XpgofZh74Z7YVY95oexp8ATlWrdzZTDnozUtdqBsBLT06Ni3+iwnUu6mcqfpzK+t6LyiKbmJo9H7
Bexj0+KKusu+FxXhnQG+EDX0yX88+Lkd8mPZv9bC/Pft/lm5etLA3GiolSx/xCES+lBc9qcsVH4L
PF+uqA6jXmvb56WvMP3L9x13qp48GjybOVb93s6mbte0BjluDF/uzKL7dmGZ6W7i0P+4SIG/d5vC
Rohqgg67RFTOIRdwUxwpCPDrUl1MhFLHz8pbSNBtEoeOouOfmLEr9PLqnn+fPpVPd+BYBjZlSVH1
PRABNJ1nhz2g3sgOlwO3Nwi23p+br/dXmKNrC8Pl7IJT9NH7iQqnsqTh/Swhp5NhaWEApbn9pTHC
/YL9PEWFNu7z+xd9cyz661rgAJgr71V9VQC9tauRuWpicSlCPdLnzMgO9kpVfYssi7jIOMEODddU
MksziEAbu/PHeJthJ7KGOdQntKqva6oVk0F55AMxMEWO4LDSruZh4jC1masObsxUs2HBXYTN0lZ9
vpmSOTxRU/3WNx99ZtQRvrNSlhQr89GEtGMXgCDg1avSsu+GaSbDahkW410W3VT1Z2jP4pmgOSdZ
thXpYdku4GhO8G0S6pK49BLz9dWWpiXjWM85kdtOcua5Szx/CyBpdNvcjfuUgKMySA79UhTJ1mg3
lie22jdWNFo1wDIAJkjvjttPhRVJLxt4DG+U0+2Yrmm1PgFxVT62ZxVxgh9VOBA/D0B3ql/0Gtdb
VxCwj99oOi/xaMl30ypIcNOCPmsPMcGTnf5JNI8kYjQt+nQrrDGxbvsg767aNNL6Jwzh5XOGAUFI
yqzdnMJHXmN73A7CEsnySs/v2IMGokE416MEPHLK5PPUwA4F6g1C+sXW+K1Gf9aRlmjSL82E+Wyq
Awq0sIYbc2J6vXEfWvIpYNyvcLs+GlmJqUVOjgE4TSSXx2HqU7JQ8EL6mOB6u5CySszVvnQz8gu6
Ns7PMn+KIExlisTy92/l9YnY4buucLbjQ1Y/lqUYK+yCzksi4GwcpBkg5W420anjyRsLpqs4rPq0
SJARHS9ixNIZ4udYTuB/RPhNNWnMjMHJCB64O594pDcvxm4KAAGLxj02gioLSGPoXiwOpmMFhyn1
n/qy+DapWX79xy8P0JO3ZgukVO6xdCLzskQTJMjMKsPmIoZtsM9EnpxApN/aIukb0zkGSnQk57SX
W6SXJ6NxhnXpCyB1Qeqbvi59ki8XMDTlk4uhoLrwMkV+QC6JnYtkWm8iK/qhIPu0m7HPn3zocNaG
MPpfMOzQLgtsRLb8mB2RqKqSbWU8kd//85ezKm84HaJ8sI+dXEAatW/skXIGhvQ+gduyMaJ2Tixu
b2wLgIYOgCeGUQACR+VaXjSgIBFXgd7nbjtW1LNEdfKLTaYwRGVoSe8/1VEHfD230OtDI0dcj0sf
+fi828SZ1VEcr6OrYvEX4/KoFKaVNjF5Z1GLo0xShPMVmvgMxKvvL2IZQ47D5hen/ImE9zpLlosB
DHIDo5iM3c6PDo3f4g3NkfmisuwrJ+jL7irtu/ZEBf7GZHcdGuEMIiECTl8vBxI5GdA3PciIFSco
jqltcm4ZYU6ssm9eBQSQCU8PFQXOy6vEfWsNOuesS/ahvmwXUsE92fYnrvLWLNfSBmTzwXNf7WpL
lCXOFFKDdVUY7NrZraFErBy6XBYy+S8sKT7VKYOM3p973PSbFy2KNjerC3gRXyVT0l5UHfiSU0XB
iWPAW2+Pee7Z8BQEe8TRN+rsrJnKhvG1EPRDLHXbXcAId04AaG9Ula5PDwVQGgSPrs3Lb5TFxmvH
mSVlTLx+yyGgPeC4Qme5u5vJNscu7NTe+/q5aNowZ3xoOorj39GoIHOlrW24qYQWoPbNnLm+wfps
PjHCX48KDdsMLk9ApcxJdj1r/3FokbKUIB5sZ+Mg8oOwsK/FHld6e+nF0dn7S8FbT4Togz4wjBK2
mSPka0iJX7eQJG8514ld41sNoXzdcmKBe6MKBdWzGRBYt2qOpOsj//FImYlNUoXkYCNStL63OYz0
WRbR5eI20/mQOsmmS/P2TmQRaeydX5O+nJWE/izBrtY40uvUEIjmWf0hS12CRtvhezaVwf2M8Pij
o5b0Kwet8JQpyxsfwsW8ggYAHSkQ2qPCLx8rOylWJ5Cuj9cjZEXfxeunlUccqsf3P8TrwQyYoGBs
sTJzcD5ekh0dApnI35F3HsKIkmagsVyM5u12XnfCNrpP/Kk/pYl/o9Px8rpHz0gK3TBXFUPaikA5
dWs/pasmg1tZoOin/lk5iS8jalK58QxpncGYPaE4XEjRtLLqMK4xzyabqqf3X8ffKOTLgws3tjae
OLtAjzgO7ihcQ9s5WJATi7ipb8kTtawv+Bjn+SWoi07vl3JU+VahfPnld8zMbZuEbrqDKpvWt7oe
S7KsWouQKty39CGNh4bjgh359zQBXeecD59zup4c8XVdeKvNFCKJ2Y5jRCJ0WAeYe9ZpZbaVWKQi
dbciS8yvw9TaQhGPKay7oM0ux2BZUGr1Cz68iMLnCrXZIqGNzpkttiBg4me+dO4doDln3mWahlsw
LPyuy6gtv4+VxNYYJVGdUNjUcGOhLM8El0e+0dtmYngj+QULZddde7t9pcppA2vEPGCRnMd7GF8e
kXPhUrW8J1V/AFpsCB6EDlzusiWbvs+KmLiNDxml5Q8DfeWFWUTeUQo0tYGVGH9F4ZEw/4ZmQZcV
BvJrQ6CQ/0FPMML31Gx0vRIxi3E/lYg+CCKR8hm/x/I5ALxECJbHAp4e7wQh1RyTu5XB4/1Mozii
lhnbaC99HCK3RTCrgaDRqKahXyqbHOrS+dF1da52sx6dyyhEALDJ9TielXVJ9q8UkLBBD9tsG3Ve
hh6w65fvjT3UDy5AhbPwhqcQ7iqn+Ka6RQM7kE8x2Rg2ysImxVuXKdEoKm17YnZgGQQbKUMfGIam
0Kad43o6S/zYGbdWEsOdjdskvyumdP7WweP4hsL91m6G9KJN3JYY67Bof0K1ld+zsakewsBaPi15
WmVbk/YaxuMMSdAC5qo+QaSt0Rs5NnoAu4hJkWlM6clt4xgz7zrL1jTRo6j/LMfB6zc5esOvICP2
cpnq2Lf3uZeO5JkQYFLjmF8QloskdjpANSYLVY09geTFWKtPHnP3VrSugdAhfeuhT4z/Pa1bh2as
H8X3yFkMrgNz1y5k+kyOu62Xevqrk+Dlm660xJe8SYuPWFrl8RYH41nts1bahJA53sA48yP0pAzz
yIXQ7Ib3ZsoVWVxjRH6P61Y5ogDRX48myZ+ztJiuc8frn7PWVOmFN8n0osmpCJdyxhEKwLC7h6ke
k0fRJonegNXiM5/Zs/xgqopYJO0OqxLUrur4gNeZcPfCXqJ0T1oXUXVoBjCYMsGACNTpExHvpqYO
n5x5sdgcCwcuyoKAI94KJPk4XNYEt1kzNPDAW/S9HonnBg52a1SmPtFPO4fYrPxs9qP5R2lbMEqa
Tma7pRaEcFayLHCIyfr6K0agZbUjP3FsNhY9zOcBeUe0rUti37d15PjLtitsxz2baRIR2z4FJdl5
bmKKD4loWFSIwF2Kc2vU2ToJjf2QtYirNpjs24iqaLqvbLLxVya98rMcOHtuBqUnDP36brq0aQIj
IVAxPivpVCQ/q0CSi+IJK/zmllF1VRo/Jb16CoO/UBiP35zKz/luC2D4BuiLDCiAt4YAAY5+eiuC
obix8mJFvMApPwu0j9+GFawYWlfiC4rxcLCF9prHu7hf+q9iVURtxlh3N4vUhpDERatHb4zDTwlL
Nq4WXTLcAREg7zERhJ8SGgm6swbz8TPYCw1BAigvxsuGJFnyBUxLSi8OkMFNSfza976TJChjZznt
dZ067i5KrOl2aRP93Ix5dyOmqo03tTOK56kZiPSxEEkIoPNGpKCkhFr5bZL9GlotHkwqFEIHp4tu
oXslhE9ACHG3zGPNK659sWyqaiE2VNGzuZt8G8wRkdQq7U0675K0qr7dOY0zfMyHPkRZ44zN9CG0
hmLeiTTJP0f21PhnIF7OZ6l6JN0Q8NM74TfxM8c3UPYwdPwnBc7/kJihv3fUOC/niBlUDWDA7N5A
ueofRFyGvxeggiWdcMPWcwmDj/CwYHzYVvirmrV56L3Izu5de8m/sXIH/pVwODZv8rquvvdumMXn
3mCRnTxOZlW4ufkXP2+W4tAINivEssl432JdNew5vNJyacwQWR8sFE6kjy2xxGZ2soms7sahnZma
lTGbOp/HqyTsJ6K+w/gjmdPiqZPdPGyiKTc/TDajAk5rIOmLgNz6cpWmuMvGCeLgr4wg+IY46qn9
ELNp55d6LJptRjSYu1Olra7R37Nv9Rp19LkyLnTh1A6zGzrbIRnSHg7KpNhWTr+BRY5Q1ZSspbtU
manaVdhkUWpbhmjsoEB3j37VC564QGjz5FlHqKbfy2qPEif+MvlLq87CTp21KamfuR3Fl9HEhDNW
S8MTuSN08sFPakVb3bLkrmIImvMI+8nrzoXJjDWbE31fHEOS5OJMxJ6GLdoZ+lvVeRdqOAJWXE7f
ncVBEpOxVlY0FIK14Sna2d8jRSWcMvFbt8SL1YH97ISD/+xWJbaNbh3gixDhCZUVCQ4Doinib8sy
OjVJ9kQG7NrCEbeqWMCpl2gie7LvbVqXLA6Re+FAWEENHSz4L7lsHBsjjfdplpI27SxCfs8qmxjL
qdATV209VxZaH6u6iYyDJwsOEr04U6adonM8JIJv0MgjiBVJ110OxiX9O21IYWNpFlgYAQaH1znW
uLtC9STKFbnCMAnHP+dmnioSeoughs8XQZertqoWi7vJsmXwcX3WPrHeQd+Eh8axknTjxfMoyX7y
8+Eq5Mv9QE07PYJqOjmdr9C7D3wi2jZ5m+bOxm6a4omaEEpuMQUdA3x0UMpJPdlPBnMo2ITUfNYW
aiORPK63VqWp5bPyhgPh9OCgqSLMaghurLTv7+owjq/dpYlu4lh65rLsmL3KQPmlHJDzXVu2a3LK
mILA+yO8R2JXO/MXxR8nkFpnCN5CMbXYN8gkQzrXzAZfE6RDt5HJ1WPWoDPaRQtZMQjXXe8675Dc
Bc4w0fOOiaGvm+BX2rnW06Bof4rFxBquJI4JMKMiGSIci8qDSiYxHmzbyHOdtlO/j5UFDaZViTp4
dLCbuwwW/bSta6WXW+ZHXG/nPgpRUDEPc/LWLP9xMlmcX9YpGY0fcCgfif5KBpN+QNTcwmhBPtti
w4DM7iLTwvk4lEUlt7XXoCa1JGjaRsFDaD/qoQmJCW6KrNg3GuvOXUNqQn+mLDP4Z54qk/py9tOM
OkGkbXSwQoRxZ8HYEt6VDRivBNYwf8lbK72vEhXM+5auA64fHaYUGy8q2y+isjNBqDjZBtQsWZFu
mj6Isj1uNRmRwmOQPcCdctQGW3XxVRde9BlTh0JdKm+OL7F3kMtOk2t76LPAUGYzVD7h9UCJZYd+
eo5b0JRe+uMwfSxB0DhHzhAOUCbbQ7mbljHpN+Ps5cO+cztvtR5ugvGC0T6fl5nvFTs7QOeyMdry
rrJZyAJ9bld4Vwj7Ax9X7mWgfImtINpOUxfcycKb/ENlxvDHOPaRt7ofkKvY5lqV52rQ8J7Lyo9/
jV4acm8UKx/z0ohrHaplvTh0h108+eo7u+f8lcmkZyJxTX5b2ZMGMamLT7VcDS9qFbaPog7QNCsn
C/eFILSYvKUMdoPCTGPT1RLhfmT17n41kE84yefxNcZTPWfnWpjiqsX6I9ovIpTtmhBYn3tulXY7
Z6Io2JCmpJZD3qGbPrRukaldBXtNM8OGLEVqjX5klxYmHfZ1iFC5BZvDzzUbcpR+KOCWrxDsm2vJ
cQfp6pQD9gvk8WKfQRmjGTGRVLn3RU4aSSTH1RZGYiBISJ3tGMLpVr3g/4iWNrOjAfZPpSmxNpSK
zTbqR6vZ0pHp1AkI9K2jPY1xz6ExuJI2j7AjA/eqbIuWmG6NeKm2su6nl5UhPhdOFJ/ofr6GdznJ
+nKlecFcQprxEvzQuBzYld2z/RDAtInHoNtNXdr9Ki1Frrko1Imz8xvEMhxnVtYWVKaVSXsEU9mk
pme1A6jjuBlp5diN9AQxLwi7/Xz+QVzk9NnVJUuPLJovyJXrm4Yg6v2gidJoLSb4ZpobC6v71e4k
Wzwa0O+f7t8CO1z45oCrMEbkMW8GEiU2I10NqzjiLucxzomxn1OMwkbf+tTXcCOGsjInvvn6TY8Q
BU72MK1wSqNRdOxK6kXsSoxkrmpXwwdrloSTZ30a4HQQLIfOI/Ez8e2BWOlqzk4gYK+vDbq2Mkkx
TUOSd4yIqigIMzyJiPFYUkMTbPLPu7HoHjtVPlGNhp/mggN6Z+FE8/6rfqMLzpU931tVNxC+jlMr
szwPzKgmRp/RNST9/scQO8AaJoZB6MuQae/rixCblGcYrNllLMbuksSv8KeLGO4EtPn6w3srOQgz
J9BNRfvw5VSYEyuwq0kjzLCm4ZJDUHFpi7DZLwCi8abEhoDueXriu7+ef1BloezQuoXIimPcy4ta
rQzyZYHqaUepTW7LelxYqIYqncRX/EN+duKVv15ceN8BL9wWcCvAXY4uiL3V3NRQJzurItUbe+d9
5JAgv8zUnOxsGOPtvNlhv6RtC2qZWQMbC9TP+C4QTXlYIPVekvwGmclJgng7KYfa+P2bfOOlsBky
MKCs0BE4JgFOxOJimTJHlCLY20wZ4DlEHNzADwIzmvev9QaBHL62s847GDKwilcU+g/4d7IEWWQl
9hLeWFVXelYCfcwc9MvWRhyOPD/2tNr2gRM9DMtsRWd2LIJsI3y/PGVh/0Y3nw8Dfo89I3R9ZDov
7wVOHoLolYuSBDiUXJVWYSJKtUVdT7ntkfzd+x6GdtijIAvD426HpQJlFsIM/4dlCZwNT7yc1xC8
j7Ub7QSfn19ZmS9vKLF9q+4NegfMdNS+yRcHcjvlRr1k/i2mNMDdRVyfRVXjU6QvZpcPdnNoBuJ9
2zRFGw4yuB/qLty9f2OvR8h6X7SloFAhhznmZrdqDmzTM0JSXFl389IJxHQGJVXkW+f5gpD9/eu9
XiKhwtKLQG4CLZau68v3gGMGthNzRFO9nPwHQwsL16W+yzZ9sB4QIkOtna6+d7h74kLy/sXf+Ahw
hFAUrAJr2otHH4GVp+rKgDzrpqnyHbb13n7izLd//ypvvFKGHnMBRQ0uo694ea6bLnLlKMYcID9j
7SQ+tWqRh65cugs/d80p+c7rlYh9jiYZMwVmM6XAy3eaAVpAc2KjHZo2utGF8HdlWnpbp4ei9v6z
vXEpjz4cItFVASeOQ4DGQrWyX2U7cT4su6Xv0j2OCOB/TTifWmDXbeLlTs4VGCxUuzSvebCXj4W1
Fb4zsaB0mOPigzuU/4u9M2mSGkm39l/5rNefyjQPi7sJKeacM6kENjJIQPPkcpdc+vX3Cer2LUi6
CivW19pq00CEQpJP73vOc/rn3G0ASq1A6a9z+DwzCOF5vGoiwzzMq/3FnoouQZJpxr2knqyCrju5
AknmoIx1S/0m3fnKxf5ZVcF8qhHM/uSa/+PtsQHDogBj8Xud4DBFGtFoxmiiklV+brUxk66sPDg0
63r8+yfxY0+HhjXPOkKRyBBmf/v97Zlw2FV12ILfYcJqboUCc0Ei66A/lblo8XL7U/2u9a1SnErt
ZvSX7AKj92DnldyKVQxNHDYoxxKHZoZ93+dRFv1kP/RVOfHdI0RPETILXzo8yBpfNzkdaY5pba45
EVGOvzxnhc6gFmL7iOKaOrZOMoMcpr1vtfm8l9qOljfojUa0xVWQJjrwTB2jlhDoQJjjd0M/AK4K
+oG6dchYToGpjMaND0YySvS8ZF3ctMJONzZGpn6jVdrOp8ZzxLVqirEC/JPp7ZiZuT4ailTthKh1
vdyM9CzsnwyUr6vdq5+OqejSF+cOuPAbvn88KYnoFSUv9oJsNvezAUUgqc2wek8lwumSNVRNuaWa
GFRJBbem37G0UglDTrhcYwhCRT4UHVHc3ewHj6MKSud9Tfvh0SnK5SUISkqJZeSSP+pLHv2GXZh6
XzYdP96c3KXewgzJx3gE8fj49y/eD5Mo1UwOOhFjkv/R3/j+hw0Q+yp2wTmIAA58kfCCuBfL/BMR
5Y/HG3QFnNrgfF185Exw338NdyosrFQiIVVpf1U2KtL7sb3AcWqYYvtiDY31zSLSlsJ30TYHlHij
igvVdwmREh16xtaLjCTTEh83dY8UBAWol/Unkqcf7wZmOaS1dDDtCHTD5c+/2fT4FL4tTYMvDqwS
aqQa143JsXP7T+85A51pMMQNdhlJr14mKiReyWClpJQHGRVyRAXxtJZF/5O39ocpF3W/HeBwZgYj
6PA1Y9q4uKxhBBbx3Pd54hU+oQjUTbZLAzhuX2baP0+X3lE8anc8QV2tvN3f/9If9gdcAfcTQzcq
KfMH4c9stpMzrFyBa3fGbnTNbhPgULuSgc4mCnpSb13DivY2bcO7v//qH9Ztvjq6MMX5VlzSr70F
mia8MguDTusMq27GrXJNxzGFsNFZ9zqtmp8c2v7Dq3M5GwcX2xWUhNcs/JRRju6W0ouE7HbUtftp
waH/kyca/PgtF8s3J6KLp/OyMf/+BU05n8t6mWBB+o33XFG0hp8VudT2BbuGfFuOVVbRrsxx6BSm
aqftutxK+IsgYKk0DWfKatNtV4zqhVTBWm5cMsPOgXI7dZjatn52Al9/TI1cMQ90I9X20Z7XB4Ru
9k0dBDIg7LkIICmtnQO9lit9r3srMraqqiAhrYwp4gMtY07jgVhljkhe0KnbbukNsalRTtL9bw3j
sUAsmH4Oa2eYDtht/GzXzNqJtrRp02ZzSfIA3WUgF0ik28h1Sxm6cZOoyjJ3x0IPIxF5lv9sp5iy
E0Gd9d6l09Q9dZyOl7O2qxV9up7ksNUNbvBYjromzrSXBJjR5R7frki2rCTPek8nZZ53JIT6qrP3
soK5hoXU6W4NIw1kMi0jbSyALf59hhgLC4Su06fSENOHsfd7hAQmsXfvetrRRy/oydLjTLiKP6aM
/+Om/Mv+exDTm/Xj5+rHVIE/KUyB8xsiYkBHmLnYQbFx/jc6xfN+Q5fhURzHdIyr3Lf/RKd4v+Fa
xCP8Jx/l3wwmJ/iNEooHAgN9J0s+4Ph/gE75vngCzoIVFUkYZyMP+g8Vke/HqxxzP8ydOj80acES
b8iBHvcw77NgqbbtaNtPc+aon0x938/7ly/1+dFMfRzMmI1e+2RJ8IqCEtfawVcNYczDFFkDu3sf
altnVSnMuMgivcqxEQkYdT4iFchrbf1krvp+7v/jKjCHITLHwsb68+oc48x65lxmlgfwmseiczYp
s/wmW+05ln7zvrHXJwTbL38/61+UntzSP7dql+8N2LPjmzApU+JrenXQKARgC8Mbu73hyfmN8sar
hZbq8jB57rDyHBx970sF/jb1hfep6Hpw1wN6BqYttdCPLvXyIqSecYuL3n4GctrPh6JcHf+NztsS
jZHjqT7B696KQ+6Vdv3oVQghruhN13s5rG3i9E17M0VCFXuIivCEDeXfBY53M4wUzCmlm5pyve11
tKtBc8W0apzn1jXhd/ZLSA5DDWycZzeUxxYxGz0uPUOkURnwvAtN8ALkMyWbb7+2qzf0QNvPFfE1
HNwMF92Nf1w58R1bHI2fqaOnG79x6gPJYl5S9hmr7Vrd9ZG6i+b8uVqkmwS1NO4XTdEbMq98FFoP
x8Wy+1tiGnDs+635pTbowi5T+xiK2X/M3PoiuLIlDkX6DFPKl5RBaRMK2Vb7YFi+EoJvffRJXpIb
6p01iI9wjd8agB62c+Pb+6hHvGgEmdjYSxXEMP6+AGDGUUOpAurKZDfBZvTD9uQ5tf9RLuEpa4oI
Pic/0V+t9nNP6fQlnLAuulJP5sOUuc9NUIptZDhn7eGA3c0GJ+1tMeAm3bSASQ+qRl9zDcyou3WD
bIiXZhr21mAsn9ehl+NxpgqtN3ArEZYsUZ/Vd0rT2YvNStq3pSIwtau9Dn1bjZLgzF+eb2dHelac
5ovkoSy++1bnS4i8KVRlcIrQ5AS3OUj0KJYXgNCm71qIiUJbFUWSVDXDg12ss3i8NDz0oWZt+qgi
Y5yuhyEYoSy2kX3CjwFJ0Y3aSW4lAy2MdbsQvLjquVcHMjiDa0N36BA9ipjqnKlIPtGLUw85Ep9s
YxlAoGMjVfnRuvQ06FaatKi1XTS43RC2tfsAT5VHs7QNHuwq951D0MmoPXK4yYxdJQbrJdKBelOv
tMLgfBoROo5O4B/Gce2Z1CNVDWu1KwervU4Hy79153ApaQ5TC6WD0eQI7ly3WqaPivhLu9k4qqnZ
Mwzg2Fs6mrvUrqRAMANbfbvkXf9QSZe11fbL9j0uMcQjtBpqY5safWnt3SJfHpRPPvKx7lqrf5qk
udTnXi/AEJu6EgEkJ9mCWZwyO4wDAZsjRsW6uHEZ5n6707LsELkpctVONr/4aY6MNtpIAidtDFTM
LEnt+hnZ4WUB+pxWYjWwZymzZecQ6bDrULSiIpC1CxW8qUN1khmRB0eT+HE8eXVm3AZdNrlcwMhO
bG2cMKWbVuI0ZM8kgXGj+l7elSr3x6sZ9csbwAlO/ahXFI5JUdrh09Cm8++y851Hdk0a7G6rsHI5
SFi40Xnh2cncIqV5x6imlphVeIaf2WxPYleAGCk3+HfCCJe3017TYca/myHOqJnp6W4/OnM6FZ+k
4/NPzWbRwQlvqCO2Lrjz5hyZ7kg8BeVuWBjt3CRgUuya6NrImp5SYS8vRBf0+VkIOMcxGaPtuiF7
hsMqAD4xE9ZKb6aELHJ2xjZ/8HQze4Aiwn5O2KUt+c7rEVKuQM+XBOKTI7iTGOc35BKpN0vpCVJx
Sls9IknIFEtWubZw6+wKzQBZ0u2ZkeukV4jh02oLWX59cLWc63hoMsRjhcgpNkRi8oq48jqEDCu9
W1Af9Lk/RzADBD7P3LqFju1Ne8OtvTVZmIZeOGirat/lc/TeasvlA96aInyig+/fmDqgPW/2abXv
4fneD7UUI0oWZ6bkmLrRW3Yms7WnLyCsGH0dwtJFjemZGpWvD9XctGtiQcjxY70EzUvg1NF9ZwXj
CGQ/Qpfak05z0dHoD3UtegnkCZ2ogR8YZxT13g0sAuPJs1b7zmhN9Ko5W8wzJo6GwqsD4Jny6hIA
2CkKP+n0PB7oB0U9mAybiAWvXrTYi6zU6p42P4wMq6/m9VqkaSc2ML/zgjyMogdx64/FLeyMtt4b
Q4A8tV3IN4hH3ykRDMvSdW8q0Su5wUe93FVe3d8askNG1PU9YcOX8harhelXM9oEXiQa5eMKXrmz
nW6vCoyMsfT0MBOzsKS3eWmKK8hIIruTS5Gu2458oL3gQt4zmWbYEw3MnQjT8gNF0NzdCDmilluP
A303pGEZi9qmErJ924cV9TCP1+XsT8L3Y4/K4VOZOT2wxNQoj9GsvJsib43bYrIncZC1NfBeBOMq
OORb4YOkFo+qhPm+dswrei/ipjFFPz0jTsH6ZhMCku9wkqk3VZsZd6QRKAeGpvTv1JxWFm98Hpr7
2W3yNhn80XT3xryQ9owIY6lBEytyVApvAVOpgaYcKVja6srEhGnuhmEhoGHOzDbau5UWIwWPFMFQ
utSfvJrlI6nrtWn3HjOOEbcuAZ5HgTVAnM2wHXNkcN7CHyIamENEAPjAjPBmsBb9APG7EOcwFFW+
myfpyJ1bufV6QrTV7aFNDjltAkuI667u1gtTToQpYmSrHo/U0FI2C67bfVLIiK/C0lj0QYk5mpLV
GrxrlvE52g5Usj70lcz7ZBnX0eAlt1bzZpJF+lmFICvPquh0mIyD5Y07nwP5gBkgytA7oor8XNJB
Ka9qM6uzw0QXWSW2Yle7WXKSeVmNMqy2rkDnXvnz53YaYH+PanqRgXeb95ZxRvAgtrbTh++jEe7n
Yj1L14E2ZsgT9QSxKWxVJ2hhcSCgJ49DS55mYlMOFipGRCwDcQ8QUMk9Gh2fddI0Wo+mRd6XVysN
Vsxrl7g8GMNf7DxKT0gi2iPsLPcA2FueWolSuBvmfmMY0rpx2kp+9oNGJMs0pG+MqK7eZZY/oYoY
LOfcD6kdxIE5VVdkVFqfZN4MJ8MhA6qPBpZvHHE7uqjF+6D3zDel1z/MgoLapqmIjcHXpTazNT2s
0XjDLrWldFpfpY7zvrvw8+vmMuKMnqCcSo6JQlZ1KC/V09IdyXwp8AuRxHBCEGseVJYFyQLNBUmw
XA65KYtzIK1ya/gGqI/IKLcFHLibOmxu2Rt1CT0BsaNo9iBkxbZgZJrzsyKmfHY9AGdO0rA6eVa7
rzhK75Zl8JKwbg+qIbnA9c6u0lWi3Plt6LjpTVfMOIs6rPTkuHNObug3OFpE12R5qB3kqenA9PBF
RV219wLxfsyiRGZleqBcjLC1iTZ0W7bamrrbKh2bLenKJ/5OelpG0b9kdvW2o1hHSkpr77GvnLHr
HEQ+7saouWfX3MXIp+9TrClEUHiHrKGcusHZkW6QV55ALBBJCtEjznDKbbyl2UouIo4g2p/SDo1x
0ZRoewL2TLIzrnmC1DgoyD/kq1O1JO94OXq+Ob2WpV0lbiFudJ67iVG1bex3a7QtPeuwrmV7HyEu
zSks5v3ZzTPzpelEdFjbnpbHOpQfSCIKr2tPfigxaN87vWWdNYNjF0VtdbK9+r4qDcqiRNk86zIg
1WEGW21M04fJ6bI3JO88ZhjIH+gXxZqonb1yIzQ8l4nY6q5zeSFMrBvPmxNHO5uyA7xGW/XzXKaJ
jxBzGJypuDRX+70s5xv7QjMqA/PGlPPHtBl4PaybMJXA/J3gQxfOt2j0jzjSj2ll9lC7ie2OzE8h
cRUjxc9NY+SH3lJPvcBv29PbPY25USG0b258fzI3Y2g9s5HB4lbPvHxto/23UgS/lzPmTV2bG69P
+z3Kab1VrXtZhbIN0He2JPLsdIjHSQkgXrhunAe3abozhcD7ZQ0eiFpS+2a1/RsfZ8RHbya+YvYX
2sThcOYVVU++qK6oHV71bdpe5YVB1F953Tpus40qrACV2Tgbkhqg28jKP3r54GydKXuojWmHRGtJ
BDwcM7IaluNqALxdZ/MJzeme9teDYS/7qpjaw+iq7Gw68NuXBeVoOE8ZsmThs42M6rc4DOybnAjN
fjsvgXuT5wo5Uy9ysCO+dV8TTLA1Um3FKnVWstEwzITWCJ1iXZxP4NqL35uCrRVBEuEVtb6UWrJZ
7QD1/F4DaN72Ud+fCMY6dWbJC+qk6r4XKjih/noyIyM8mIRhvdMWgnFfUBbog4542ymQOxJyToAj
OVA6NX8fxPqZbo3Yea68E1pFX5CiNB+Q3j8uw+w+KYe1bg4pJ1DiT6mn+U8isLKHqSTatKlqdsB2
UCPMlDSAHLp6S5X+XtriPBAVvVuaMvAgzM8YNn0SWkCkS/9dZvvp9crsfXZCjPtJjwLUKaLiulFQ
Wohc2M88mBjBud7g8zG3ga+QBi8DIDtqjV/TjCDFWrdwq5jnUXRsqEGn+yKqiDNRbkGOieUo+LBr
i6qFiCPGhTF9wCgu78usd27xKqMAd6Fpuo6Rnd2lHHZSA3rFMJN4izaeUkZzxVmm9T4Ggb6PMBt/
IEBqhZ2Mbigsb+a8D4e4YBc8JWpQR4rkJ+TLmt15LY86Ms3YFIP3HPCQr6fAKOMukC2p073CRhaE
40Y7WbOzFkPth9Cv4sHDgkKd+WpuLScm8InCr4WWdZ3YCqxrWj0I5bcnv/ETH/EBKSkUMjYTtYRb
x5n8Q2Mu2AU8zgeNkbbnHO6zhKz7ZVTsHexKmdscviwJ0xdReUcwRQWa4Lop/BcFeh7TtnkMpHto
TWe/9uVO1xwTN/0kom0arf2p8DqbTiwv66i7BXNROyDGD2qHPIB5woP2mHuTBluie4xXd6ivQmc8
GgQelRxITWf0Hwo5ZVGx7QmFAhDFYU0sY2Jlwje2phjtjAxuO6jAwxSDB3JLpiR+oO0k2A9h6poW
7J23c21jWgnnpR8+hlGqJh8xeY1KPNFa4op2jRV/wc6kz2myko/dnDu7UmZkLLxYs5VFd+44vJFz
O07bwi48bFflyt8Kr2fTVGRpmt4kcIX1pNRuEGuNBApEJrb/4C25KHYjPlSqbL32oPtg9OUxqpUI
2R0Voi2aXe9j3NR7TGgWcVYTaN3Qo6dN+MNK5sBIQPuJCJbRKVWCrtxcafWGEs/sLv8aL1QSQuPv
Oqvu3mdjn27SwbV3iG8UCSO1CHcAe6xkmFNyyt1sjPtU7BHhv7DiyjgiI+tRDNhsNx1imy3wy2UX
uLTedYS604u6L10/9TvQpSihguENsRLbNSSwZPY7mtLGqRxMY1saMIhxXnCaXUvK8tg0mF5KFMA8
w3fY7sV20LyaA7E8G9Mb1EGQR4x61JqsKca+Mmz8yHzbeGNzYiiKXZaTwFQ4jXE9ryMHSPrth242
/bjJ/BALHbx26JnGkETSPwuYneTsQeI7MnibWNesI9KX94UaHX7OqPtnBOrdGqdSQJyku+VvU5Tg
3QbQF9yTdqneWUZKqyalfTK4QTdsaZ/4zrDRdB8TkyZLvsnIDKsTgxrmuqG2RHliGXIOw6sXYGui
BMlGwop6AsByFlmvsLMp6ZfAec7pdJYJuV35yebRJiSiZBs3BE9DcEONnLoMNkUu9NUwzn5Sr8uN
Ht3qKBVetcbflItNYJqYdm5DWhshENtcL8PRaccZQxsAC5yD6727zumhG1GItKmQb4zcjA1R0xyp
1/wGk8NCqWnuvljkIFabcbYBncjJujIM46EoHGdP181LRqahHdrf6zlsjB2twERYZntCDFyjEGdf
Sz47zY9CeRS3jG4OHjjnepggiJXOzHF5HBztfyA3ifOuXzvHcfJdxMWZtW99Q53Gwn7unag/Wgpz
E4XZN36zXi+YfNZLUIbYm+Vw78wji7xaHcT20xeSM9oYq053lAi9t4ggxqOL4rhsLX0PCSuMC4b6
LeZB/1hUkc15vF8IgezAeRwCxzGu1ahSlcxUNe7SObhYy3krnqnXpFtSUYeDAVM/zhHgJgbxVVhi
gvSJjWJ59H04/cDpurthsh98TAzbGrX7fQf28GjlqT7VqWER4tgVXuL5TZ9gv212hYMcNjCIfwm/
RqgZxpRl1Dzz4BrZPyZRcrbSk927OJHcaF7wpfgBkd+quMqq0dg2Wek99na9qtgcS37fJASurG6W
SS6mdxja+9/Xin/ilRFeS8T0JLp5c3XdGYF31yg2wyKahke6oWIzL0YUR0Ve7ShxWHTcqNElDRlH
ezcnN72cLWvX2MO294ediKT8qEx3wUVrpodSdZwMjAatvk5nEm3c4VPJ+eJcwsRLlOlhbTE5f6AV
NDf4reqdEa1M/tUCJfyPlLr8j8y65WuAndW2o3mAJe6Lt4XGiGtTXt6mQT/eLJyvryKu/4nCht56
HO/fAxU11thDU++1FQ6PSkkOSEOd7TINqLXN82FryFwfLGrT02yJE6wjnQITyYzfF7NdubtBtx1r
xOfBurr7UQ/DyUox+0g09W/kyMnXqQrrk72KL3hbmgP149ZL6DdOjwSfPSxmJmK5YmlYlkBdp93q
HGcJFL70CUZs55Qa35LtcNEhxyjdt7QgOhqFg78Ri+vusD8qdnGswGGRBvuhm+yrBvPrIdVhiKVK
Ep+2tt1RQMTeoQBQtzpz/I0T1taeql30O7rq4iYQ3mel0/bOKdwaZpPFNiTXpMNPctrVjiFuwE/S
sTTHdRu0vd5gEcoONv2R+zmVb3Up9phtCI1kT+eF2cklsnBjksOUpK048m61D95Yt0f1NQnR8tjA
YL8l/JMzT8qpp2d4t6EcHkAk4LcdgnariyE/jFVDLN0q3yEZ08cIVuAVBdMwqfvcOYI36u9MlVbx
ilsZQBdapp3RkAa4BHMVezm7QNSqPQZHJZyPMGeMfSMsRPtd53QV3qNu/EQdan0B+uyfRIDRpG7r
hX0PWa9jPqpt6vvGbYmC5mjURnVjUrtqWOBl/kQNAFU8vYd4zXvvKIS6aqymOVN0JLezcQ/EQIYU
f+ZrDJNRHM4Y8XJjOcph1HdlWuSHdkmz5/BrCKXAjJnjuLX6aaPhsNwTooeoFMcedchlKvZ6GI8N
8+ig7cd5BhSfluKNyoZgl7fcndnWN4sy1aFSw160LV0J17vX5swbnXvr4MSqNsfr3Er7j4NNADXB
hBZpZARmjtXOD9BR88/N95QPyNFcvmZqsgnB+YEv4jiYqSFiI8IHubBXt84o8p0TnpA2o/V8Sees
ojlZCTyLjaHPPrGxWD4oL2LNMi99p8izm22K36RW+nkqG47h+ooKCMIiKAfZpi37qw4n1xYJFGlg
o8dGGN099civCaF5xzZ4h/0cmCfWrH1lDxZyaZyBq21+tLOi3aWRDD6jEB9ZizudUNFsb4i+tZ/w
ermnAP3rDjApFjM0jt59OuLFrdoCgw5lNkxdE6zBlb1AjG1MHKuQgen1+SVItlweOR/3vDardd95
Wm7HgBZ8DKHC2ZNehpJhQVP74GKFqDGlztG1kqU8VNM6W7htaXJpixJpbbrdnTbq7tlifdvYPaOR
QFzBJl3lzrYZp2wrgZrGBEHmTxRf1K5mDxfPkLHOxcIBbETe+5yaTO+0mKITpjL7YWlN7+FSLrqn
uOOd7HIcTotXA86vW18dAiyAJHxH7v3EqvbU8bsxQIuyOrBd7ZOoxy1Z42F/QH//fvTb6h3yJEJj
5/ESIGuFl9vSiMV6v/qkQ+CcJ7QLOYfDYUV6y3s5ifXZqkJ/gy7cGtk0iuZl8fGiYc0IeT84nIZY
iSi9jc6BE3YIMKQr3JNyMuPKgj52Ki13uqoweD6nulYx5yYzIXo34OBUVtOTRHu5j8qxJPrRYfxQ
j8HPNxOMWRlVSm04+Jqe2/jOkn0ghey668LYMBZS8dqvKbtEylFg2uQsT/z0znF7SbGzQ0pXfE3p
NaWJrbehFJjGgoPyF6WhMdQxu2kKb0hl5VmDD512jdNXy2ZYbcM6NymCulINRF1GX/OA6bD5LZHG
xOZslSX6R4rw66GOFLGhuefuMuEE5c7vgvpmmYf2vdPj0QeW7TEzaWewb4eKbOGZ+Sfxw87ZRVrY
N1Rq2f5jCqa+HlwCiodLVvFsiAUHXYd5czQAsiAGDKZTxp6GTB3D3Mpey89hewk6rig3JhQv1ydR
2Wxjy0th3SbZEIzFPuqGx8nE4lb7BEMv+U1JxkM/RQ+9opFJ0meSr+1TIYL3kfiAZqW/lvNwCEmy
9vBPygu0wj0zN8bYBauTzIH2EtFC1inlXzq/+5BiKGW98jTTithkdXq1lPSj/czjzKvILGHvRZ5f
4pNRL+xh2ZXm0u38dZax6sY49C+tnc7dRGV75xktDYyUkF6Z32R9t1MaKqpW2jlMyn7QmmbYILCl
Gvhx8lHApRzLdw1lq6TyWSoKqA8eSZEWlYpDSME/a/KzMfVqRxgpf85/UU+Nm+by0UZogzJsX+SI
95FbXoLG0xlMZx48BpwCt2Wub01s/WkY4d9kjCAyJYB07m+QPd1MabCy2Ixfora9WzlJxLiQy3sg
F7GY1NH2yut68sJkKQbK5nk89LiHxGIGd9kcnq1aTQmU+HeWWX90wvDWW2zKk/5NCvYrCbPgi1Mi
ZQAE7j6A5Mzum8W87hv9UmcC0yczKcEbPlyEYN/0at0OEBKTkDjmU83StF2pkW3SlhOvtPziXHhk
f3NyJ9KtzgMCC1V+nUU5VvHBWUA+zH3ipAN4F4XAdiWctmF6i2XmvKzEhCyVcV215X3jUH0RF8N0
SocaUxSQ2wzBUmx3ooe2MD5zfw7LlJ8t4Tw7Ud7nsesOwVkwhezZ8aWsKbSeSq2L63AW8zMDIdpE
VouRYryYMFdX09yQ/qwxfnturHNLMxTrEBxVtTi3nF8tQc2ZoAHm2ksAOc5zwsiDyjJvXDY2FHyt
iDDLrkRf0ZIZban0g9E3SDmpT2xoer9XrnK+XOavGLp39ZLSfhEnoLhkZ2cr+7C7HDW0vE7pimnK
ihSmjsKdOdjNg+27t0G9dGzfBCpZEu2hTnep8uFCgAYsx9PYdkV2RYOoaIBOTuYXxXy6+f+yMXUR
KlUccuLa63e23U671Btk//bvtSlfXSHfKVMIt6GieBF9kueE1vt7MVBZIX3szBxAvozy+9qt5cNs
DRyeTI4TOtFhawYby5q442B0WgRCzF9jTNhQ+q5VHTG9TusacWrUUHA0joj5oaVNTmb4TB1jI7PC
rLfCgZCwnUi8RHsXtfD20lwPV47f8iGgYbi1zoReJMMkv+15+vYftoz/k6r9C6/JN0/8h8zA34vP
sv3QfBvx9fVf/E/El0nGF/aHC2yZ7hZWiH/r1DBX/QYG00fAhlQMoj3vxf9EfNnObxdUJ0JWbBOQ
/S8+VNgpMv+vf4W/Ie51I0gdAbTJi0Prn+jUvteVGhcF3UU695olhgRu6da606e09WmDfzAW5/DN
Pbj74/X+f61q7miryPG//vUXn/za0KBRG4u6r+cTpcQXYl5fjCH7CQ75rz76ojz7RqXdl9pgkW1J
oSqZ5ovBeqgcOAO/dt2vBikDl1jVupxPgQcPXXfNbV2lzk900X915RfR8jdXHmFaDmfYMCcvUFd0
Wjkx1dHPyM1/9eGvhG+hD0tfKK487Px051RGu+0ui++v3ZfLt35z6ZoNMV6vcTp1Sx2QTR7h4ljo
UP7ap7/SSWZFXkoAL2BnsmHa+uT3nqNqmX/x2hlF3177ki6Fn66+YivZn8Kw3uZR8JMn+r3a8X8H
0GWG+PajQXJPiMmX6VTbnWmjoYbOsV9t5voPclpXHasltUtCtCfj7LYQZn7xhr1SV2oKnIjAtDq1
BQmQXptYnKF/6Vm8zkSz7aaHoOCoE9DOKL331rY+FjZ0k59kFF3emD+Xw/+9Za9hyKGaRNlEuTo5
gyn3ESanvaXyn3k0/+rTX00OkSRAvZQ9N0Ya16NFyLmenn7txryaGixF6x19gjoNQbDQ2qSacueu
cvrF+/JqchgNzwzUMKiTynowRXVI4AQGol97YdxXs0NWuzKHLcPFD+zrxhbdfJ2u9792Zy4P45vJ
oe/XjAx4Ll1ETjQkS2r1H+kvVB/+/uMvd+A/vTGvZoc8QJfZm6k82RDgHTTLFOOU0zQPwxrRHUq9
wjz+/Tf91dvzajjb6Nds3iB50oKN0WQ7CELUkvzah78as+SrWvWSuvLkT0Vx1zTNcC089x9ZmP53
VL32cvaVCulBtOrUBNF1KszuVFWZ/kcJU39++KtBFXq1qXxFr8xodPQAxVA9GcY/i2P788NfDStt
rk4weiO3pczLs8UueAe3pPq19/5rPO83r2YRytUHzESbj+j0Yj+URXGriwCV9i891B9M+UuY0sH4
2kbECo7od9rIQf1E1v4Xr6Nz+f+/ufjaiCDom4089Y4fvQN+tbylOPkzsMpfffqrYSWjqSzoxPPp
uVIx3mkwWO3wEzPC5en9hzHrvFpz7XpY+jkLxlMpvPnLALPl3PZrcGcsg02pR6VLtYtax/u1O2W/
ulOthc8RgZ84tXVwS8XmDU6g/+bsy5rjxoEmfxEjeAAgsY/dLanZljyybPl6YcyMbZLgCYIEQf76
zZ5vY8OC7VVsPei1GgJRBwpZmXekLxx72+RQ0gdq3KdLMAfDoQvFB1yoiHk88QLOKkZtMoZ0Fdoy
r1z1A3zdr3Hi/un7evFmwpNkP6+INxg1fQN6gg8sHt/T9sSb51yXVWHqKpsv0lb3KrT51v3/0Rz/
33AQe7EGhBRojYwlijWgpoD1Cb5wDKTSokHsxZoKvHV2DBEN5iVsHvaoceBkisdPtF3xMvgSFa0D
QMlcAAPCowIAJ82RZtnL3nifdA1wxTiDQNU3Bs85dXqimfYcNaxidFynebroQD4krZkPy9Q+02x7
p5tBaqLa0226tMDOiMKdNu2Iy/YO96wMaLUCN1323mBqUeJ10LwytfwHv/EZb4BmHtYEzJfop0YP
EPW7U9Nr8gF/Mu0dbl6hfV1AofeC3vO3tdnu4+C1Wes/mfaO9p7O4KRp6+kSNfxY43GtxIMu6TP+
J7D1UxqqZVjsEZA4lzId/pbR/KTRzKV5pM8LMUJzKRhAgHZxFQOafmj03VItzQ1t5dfN+mnlI961
0EnFpiRcHxnIERcVn2mmvbRgszibur6ZLnzsUzx1Bd9kuv+g2fZ8kuNRDsMZcHeopQMNP7zDo8Et
zbTnkuhMD6LJyumCvTkUGBCDiDnNsueRI+jxTXbd6yoAPD/5F80C2lf0VaEyAx7CEiQgl7Qvv1UQ
xj4ANfIPadW/sMqtblJLMkwXcCm3eDBevhcRo0Vtn9QtY2Va6xat53TDZHEaQVvc0ooSn0NAmDFC
R7GdLnjceERP+3PRodX7/96SP1y3/AnKMQsiANcQpNwyYDAFI1sNBD7x9vG962LenZjKJtrF4hd2
nZ6BFjTi08Vu7oGb+CvYjZ7+3//FH+KhLzoChsptdODsu2BMezvgZakEUp9FtMPu84VBVhVg1hkw
lABzciIzf23W0NqbvtL4ukumZIdSdt/wWJp1wE5hkn585eP+aVs8Lx0wL9W5IsADdbTdlNUCEs6W
5KZ4VHkZbDsJUaK9RpoYoeoDRCGbABqLP1I+J6jaXhpH4bYYAcJT9O8yoEvfoygkZbf/2u8/5wgj
9wBqo7A8jQleAgFFTl/R3fr9XkOM7OWay9AGmYsK7LUQgKqK9APAhOUrJ5DDyK8XLLwBvDQe2iQs
BYa9LmDmbGbw6CRaPvWi58NHvA6nz7Rtv/5rPyVQOekZ9M7YHOXKcyMwT5K9Rlr2p93xEmhctbg0
pBLoA6tP1vVni7qWtur45aobg7g1x5m+hOabATuyUsRT6GVPsCabELMc+sJMd69Zc66vED/aoj3P
ZIuyvB9SbHVfpYBL46W9UbQSLvW5m3q2roPBaMElBWT3rMEaewLnf0zKRiAofLnfi6whqCqx3xmI
ysB1B6hYQ/uUmVfWBuBkX6sBOw6O09tFBycILpKafWnmuSc2dwYVF9xz7vnd3Cb3Ea5upG+Zec7Z
YKJsdUBZXjInTsq8B0MEcT+u3vSTQ0ZruaSVxlYD1Hsas+y2h7wJbdG+Q+K1Pglr7EfSgWzUSaBe
Xisprqv7TbDKPIcMgTdEgOL6srTNycUIV2AvoK3ac0nN+raZNxyQBOEbehT3ADkQD4jnkbUCSkgB
Fn4JdhU/sWTZDhNg7jTrqZcuIRi1phhXQixJlDpEU/rByNcug1fv+M1+g8TkxSlJnan2ckHjMLUt
sL5sQVN4c1GCoWAHQncLvJbDpDJG8GjBy6esnfaiAs8jhhoB5AWyyfxTgKiIaNv300JvethWIEHA
xHuzA/Jz2CfQAJDOT+q5ql6iQExZrS/QWb10mc7b6TXu5D+c+v/YnH7y1U1FwI0xmB6uoi99/F7W
4hV23j+Z9ny1m2oZLU2E/d71RUDHowCCn7Yhnq9mTQd+uhI1uQT9coMJBClvgSxzguawqeewUAiB
ft4MiGTW7RK4LlzpBKgSaIv3XXZiIQ/A1nDBwCMDFL4xp7RL+Ilk3aexg3ITJCy6UWOqrkiPYDQE
uFrRGp9gyXvpsww0ui69zgUPJruASmg8CIehHNrKvTSKy34T2x35H7NIgKLv4TRFd7K9aknSfsBz
0qXbYgalDn3B1QiDPxBFxCQfzbTnoZCKhXixghulFvSAW/M4a0uLweLqXj95aLGM4PSQSmNb9Bvl
phMeYW9oq/Y81ISxXNWMk2iC8IQxhduy797RTMcvV+2CaIqvZGSXFWB+zCu3UC2CJlf/L82856AK
YAxetBugEl0dPbmKu7PBENh3mnXPQ7O4kF2lMJyBSbnvaqo+B1lGe01JfdARKMJFvEQANDem+Ftg
WsLUC9W255511WICiuMUtpP8HjX6OMbLSDvhvkhlaBcxMIEPCuwwqC2lk+N2ArNDZmknxucv1XO2
9rFE4GpqADMj291Zo2jHxReKrIOk3SJw/1yEWd/uXZEzLUiP2qnPxzkkGACqohIlUhB/mnh2Wexr
94prlfWbCol77lklgKQX44Rbf7sZ/i7Ss1a3kHPCeQFtoZ0hGrLzjwqIfYV5iBEDBFVijKX9Y8w7
THY3W2L0gno4xRhiiDKsmy3tyTu9cuW9CGqYCtVNj/kp8Ks+2mL8UoUJMY8wL8yHePuv+nFA8s7E
GYy8z/sc07olPkJFAGIGeHGFwJBg6qgq38yZeSLFHOaF+TnY67HZe2x3okCtAtkgzEQTmw0+hW4P
vC4Gs65lWAjsPhJqZyZaXPChUpDbgP5PimtTHfLPsU1vm3YhnkAvyMsFk6JBtKLsLcFowtcOEl7V
a4oFf6hOfQ7zFl1dgLBSlDJx+Th1xYNpMlLHOPVxLi0zZrA1PGfvLIafF8zf1VH4D+mc8Pil5wB4
lbSgosZ+r/pHk/YQO0g1DeMI3YCXxgOlMIJrrm+4M9S9+jHKKwil0SpT7mdVGawynuDznd4+9kn2
EVe+z6RN8fGAKokdpCvRMZbDHv6wNSiJ9mmA3g/JfOKFQtQxrAf5CszL4WsrdbccIwDVtiPNvBcM
mdt4CgYQXJRc8Q5qs4dijWjF4y/QIo051uhal0JbCfRUBnxUYGMmbotX9LKoEMwmyNgGZG0HqBV9
B5cnsR3j44o0pDWXZAo1JLqaJzBiPvRjQ/RPL68u+xz1ZQrTbqovYEx7nE35RPuUnne22WQF2s/j
BQrIH2OnnmKbEE37vrluyTpj6OMC2sb7YjEf+wyqnbRle67pDFgdkwWRltvpG+Luve56Wi39H2P/
T9cXE2O+Wk6Is7Or7wRISrpspHUBfBgOKKKz1IEx+iL2BpJq3dtlHd6TNsQH4UCWZFYqasZLCGUj
N6VvwWtKrE98ZZY5c7yWO5bNpL3sZfAWqHLad4w9jwxm8JxlGTwSA2zv0rF6kjI403bEq0+yEYI1
e4KklizhM8gJ7ndB9EcfvTZIC01e242XVIfPIO+YD2WMeUfauuOXKW128aqaaxGB6ZXbbYLxeQXz
E82455OcD7pTIB+9NEMGgvE9kp+DdDW0rBZ7XhkVkHlgE/ICZ8WdW+VfYA2iNf99/FAHynuQ2Gjo
LgblF5uF7yGoSMKIp79IkmC6M4HAOjacGzAT9GAiKS0YNUk7Hvm5cnTgEaxi1IQYQIec24JxPSNo
Z9wHEaFmizD5zccLtF/eZ7P8ADaHL7R1e55ZITRVtcG1f7XCgOIVCucgtKIdw/+UW36KsekSq6xc
cQxHaFFCPLdZDqKbb2gr97JlGrR26K/N58BVNwYcTF0WET+m55sKc0xQ0EVDjpt1O+BxEdPa4OKh
lVX/SXb9tCsgm1hnkKPpS9G0BkPH8hFy3MRWy3/aZD8Z7w1Yu4sS4XBZEkDkG3WAxi0NlAPy4Jcx
C3Px0Cpc8D2dcbclU89TaWiJzccS2abpraxRRWCcGqxNqXgflZaECsGI/ctlg91BCNDk4LV8lSAd
XsHvxkIQxJLOoQ8nqtugKuxgwOAFv1nD6l/w2b6WN6+tgd90Wnw40RoWCqREwIUtbq0/IoItTy4a
ykuB6hYki2UxvtbT+f21E0JFL/doCneQ3ULl9tKmCS5Cw1McBn9TNgiaZy9Ng08pSLTAkQQnqjuk
QQ3qCzzfkbwJOncvrbey320DUiNQgrLbqZmfbcqfaQv3wgBuD5BHEcF40bV8b0ewiKz6I8V06oO3
pItZUY1svBSFvks3+0FFiva85YO31q6CRsD1NSGAesBhrhbo5DjQp9AW7u0JODqg7o40fak0v+dh
kqeCatorWgCXSTCejTFDNyTgmB2rb7XtKlq2CL2apYBMj4B0Dmq5qb0xgX3cSknKFphPf3kCe6ZA
58aA3bJTDKKOsL2qEnBSZw8SDS+N76mdg2zApoStuofc+9u2UqQ7+P+oQfyUKvCQEPBey2s/Um0H
qIi9GWLiVCq0Al6uGzSqC6YckOSWeVGgMdSPO3j6SYcQk+EvjU8xiAaAZwWRFbia+mg4NvY14cw/
xUHvnKgM75Q7w9NTC253sDmE0W2/Qm+b4j3ChxLJYJRr2K7jZYmDO0wlfJ+D9BPNtHdQ3NSJoQtw
wNUcYUaxPgbKkXwHKmQvt7u9CnO0c4mm+JwOIK8A61A5a1qQ9ZFEUTg0bo6RHWzYfkm65Z6VjJT3
odvxct0gJcmKLUBLUiYd+FG6pyudHG23vZwWa6VjYO5QCaUViE6qjt/EQ90QrXs5LSrMKjGQiDtt
BrnMLtVvN7BN0MKVjyfCLHrMOouKv4zfSaiBM9MSLXtumbJFRsoioDQaui+jmVeQx0JtgbblnmfK
MtquFPr4mmK56+3+xkX6jmTahxMV7arVBCrLy87VLY/Dd7KRpLuy8NFEUP0QwFIDbCLV8MO55raX
tJ4e5NNeHu9u4BlPLMqTVI3j7byb/a6ZOku6c4rUD+A8HgfZ40lpchxMV8FlbMsPtO32/BIaz1dN
X6A1uIhBW1zfQfuFuGrPL4vQqrQ08JwJqgetRPutek1i/Gri11pcpJ5TooLt493hkJRCnNFmf1OE
tBB4ZSr5+dERgwFlPwb4kFsNlkAZjSB8YiUtV/qQIfA7DTMIoHG2wXM6JO09C18DgV4P2u92xPNI
tAtbjI3iHRjchYJ97YCP/doO0VifIRIViluZmfBxCxlUSkgHx8cQodteZEWNjQIh3KMu44chGmgh
10cQVVIAT1jI8dIPWXcEZvFry8fXRIP/cHSE56kF6Iqge4zueyqKG9Azvk3SjfRmIITnpkgVSzFA
seQCQtpTaMDTB/5KGrYCl+SXBzOFtEzLJ+w3GJB/QI/yedZ19UopdLXxm8Pjw4fKqpLrWrHhMoZQ
7u3F9GQTJT4V20oL6sLzV0yYdDGkl0ZcDMFDCeGOv5VVr7VZ/nD0heeyaCjU2xahV96lcX+lep+/
j/UQ98eyyECcWzY6eCyGgRghhJdZ62Ka1GABK0qU+QRqz4d0mUltUeHTGM1Qky7lgt7iDtGuQ9BB
YrivLW3WR/iooqGe6sLgVF76VSQ/KlCAAwO0QsGCFBC4V/RGyYQ3EDS6QRm5bM9h4dSXZOqqE826
57ZJqwW4+HtsDSi88xgE2IehU+sjybqP2eiHZZOlWGUOUvGT28rTWH8jWfYRSy4YXbtDXh6vZlA8
EGA9PdrYrLRro49Z2hsMns1gC7xU1mGEiz+CTZMWzHzMksQdd4UqIjqjawR23ZmB3fcgqv2VPPvf
c9NvYo4PXOp5Uqq+lsNlXeaogeVmezsDclKD3N5aKIWny/AB7V79BA7o8LlXswtQoHTpt4x1zZtq
vpJgQq1GvplYGTxnSQKqQY7s/a6em+FLAxL5CVJSofs2BzwYb5FuTXEfoSh+YwMNW3a0xRWq7miY
XeGjc6KymVpbjjJnYXdwxZusow0XCx+aU6h1lKIYZN6bmwDas+lCG3aFSszLrAJhrTB2BpZ5Mt5s
Jrtfgb0gnXxf43dNejDmDzAdgQ44MfsJ7SRanPRxOdVYM0xiWOwHX0rwQ+KtLtu79Ya0cB+awzdT
l3GsZd6Ue3QKbf9o+4zWWBM+TEQVy94LiEfnDOoeKb8V4B6nLduLkGXVJsZhxChP++TEQY67qg80
y15dw/cJcj1Rjy8JXWhQlICI+AvNslfUqKsgqDWDyKEB2x73GdS8UQ8mXpJ1HwbVazOCqxO6KHui
30x6fFCDfKUVeE1qv4teXhFg1r1P8VLXQIUsLCqIvZflvSsn+WZfYw10t22HJ4wag4u8EkNL8ygf
HBXrLo7A3YweOGRgPjMI4aLcabSi3dd8gFTtVsvWFl6FK+D3CtqYwxD8S/oSPk60lUM/yQamWfyA
wZppp+2IDxEFTd1s6wl2SwdhtAppqq1p9xsfIWqLqBYGvZ88VFX27lpsv0cnpftK2hAfuQQ1nqBN
IRgEkHFoTtkCdvC9ci2tLEi8chtg8aIM5CRyxTmE0Tivbvpd16+k7j/coHxKJAfhENGmo8jlnDQP
4JotPmjtqNHX8yzIJcbMOMHzbIVQHo9uQapODOzeHVlN7QqqZ8vzKLSnePhaTzvNdXwAUy2zbDXR
LPIZLMVD8U1De4h0UHz8EiuWMAEfDyzPcjyVLHpSETR/aMa9lAG6L4jMFoznarV/Fbt7MCvtDVn4
AKYt2SEYWHKehxr86rMuusM6COJVxscwlb2oGd9Xnnc8eQ8xtcfJ8CfanlxP/U8vMVGGEZGwgWkE
rBzqDpeJ0SpqH8K0WjWCA7/nqCu2+hyZZTkX0KghHpT45bonaEdEQLrwHHGluk2DcD5B1LQiwaxF
7Hml2VRibAfXsRIznim/QEqHuC2eV64rQIu8XzhEKeWpgPBLzWiBygcwlUyraK83DhHwrLvJFGTB
ZMRo4HDhY5jGNJBFs8B6tvLxph3q5BjiAkD7nD6GKUDz1MQrjiHmlu6HRX0adkbLDj6CaWbQ3TUd
vN4smfobF7t0hUaDCgwtqvhUSA2o/UFWGmHp41jdJbiOnac5In5Tzz33KhN1WAU8r8HfpIp+PrIe
6gck34+8vJm1Fu/eMYxDgJMdoJ4F8QoG1TWadc9DpYbESRRB0X4tId99YLoIgAm4ynETf8BzUgxe
pngCm1je7ePJ7tMxjiWtGvKhTOgkZzoc2jA3RXGMoiJP1phWw/lApg0g6xVzLSFkfTBxCf2MKpa0
hO8DmUbw4rW9KcNcB/o9xKk+6C4gITuEj2Pq+qptxsruedzFH0HTAcJGqNeSDoqPYhKJHed0z7Yc
zNTQnKzlpxWyjDTb/GWaaLrJ7hpC9nmB2cgYXZbafoAqEo0MgPuP6np1GiJDYskrnubrFJygeEhc
uef5faNcnKjU5WIRD6LvbowMaddQH6azQXEJ/Bw7FKGG8FxBhHluO+Lp9px+L4KGTYXDqjVoINdN
fsA0NK3q9BmW+n2KsjJaXO4gL3QzNiWEPQtI3NBOipeXMWopwYCmXL5AzmGZ25u+KkgZgvsoHSHX
yCAnr3k/otOHR83mKj72mbJu7qN0BoG7eFjLNcesNRAv/GGAZhDNtFcvQ0tlrnYTLDneAE6pqfIm
ZaTdBvzmpV8uY7uY2lY2r812YCw+BJzU2+Y+mnAAn51Lo2LJlXA3KitubfGdth2eR0IjZawGaJ3g
hKzrk+ApP2cQSiRFQRAFvNyRdkg6qDRBHdNGOj1VIEK4SVYaSQGXnluCPCCJawUNnXblp45HDyVx
nIr7gCihGHRYhtLmY7K8NctwAuqKlHS49FzSJrpkHJJ8ue4MZISbBjJy2Q/Sx/S5jzJpMzBL45i4
q3Zx22/9bRXOAanm5D5siTsVzVMYLYBtJvYmkJJDLm+OTrS1e87TaQWi09Ated0HT7tab+tG/EMz
7eXLFKwHjodqyaOgyYu4f5ft7Ueaac99Noa5p5rPSw6erMcilh+hrkgqfHjm+Q6oPO2CK8SSj017
164btNtojC3chywZVW1uDbDqNoaaLZS/35Rt+i9tR7wCNmpVgUmwEcpW4nMZrjdQbSJuiOc5/dzO
PBMSljESv3eQoeavcRRdD9mvrWCI4ryMU3HfMmhyrEueDuMmb9JuSusbW0zxF6jtDuKQGqZofSbu
IwwgRKNDYMPnvAzQVYaC+PMIISlSqYJRTO8fMWsiwfVj8kx2typNz8pxUvuA+wCDqkpVbctuzveo
fQ8xrBNvHe3Ww31sQQBpcaRiNUPQMv4RqejrsES0Oz4gUC+3RMzZdJXDNXk8fOeuOTWypoUsH0XA
20XHxYzNhkDrEY+ftxh8pp11H+bmZqh7D3JBWk7qNzG4VecxoOVkH+amFiYrUGNACrwZjwUGT8Lp
/+hu/ev+V/l9ePwfh3ldaIn7GLdiT8Ythkx9vqm1eDbhWN8XHZQbSZHFZ8cSQqcoJ4I5T7oqhLJf
m75JIO1OK958gqy0smpRvMatp7+ybMhTU9akWw/3kW5JyLI1Afk9NHzFXSLNPehDb2l74h3uAc/o
IB4PTL4beUin4jw2KaldwH2g297g+SRZqzkXXzN7kwxEs14UT4VTcmzrOYfq6ZGnKndL8UzaDB/O
JlOFFIkeWL4EKSh91BlEUK/Bq64J/TcZwsezJczZsGqxG3U6F29WeNE5EMrQSisf0NY5Ma7QsjL5
pPhzsmXdoZdmofmNj0haN0gXT9e1lp1Zz2JpphuezeYVv7nem36zMT4iSQZ9tKRgwkDqVMllBWL5
bz12UPjem1qzmzkwZXRI9NbTIBrcxyhBFHQFVHw0eVWG+2HMFn2Ems0rb8J/+Mw++1E3axZktjV5
H+zj7SjUeEr7rqfV/j6QqAlm14kJqQgiU+F9G6UIwBORPJj7QKIKA+FVbKYph1KmOFVd95nPLY1C
jPtQIg5V6MzFesoHmb6FyGddivckr/VBRKXTM8M025QnjT2sMvnWVAOtjeCDB+aqdlOvYHoaMDOD
wusg1uW1WcI/HRWv0F2NW9UItua8C4LpNA1TeBItjWae+zCBtY2Geh/ZlEcRyIfa8H42Ay3W+BCB
JEuy1S7DlGdbdgrT4tB3NLAG9yECqwxBzsI6qLsPxe0+fo/DglYP+SCB0GXg2w7BiBnFyQnMAcds
Jt6zfJCA2Ou4CsB/lU9Nf1ikO2RjT8t1PiRx64YG40m7zruhLD9nq6sfd0iQ/0NyHB+rJocqKyBG
pvMSZCy8LQ6dI2Y7H6yWzVvVLw1MQ5F4PjXboo7pODriCfSLlmUIwGYL6zpSd5DePgMaTmqnQov0
ZbEPDr+ylGXbIdfF8wmaL/25WgAjpu24V7uM13mzZIfEfQSgGrL0u2ykPehxH7BWrx2vCyiPA0UV
AS1c9O36sTM7pJNJS/cxawgnRWEq2LfzGp303nxdgpbY5kuutcFP7+2syhJw7Qf8bI28zFtySMEc
SFu31xaqakgwW1an5yFYTmsMmWfZgtyIZpy/XPcGMpIlGJk4M5McdoDiRETzTR8bFM4107qu7VnX
lt1mVbnfzRuUwWnrTl6uG4ipKS15ac9NIO6DqrqRdnykmfZ9MzMRn9FpPkNmcz2Ek3yIi5r2esp9
hbF2XU0MvJc919P2YYIcyQF62sQeQuI5pww6XDjNdVOWEhJyaZaDmpy4ch8clEAGDOLecjnLEsys
WbyKI9ZPux/6+KCuqGzQuhTGi+I9OGw+FSut4PTpjaZu7M3WJ/YctOMxUtUptSnNMX1wUFTpLajW
eEGHqTrZOAM+6G/SEfSBQcsUdZaJzZ5Drr60QXe7NhNxP6613E+BCklym6phtWeu3ZvR1rdyp1Ev
ch8ZNOKtLa4qbc9WdcWtLIPoYNkQ05pvseeW0C+JFN4h7Hly6UmH6rnY9TNtu72UabsGV2a92PM8
Rw9xWYLFN45omAOMer7ccNTetu0XiwPI9Vsp0wHd5okWqnxoUNqH9aCrxp5Xsx/xQ3dJamnnxMcF
mSlseN3gY+5dGBzSeLgJ+E7skv0CC7KqGHXY2vNg8MyxNbu4AR3+N9LX9IFB0KiwfME88nlw+m7v
xAGbRMs6PiYozOYBfXKYTnlzbE19HEua/gr3iY2KKdp02sC0c/uttFfWB0n8lF6unBYdgmEcngNF
1/kw9Oo5CydFKyAizy01Rr345Hp77lV45Mly0wtiTeWzGikeljbC31muxQ88Xh0rLb7TzojnlDWT
au9nOE6ys9shHOwhQyOVtiU+FKjvNjMpVdlzN6j3cfPPEKSkiRHuI4F0P8jYDNjsJHTICfyu1DOt
OvaRQCG4eAe1YrNrAwaWtrrDRBHtsuMDgQYGNrAI773QY+8PArogAvwapO/osxlNETyl6ZQ9l/V+
atJ8HgdacvfpdNrYDrENguXsKsi5L9UBisW0jrWP0wn1tOmwR/QrrwKcdYZp550owMJ9KTRZKtFE
JdYt5fRPu/P3tt0Ucbe9PJm2YQCcPGxXyf0SZcdw34mWPX9so2oXIS4K52XcDlvxfcw+UQ4I8zE6
c1kJPjscEIBeTkByH9ZWk5IBBJVeJvZwFNVk+mw5a8cFyECAUpwbExCtexfKKmtEuVzLbRNFywkI
kk/Mto603cyH6Vwv2Ok6Yekm2e5Gt92tA42Kjvk4nSiNY5dCYO2Mxzt9GK7UMbKkOSXzeb9MnRZo
biTLeWKNPC7drt85uZpXqqn/cu2vjXzmY3XkvOO6NITmHKIjG57DrZqCt9Uol+LII9sW71sVqQwP
TNNa3YGzYYJqD1/tdDdJN6i7Nuxqdgg36Zq31e70WkMZs2W01iLzuWd4i3xl19acx6gA51wU/YCo
2j8kN8nYy7Nsm4AXHVQOz/vYfWG8VGhD0zSymI/isEPCqjRuzDkz9blus/oQaRp2i/kwjn3vdJMB
B352dowPWtvtAFbLjOgmXm1TWC6Qspw5R23yhit3ArkVKb0wH16V2TCblDQwLdf4sPIgb0BYQIwd
XjStu5LbOljNuQmXG6fwA+D4pTFlMR8bK8pkqbpiMuey77sTt1t3A7H6hFThMB+/VRRp2AFldb12
pBrFasfWEvPPc0GqhZmP4FKqq5oo7LF6fNm8Vrq6l/MqaNUw86mnFrmWkGmtzVnbZzBnPTSLIl1/
Webl3iEsa7dHsAw4eHNI0+Q6Jr7TmGhY5p2YxerBzBr+vyAvHMqoGI5zxn+QgosPLVpUYcGajqUX
vPoczmueTMEdzbSXg21c75VlBdYdlyfmkrNMadOHzAeJzN3crcIgbMXRwI4QmoqOO5Q9aev2errh
Ora8hsOfi3n4MrjyER71SijnCNm/SWI+RsSuIi6zrEVXSrL+DdiF+ssiky3EyLNJSXOfoGZ+mS4i
DMKFc8gR0vs0O6y9+bewI60lzX7BitQQlm3HGNGLq7vYfHF9RouLPisSsnuAAVJYDuVWHlUSHkNo
KdCShQ8WKecxGvsdxqtUPxS6xdOLJj3Js9TzTuGaYeAY6D8LNganTjR/BWVBazwwHzLSgU1hCtfE
nNvr2y0oCb52dUOsYn3MyJys+1SPzJw3VT+wqTtOc0sLiD5gpNDgy0mTCGewrGs0SqviCCo3moIi
8yGK1ZQM+xBhV7JxPvdVcsKdnvRAx3yAohgC1QUAKJ5l3d4Voj9mnSBhHyE5/tIvw8HVYgNtGxTC
Agw72ENV094WmI9P5M5kLVgIcExcdAAcJBOkXjfzwYmxmHQzBTBsIQH1EJSyPhglaJRNzAcoKrlk
YRIv5pwW3Vqe5lH35WGsRkyxkCK5Dy2Kwe6ZgZfw+jXH48iX5yShzfCyX3BFfNRbrVF+tq6LT3Hl
zusiK1q48jFEekpHCEijAO1adrfO8lDJkHbAfQRRELWY+2phOmnTC1oop2qkwbaZDx8qQHG028Ti
gAeyemiKDnve4mmU9C19+NAVtg16z7A/s6SMLlWwVLddNmc05/TxQ3vH5BRpDet1VYeHoTVDd3Rd
qWnUKcyHEfFg6xVvx/5c9F170Kjhxq2kZXwfR9TN8aSLRpvzMu0HAMPeNHX1TNt1r7KtlJFGR50+
QwVzuV0rvh+DEMoBNOte7tzQH5ynVrpzLdEA58OjUDMtLfswoj0J+NSMuztbF9QncGJNN24IiZc4
H0kEGKepxLS589BmH0u0fQ89d7Tc6WOJigbCBlGstzMU/Qzop2x8Z2RDIwdiPpxoitmEF9fCnbt0
m7sDMB1Jd5R6W7+TPqmPKar6AcQ0Dp80wJKXVd0I/RpG5Npd+03x7AOKhiZaamfxSfHwan9IfF52
U/br9O+gWQtOLzBcq4/BnnaG1gfwYUa7C8ctlaE7i/kpMAHYX6hfwWte7H1XMuBE3Zk3y2Fe2sPM
afoEzIcYBRsDt3+GXapW85dKo7uIKJDDfE6sdNuDbq4jd8YVAySOw94e6ol4EfURRiUrQEduJncu
WN08o3cULIdtipPXbnVR+F+f4jcHyAcZqU5jTLaR47nH8DP7AI3i6mKFDfh9NWPK9QkcTtH4wZRN
DVHebW/M8LcTa7KBfKkYW9sdarx69RpCzGzYL5CtAaWO28tqeh91gus30dQu9WWyepvfmq2s5U0T
YgY6n8HvM536NuZLvs1izR4YBB2im75Iyu5keQmWh0PBZfmZBTzOju2OEHBqCz1MJ8MFdDYTGbTr
ea7RAHhk8RLw22YOWXknHHBTj+uYsePON+du8FJ5sV3MPqKIWv5h4TA/8I/ju/6mesIVvzJldmuA
dv53wa9tRw7VEHEG+x6It5IszH4EeI8EJQ7CRgnSgzotb5NtYMP7SMX2x+7AsQSyqU4n0EeBnkE+
uIR336J+x6sXD9puOFcqVftHNVatu50zEWy3KWZDpxwjTG32JjDS6gfe8T75Clr0bTkn4P6vj5mY
1bMpN14eCw5I4nGJhrHNu3Itp7cdWEO3DwLSo/WpGTDgd2xK2YsjqPJ5cTtHe2EuV0316hT2zcb+
wgtzvR5kEQfynw2bPuU8NgtE+FqZqE+1ckWYB/+bsy9pjpzHkvwrY3VnNUCCJGjWVQcusWqXMqUv
LzBlpgSQIMENJAj++nZ9VT0zVTaHsTbLg5RShCIY4Fv8+XN32B8st0TZ7sCTLpRFFmE+UCXpFty7
eFesgj6D5wVji0jufV2bJxc2TV9JtRj22ENyAq/GGvOllNdzUoxybnm+2cboA4HiTXSvVTi1xQhd
ecyn9hUqrcp02KxItcPykGOLDIrMpL0t9w0s9II4S6G0PooEkk2U9f2RZyDY5SPL9u9uBl0rbyI+
BIUjWrJ890uqDxCcJlnVzYtsCr5Ny+vSthS6noq45RjFSZB+7BBXi06RGKg8RhQG7vkyRDD+CSDf
tBRiDNwlJSKFeDcoM7LYxyF8x5+ZITGWtusFjf6Q5FBpHOa3peGzzgHrptmpjmeyQogoBJK+MdxF
uTVRsjwsGfNC5XMo1z1vuj7yZbyJwBwWzX1dzBI6wnDB2XdR9KbHcrOLUj5X0xCCNstaIuoi5ErL
QytmtpUUJOZ318htzQPS9zCKMM0iSk50tr6MC0tfARwIVQ4uzqa8E06444z/bk8Lj+ye1+3I+D1G
B8mcQxbZ9UfRcXw9qi2NVR4kY2vbXEPgZyunZVH+jfpMgccH7fum/0jrbMpKUndLdNNCsPIj3OuN
HAMebL8meHr88FKHL5QbnQCzqIPpSUi9EwjMJG6/xspBpa1o2DTQyoowYQ+u8zE5LLJrzdkvIuyP
yqV6zOd4We/HdWnNAfdWtBR9PA2/Xc2A4wpIaC8nGAkFzTHwq3zNEuxZDwthI4Qmpy795uI+uOgV
/5PXUHVJX+3Au3aooGjZ9rpy88raxzoRrfnENI8mFWRlQr6ASyyi5LLZCLpyuVllrEyhMRYaojwh
Ue0LvFk/3Q0JYetxDFjIbwY3fJ2BIJUIS3KQ+LjQF4pnbCjV9FkvQW3gGDsLOubDKIGiJU03fDOU
kPo3H6NO/p7h4TKWZBIoseu6TbprDfnu7WwSurf3+9Qk39tNB1Ghyeriw9SrZb5DNA22gtVLnxww
OU3DHJpsuvuG9ZEo+yZ7Ki58wFwfe8tilpch2ZLPdgk7sHdZatytMQblQtit8ytkaxfYr6ml+bTt
ah96tYk07wbcUUEx76HunptlD0RJd9QYOcQDXVTWqJfGIxlwJkiQKH63ZUKSow6WUVYNSrWgGHkq
oyrFApEsZ14Hfa7SOQ6qJgjce2K4Gc+93stoR+zIHeadX5f3KcxW5BqOAlIJlivhIS883e9yroZ6
ftTBlO0VQkKKVyi1QHQ2XDBysK0g9BwARO9pGWHD5fvoY+BlNJmz94lG6ZVHvbtNpqDpL1lad9Ex
hsdFeGC4CewtEuCl80MxQn1u2erbzCU1VlYatt/yxIw3gLWQ3SPwRsLCp0Y0h16nTuWeAf/PcYNm
PyDj5+8yxdq0gLTzH2EzZr/jbJQ/w4EM5nFI6x0noaaKFgmpebmNVCMhQkEP0mteQE4zhB2Wbuuf
bOWHlenlYgwZK4xDVAlxH1P1VhzrbTsx0vRlrDA6mtPoOEWU5Bn196LbpjwSe5dnEIfLFSSecC6b
R5QRS95iE7dYtsDlO4QDdJbupUiTJRd92t80YXi7UV3G6fQmXLAeQtLU5QKHnhJ25Td7OnlAeZoH
pYW9Wym6NStUH6xZTqGjd9wk9K8Qndv0NuPty+KnBfF8+5kKYQ9QbGRlsmr3kq6yL8cGkt1Y/5/G
IoMJ4IJjyyXCT7xtFyjahTlcgV40QwcRIMIjtZlvngeIh3LMcoYPtwCHguaM+lvqxZE22222TqSC
7P0GI9VOFTbVdeFnctcmyx+4jEk1QlT0BCDrp2Jir6LIlaC1irLzzSf8SOoqWDBR5nA8QwGwtQe1
qaPvxFjIjNiCDAvSykIfSMfvF59eogFcwToGxSdOuclTuRw7NmY3A2tvpdpcmST+sTXToA/1FvzB
YF2Va6mvdt1vqRR9Luj8rXeaX+aET5V0yaeu1zuhMS4uDK5h3PYWd0K/FSPhN2g5968MAFn2be0R
gkxgaZ2HYkK1FcXRfFBRonO+qbUIWxUUbBifZCrSU2gFNNF78siwRAKtkraIVDjkepnyZiB4TGqw
hbCC91u1MdNngBWJzKnDjokG6JxPpo0fYFyfItPIEm9ImHKHuafKh3SfH0JBk0+XSCvLbK3Dl7qP
Fl+Oa4tBDw0b3dzQmMbADtaF+jvY36SlI0aoo+Ct0gXeHw2LOOgkPaRAprYL6SN6m5BA9TkTWDPM
t6nnv3ofm3JoooCfeSuT16Hr4i2PvN3eYBiZkEM2jfLVta2bUfNh5e+ShYxvOJnTOuViqPdvGcP0
qeLQrC06b8JX2MP0Uz419fSaDqP4nATmeNeuW3B1Fo17CrfTmMLtu252JBAAZXdJsLX+aTKZMJdU
EB4eplAQMK67wLJqoFPHSt4aAbaTcfJujuW8HNuI6R/dbvUXY10xAyKywrEKh9k7TAt9tpTCtnit
DOsy7WOU1fTXnMJl7pvqSbvk4QCwFRipG99I240Liipet6daDuZ7bz0b/uht6j5tAtZSPiURmPwT
KmJMIp2hrIQoeMgfVtX1fRUuLXTqtPGtPqXwN3smlEldDb3CgRwXjtVwUVt4qaolne6tc2JHaTJZ
DWOkbTEPwziIpugWE1EElobYHAhrPB+y2ew0n7TwY4F9Vno/QupfP4+Qm5jvp5mQ8TCQZVaHhkrU
hlmEhdLCbSEWPfEujD2sQ9SUrCfkhKI5zHyJVvAGMm8z+M+UXqC9MadXKLSHqMfifZ+qFnHmlYTR
vv2OvQTds1/HwB6nAerZJVY+G/GoYVManceIM4lL0SRRvq5UqYKkYYe4kogtd/g821MMNWwImG4a
m32xaJrhMTCbae4pTUxdxih5aW57yEI9oG+BRTubd8Yr1NYP0FqssdVEOFLpvnq/l0uqkmuzsVhd
OBUW/JokXRRogDOX+drs4/O28OmdjRDFO7bg0QdF0sCzvmBauc8+4CrMFXQGvhkfQIbTjEkrTtDw
R1WSbFiiKFeL2j0Pej5dbdMHlUYif2dLFL/MY6AvSZqhoWjMdkEopOoujixbc63XjV0yJRqGFmCF
cDfb90+9xvN3dHU8zdthklExheQUSqGqQLvOlmvAR3aMWLBtRb8yuj1a2lhfRH27loh1/G1ftISe
N+yJDe6xwbwFJOVb1bWoBW5GRN79XqNczRe4Lx5kYnryk9g52gs0O4052sDrvtozKp4YZ1ld7UGw
0ku6MZZdxbD4F1hQqk/wPFZRzGNv6uOIcqvBPMmNtNxZe2PXzoX3rf4qjAzs190JWon97yxsWPKQ
CrZXgzdzWmD6d9og6bnlM8w3+1wG7Dae9gwdIoxjDKxMpJ8BtLGIlUvCBClUrTXqsTSKH8d6CJ70
tCpkIqvTR+5Stdzv8TxMD4767qdxZguhUdCrIPcqRHqa52iCGPSwh3exUetDPevhoFtXv6nGb+Ob
pEm/FpHEmlmU8SAocQNgCVy081eE9+OUIdpzOxXb7qb66PQeXlZu6wbqdTvbirlHL0wgsNS+oahr
k9ywsIGTPV7I855lzUeslHsEXB59q9PY9ZXarTrPcMJFkWQT3+KGTAJyqcH8KZuNrpVMrTopTOpy
te1hcyBm2eRVr/Mm7uqJiG/jGt/DNJvlfYilyVBZVaUBdVHhalD4qiTaan2dh8hBOa2NLHT2hMeW
ixgyVdmNieZuaaI9OJJVk5uQT+5Vuii4NUHKbBklbQ8IAStJ6Wmf0FdUdIyi6VbOofq5NUbpnKCS
ddUU04VfE9qlJ5/pFmyqcB0x56aJGqohHoPvXlOWA0RIC8Pj9rhE3fhFs/k1rOSOLQN8PAKe7Kgp
2jQoTUojcRRynJt8FXv2mLl2f+/jXlyoE+udVugE82zraHPLkcP9T9jQ+rXaPXLg0Zp1OG10lz8G
s/i+Gl1qkG3UNqwHIykZ7oHJoSlfQ5SHsCEVv9FDt896tmDa1ntyGvm6Pk8IlufQRzK5ks3W+gEw
fvcheJeNxaC8LcNx6y5RLFHf6Gm6s5mAShrEgBHGhoxFbyN4WywPoZq4V+O293d2aKyoZOzSewp7
VXuSwqIt7TyJf+HO/gJrSOqDp2nc2gUNbTbcmHYbTnG4sLcZfMwO9VW2uqqj/YRThaTY5Hqus3MC
GVWW+ybtg2LLxjW8Ch2LrBxT85US2vqZ1v2dXllUar1fmt2PeRMP5An+gPvNQGDeeRtGfHvZkSvG
qhUOK+YTRFWqkfZpch6WbQsvRizpi5phW4aLrjpdwFmH/sBVY9GljrTZCaj9Y2hmRJ3Zb6V04/qQ
sBRxtKbB/KgUl7AeVl127Vv3AdJnsr/P2G//MOEKNV+AeDrXyvtiCyAEe3TCe5J7gu1Dk9or2bcq
Zi2tq65T260Mm9MmuwffzcwBnAjTM5I/KGdQCCQmLgLsQ/32gtPT6vf5uabhogtsHMFEhLZ0Hs+s
43C34DPbn4LdLDRfWha+gzuv/1jDJWIn0iEnFWsUb+Oh8ViE0i2cGYQP3e28rBPKL90HxyUG3lG4
ye3qQqAtvVz9jKFswaYwHG4CTTguvlPkRUuyzndZzLL0EIIFOj6DJt3PRed8t7zYuq8/MWSwfYkU
vAKG6eWAZ9mxvQMJyCVuboIN1z+MtuQh7ru+PfTjDuNftkw+PsVgkIa5yCCon7uasvuGh31crAjs
t6QX7l3VbZceUz2A9IMo1EBlG4KNtGxk3Q8H6BbNfzC1YcoL0ztEGwsJBV30jCLzwd8N9/KwqDA5
DalZ9bn2uMfP2EUZnlOd0fg6THWLQ836ulwNM03eIaGpHKX8kF18tIR9jjnPggKXdIt65V+2tCVy
BmxdYg/7sQPTHZvLaeqy9pBGZq7vetkLdD3hmgzVYtX600KOixR0DTFnXBVfeEHHmj9DsawRxRgk
cX1DIiAaL2gCMn+OlsjTl1DCwPh3qsDSv3Nc2+USg1oVHsdVttMD77oh+til0eoIFT7xudqF1leK
bn3Hnaun+J7WAAhKNdV18CDDHXJDOVUYROBOn/mEJEqx3lsuvkM7vSlorn+HQVMKkQ8bxncR0M2w
ywNEHfYQxoZciGnStXTp2EX5QnAxrg2WY6JjE2ajPrAOV/C76/QcVpvcPCvXFK4ghXa2M2+L9Yhu
GHGN2/2wAaTMlzgybS64JrKAeroVJWRg1+cuqmFt1wuTgLLj0E/nyCLqNVmaeTosIgB0sNhlQLWb
zHS40/B9C0vh0rR+3gwJhgL7lcQVw7Rv9iFdmrHqzIK+ET1Ipw+C1zT7BIwUu8qkbTxibIVKO58B
SA1PoLeuA3Q08YBzy0kS6lz2i1oPIgWQ+TZSqRjNgV9guwN3WRTcj32ASNvNikMfJTBZ7fOUdfN6
o1FlqS1P1jAU7zLKMpVnhOkptzDDelcaX6NEamKXd92O9wHLh+kdqHcC03oMQ20hmwmfUGfSfTo5
/IG27DeCrb0GxXTyTnpY0JzaIZ7jp8x1TlSJxCHPQ5/2D6QlVv/iUwBBn6FtZFM2nqgUlIIQOx9z
2TGzsR9zvAfZr2jtByAP67g0Fai/AfqnTltWpP1MsnxDLe7/Z6TGf18OtpHSTS364TTDUPNksonf
Ayxj/8NxTPRvZLKJDrQn3TScuCVb2Rrd57tR/3Rt+Y9/kTSa//6f+P4XJL6mWir7b9/+/aXv8O8/
vx7zv3/nXx/x9+NHf/fefcz//kv/8hg87z//bvlu3//lm8rY2vrH5WPyTx/z0to/nx+iS1+/+f/7
w//18eezvPjh429/+dUvxn49G0Ki+cs/f3T+/be/fC1s/sf//fT//NnX6//bXzCAr9caJJZ/PNd/
P+DjfbZ/+0sQp39lcZhlGaVYKkBvBKqN+/jzR0n2VyRQwGUcCmGYwn+tRJl+sgoPw49g0RplED1k
WM0nX8tpc484iJ+F4V95xkMY28YwgYYefviX/35xD/8YLf3j4/h/C1CF0Z8bkf9nBgXe1hcWEEWg
dMVRiq//bbAOjYspBPJNqnWZNgmEb+87QMjhtKy3RtahewlC7cklbV0Q5UT1yQ4RD8r8z9hb9lPK
QaQ/LLWNrOYsAHQeAYZpAHsxcIDBLdh1jFYuME+2z1R9IMOgcR/aJkMyhwwtZhI9vD3Qv7Ycvdu+
DW7P4ymKxxsoezE+FF2UKvdi6BDfugZ6CCexTnEfVauO9w3NhEUSqOw6ev0dBe2oYTPRT92BoSP/
dN1gfzQSgvEHbhFNQQZLKuN0U4qsvttItL1MS2cKofq0qpv+PljYXOlucfjV+nuyLP2vwIVxOa9T
X6bS/wSAGF0xJ7lIIkWh0pXkysLtfjfAzod6MPnQUXbcm+BKKAcDQsdzkUptDzQZxNmv2RUxqb1H
SSUhPpNGRRqxxxm1bQmX0bGsvZPV2tr1btfY34ckVlL2qXoEMSnJeTPdASlTZ6v89LysQ1LxVfIz
CZOwoD62hyi2H6ajGFeM6T2C5XQeV1ho8v6TBv4xijUawV4Gh2mrv7XLuhzdKvdD6pv+kbbhz6xp
WDFlLSsZdi+/DV09VTrsTNUQ/TOQ/IeBR3aOc9kfE7L/ihIV3JNoGSoIjI45Q04pNV+bHJ6067PO
ljfYq9CnYcBbnTjmqK2R4psOvf5R4wSc6gH5P5iBTNiJu4JiGDEivbhle8F0V5Hfbh/193AlaMJQ
6C/J82hqf06yTkSXeV1t9FusLQZoE+xbAJlHXezCu6aOWHYYIDdpj02QkJsh/EIPslaO6qIWnj4H
mzXgH+U+WIFdUDbW1JXRSrlfbjk049HHepvxvsKWv4n550Ck9f5GpsuchQ8KHlxOytxZQuvLPEGB
smR7uo7HMe4iVTHojDxJMvT+yjEmnEoZTPTZQXf5Pd1TXgQWQ/GlUeMjRQv+uDqQBuswTgu6weYm
Xy1m2kltkzcc26jYg4XnfZQgE1rS2ZPS03g7iWb4jCRm0kYaYKhJRpKLM9LfLVKn81z1g2iD+ftc
w9ewgFOdgFW1CWEf5eo7ukUPMu2jckxAubA8WOs86xLFSi0anGLulmG9dogX/BLS1g8p6pJg20+z
B1zD5BZcHW3JiQNHRscZRwULAl9lXxinqsU438wYuEwn9OoNKWezianPe+2zn5kaBURM1gG6A0pY
mzMpxQlFi8z9OH9TUx//CFyvct6tACMHF2DvdxnUA+sTf0yDgFZZQLNDzw05sBGAm8vkUHDBkzzs
WJurvn7bhzjIBTquM8XGRDmhC0LjMYk8M7V+BLK4X2a0B6gvJIsafj/XYX2dxGDOg5xww2JRNcfq
qztwyaY3oIXBtbcYvLje8lu+u+ZdSoyW9IZjL8FEuLoInQ+Lv35lx1DBOdYeuXb8OAMOkrmGRuYV
mCg/kn7iRx5CeK0NE1I0S7zncz1kN3rP+F1v0MH1WYOVIlY3V6dccOUAR75h2G+BCao5h9dmW/m9
OUOhZHzGZBV42tef1NaPz5h28pxkf76q7LsECNvnbs3qpMTHgb8LMYy3Pz/Bfh4I1p73CLDo1zME
ifuYIAB1ijv1jq6nvm6OBReMu9xZKrO9cI9Lgtgr7q2NgA/CDapQ01CfzWrtYWYJ3t/o3MFhm+sY
LyivU+i/nOHBCCOUzYf3Y4rGlsNHpwCmq4phS/4Aha55//Pv91miIPqetEcgwENBRpnd/XkN0SRs
L2SDkiaf0L7cyjZWrwS33m85x/zWRCr6vTWWPM5t2rzPaWvKedqbd71E05sxYv+5dWtXdhgUQPwd
jWIBfmryh6bBdrbwDHpJYd3wPO0m+F4PasxbKF7mDeVYEWoN3OHAVykAA7rP2gXyVs88vWZ0zwoK
NBqrh1EcZ0F6Bjy7Ef11jZMwxK2+A6q7oI/DDLDQMaESoHpIQ6Ap7bDYCyN0noDjx9AzNr1+mes4
gpm3345YMLkXPXm2o37yiTltJtrLnrtKxe4YfkmtpcshXPwJhfXPgfO+II0E+A3bYfSmIw7/wO9d
NOKgc/rA5f66wnKwiPQ4FUPCMEvp6HzcAxuUDG1PjpzjD/VkJ6zezWhP4MVZiR7mb37DFJAHtaww
6yRAiBS7zlE/HzEyW4pkhflHAhAHA5hYnqYER3x2SUcx+rHv6YjZwrZMay6c/x6l0BDt0v5Fh+LH
Molf8Zj1JTXBM53ceIdcgv0854EF0rCrmsXhdKcIxcuusmrdeXvKgOF/2/p4A7N1n9+8skMFbY7g
OtVrcJx7oF1motsxgUA5BXsMgZvxz43Mh92nJwIMqPOtQ8qq96fZiuUaTNtxFgB14QtaDp7q+1AH
6e0QQ52DOysx2av51beGFFpboBFoZWDt8U0YrLsFQC1yN86X0Tavo92PQxKih2nX5Gh5tOcYLP6q
2VePk1ADXlI4fVrCWR6wmZTZLNZ8qqGe01J/2pdgrJY47SqSbaZMk6wImOMH0LHOzK9h6ZukvcGK
A/hYrtvK3jhemVYhDAKGgmn9vkF1ZjnjfsUsfvNJtdDhbLOvWN1jFie9eW98DdgystGjA1X7KB0w
3ViM2UMX2/GJzokrIqzrloa3/Lmf0vAojY9OuhPYcg/aGihPN9flTCiGlm3KDNjXNHsU8mv32/Gm
hPJ8eAYc7hwOn6rv9rlr77OWdvDkCQARUB+Qx4mL6RWS98mIkSN0QznArxIFKW/QPCKNJD60lzQT
v+uV+zsRUndLoGFc9JrRkg9D91iTsQcdZISeFJJ0JbpJtEh5iS0FYPjjlGqcV7aqO0HMeJhIM710
g2YTQlsPSfJk3H+YzATHdImncgOaUmCV2p3XFVMeHzUrxoVjcK07rs+xmek1Spr05BCvfmNNC1aR
aRPcN/204phKfUOzaT8gLtLzmjCvMCRwG0BDMDsBjyPIqASLNGVofTgiHaYhyCd28KXErt2Wh4nK
buo9lZDZSxfUiv1w22MoVjZaA/TxYZCbjUzPxtW68BEqxoRjCwVqpf7HCmJK3rRhDRtI6Bo9oTtw
ZRqve2U2pz5AW40rZ5YGiL0CPI0xNA6Fp2ipuyHOCSr1UuzOPwwuzB4HMX+V0NthTnRw53onfuGJ
9UPm4H7wpe6II2b3byvWfhMBH6GkDprz7rJL5IBcJNr7Dxl2yW8+pGChJID7B6nLWgNaqzFpzmMB
/stGG4eEmKR1qXphUR8jJ/FGfGZdV1cwVkvh+avfrHbzLZ3q/pEBriic6b+P9YQhGbCYi5m0eslQ
MpZpGNdAQ8FWiCwKUAvvjarxeCIAEp/I6E97OGEoglQGKIHfrdnyBMxQ5eBLARJ1Xxo8wKDsWWSq
e2QeK6aoahDVxi19bTP70qC0v8gYiFK2/CJtgtorDqLS6IEVraNIZsCIEotwaabDGjY/E9dkJQhP
72m7I/vtAIfpMt5PuMdyLJwCtI0XZNqBwZiZIXFKnsB3XoNWRgTZq9Wmt50x4Q16ke5otr0pNtKq
7wRcyhowM3hqEgPkoh+kRakcAgfFfblAl+ewGcTRCb0dpipmONQETKkG21wouMw75t0Iill7gWUB
iEWwyfyiMg6Pm4H50ULb8Yr1RoOPKRQlSM/rBTOavaiJf/aGY2I6jiSvIxBb1tmBc9CyOxMn77yd
vzUYeRxIqvfK2yUuqE6CwwyeGIDFVuOm34enANrDBZf860P9iL4GXTUc7B9k77bK6vHDzQEK3XHq
8mkwOp+j1TyHKl0e18BgSITBcnjZgxBjQczrcNgW8X0ehwAAcuySg0O1lPsBIxxdT+yYwQGo2Nrs
17qEutDJYsCTw+c0Y0Z8XpHqTm0UvOg+OmOKDXdf5sjJRnVyv+rxNmB0PwaqkxeaMVm2vckQRVSW
zzJLDgPAoQI+FfvR4TLmSNuRqdCky7OMGY4zKvDS1jt5EioKXp0FLLqK7dGb5Z3uQ/sNdGB4f7Ph
aQ6i5kWyMDyubIr+QF81HzZOfo8kSy5ZBB+wKB3vCeh+O+nvutQcHUelZSSgumFozFknnT/TPsKU
I1M/9faFhNb8FSSAOEe5js+Runxu6+yiky+HETHTwsYSbLd2bisgqvoY2zAEVaUd2A3klcEgZNwe
xqAZCy9ol+tQk8Oa7fak211UzMjsCldFlGfBj9So5TbN1q2MumD9EA2fvkc17Ure1dmBAfY7IX5J
JMtBfI9iZu7amrjjnsTi1tEAKUxwAtSbt2VUo+YRuJgJcfLBAQkud5Ap7+teQWE76QGX18a6W9it
ASGnUXwbR8DoVbfYuwbBuVAB9ll33413deg7TJ43jIYpuvhCkf23AT0RczW1Pm6+DY7bVx+KYiXJ
PbMxGu8RNFSwu1C+hb5sKXic6HpAM4NS9k9QxlAppQn4KzQOj0kdLzc9bmynB/oHzPe6IuYNvdTx
yHD+PWody968a2UxNpvOPWL2K6Zq09GNIn1p55Q8ytWyG0g4A1yAhwAK82wvVunltTb6cR2xeiVt
Eh1M2L7yWiUnzoa4HFaeFq0d17NbOXyh1fhfxJ3JctxIm2Vfpa33KMPs8EVvEECMDM6iSG5goqjE
PMMxPX2dUP1W/ZNSS1ar3sgyk0oiAnC4f8O59wOuiN203brLHN3y7dKw7etrey0BwpQ1OQ9rZr90
rr0CM+WJAqm05S2M2RqmuMC81W5pb6oMdIQIDbjX0YlElKIdFU1ASOsU04wfNP1UuRkwoyKHItqQ
kCvF+NB7ZkzOnmVm0IBP3id1bITkwvmellRC/JepK1LUIaxFLA5jYvSB6qb8sZZlfW9VC8eAzT57
bq1iRUE0dCerdvJrFXnj+zLn7ONla+5FXsQPzDbU/WL1KsQRtvY8WC6SBqkYztFVzU2p5e2L3trN
EcbVfk0rPdomopwYAUQCElOz9TMTmhGGwtiXa62C1izaK9lPVeK3jSiuioUei2lS+DBHaET8zXaq
c9Yr26l+6HI0TvGUrFfRBO1g2GreW/k8ECUo4dPXWgKZxf3erow4dPBt9Zso/g5y3IdRFr2N7YU4
6cozJASSur6+6cRc3Ql3cf+JXA94LY7V1UAkd6d1UboTqWJips707NeqcoorbkkaiMKzd2IxQTz1
pL8TBNm3iiRq79WRfoJjqzfULwvDd1rlBprLS+APthP5QkqTknvEjF4WuqRDjZdJsOI6l9IzbLP7
KenRnqSVQL9lDBvplNNOVgLkt2u1Z9lE9kaHMw5qxlY+rBPuIXESN9yYpD02hDlbBgsTA2fmNJDP
OCaLy5odHzxtTEI4vnEHOZ3QxYna6xwiFh4x7zcEqmUA0mG/1gsfqh/jrKd+0bp7s2nL+5VwmRlL
hvbFHUg7km4eAmWKfFddsn89VvpWyzhFl1w/yFYf9nyu5CBnikTUEIozLifdLraH9J9iTYtvlWgM
nI6GYi/qst+NsM4vfcOmoseSliAbmv3dNVtrA4zuffMcSFQIBLVfncHbu31VbxfKMc+FrpYwS+04
8VM1GO9S6dXTgHCPtlCq5D3DSPWbds3075Wk2euMXrcZAPh/KMpEQZwvcVBnUEVqyaqtVFRezKhw
KIzMzROlpehNVVl9HWXDsKmgeq/iZoB1m6rpeyrVVyu28+spTtu9GnoCFge7kFdQevvenAGe7Dmb
X7y0wR1/tL23EU37qWHuyT7nQAZgmBb3Hsgzexh7QHxRt81mKi8JNFjLEeRrDfoWmsJuOFzqhGzY
j8tKt3ybcXdnJG3pqclU+mblU9FdjpPY9UezzG6HbhVBMVpZ47t96hEUdOLacrV8OU0rcsZd4lo9
/Wo31GiqBXYj8Ag1kpTDJDPGk9Ik3Vg6teRgkIQ31ZyJe6po+dlgiNe3wmyb1Me8EI4KFfCG3t/4
tTRiPYgWznXG3a+PduxGJ+kqLSgWzdyaMp6OdYqQUlmX11vTtB+qqUvf1NPbvo3HW5NZCsc6KqmL
5XW6gwBmz8vXszRkvBupI15lIo/uNB4bweYib01gAwqXrrdZVNGcm0iPjuyZ5TU2EFZYYoJ4w+sx
+GKJh3dJgNPU8ZtlyjfN0R9siqZXWlV9xQ70IQWPohjNzF0dsDKgaxfCF73TzVcb05KvtOnComBU
dgeAfKJoWDwOhm0S3ZiBnosv7tSgQvAoBupLvDWMwQLo1C3o86gNrcUMHAJUX2uSeJMUpunHc7at
snjZOfB//tSAPDZLcxzreHjoNI9l0+fnMaEpqrpi3Y5ZNW0SwzSPrWWOQTEsT3GlnusW7iFxVNhX
4xbzOjK3SB/PhkFlMIrKPS84ALuB8rYZBjNYKV6fhF4JQIyi4cZPhGGWFwexTMTGzIbs4LrusF/m
ftkt3VIEumR6eBcNZ9IfRkAas/1G8xNsLOZET5V5Z9XttG+ltrVHC5A7teIdHUr7h6s33YOLYVK4
5kBlk0WCtC5FtrE6w91Pyez52pDlTBVxzJCcCTxWqPw80T7bp+VQTACuFdlhlj0rPS8Dkdj6bZYN
2jltNSPzs1XZoac6eeMKSreSCYFlWhiB0QNjags8WDsMxqZ1rGLbulFyNw5UBfQJjqW3+jOOXHQN
C8qySnXxQdK6O1fUiLaim8iPLJLnrubee7qz6VxDO1o/vxnL4XGulntZEQKnYw5u3UVEc20LIUrG
ZMpkDFtHF5vUmY+RMuegF1VzPWU101myr00fn3EQf2/GTAu01BxDfRHptR73d/rCpKJRwIzFaCn2
q8R1So89ojrHe/PcviMLqZ4p3bTwAwB6E4TrARDG20CZEo+X5raeqeuuqgzB7K07OEEWAAiLX2GF
0JMmbLJVY5aAhtIil1aN2GTybhJe7o1tNowDyvLy4JXiahj6bW/WzxMMjA9yQHrbepvcTr/2WQp9
4kKaonrwtq299lsnd1u6Fqse0HQ421n9ONP7Z1YHtVb0HFeVpDlsdXQCKjirsLXEHK7lnDLmrdm6
0B1+mzQ9OpDZ9M0utx6F1r8oXKV8E13HJtaYrzLY+imqc7XJFm8KysTrT4wc+dIvMqVoVevbstGf
M8+K2Vqw/XOVfKxdQikmpc5nM4Eo25Bj7qTVWEfg1HuBqzgbczFeF1S8LbJ7rQkl+vqtUy1baY6v
YyIfnIhSB755O3Z6hVbHjNh7Gw/cPdcfCQuzXSq/M4nZoi6H912uy0fiw69YudyQQADOWXXykKrq
faFPc50bAtmGLqqzrRnv4MYUkBqEIatvdEOzk+1a7Sfcd44gPztOzII9jSUh4FR2yyW8lyg7Crt5
H4fykNTml6iN7KDO9fs1sutjFpfZVQfNHTOhIjBl9c31EupWJfkMuAQtq8juD7mFdmaJOD405ARX
a5YdyX7i4yT0ZmdqxvcC/RrytW9jmhrHGHB7n09ZsYcAoUNEIHqCXnZ2FmHaFUB0l5AvT/u+lmO4
uKu8WSzz3SpHuC3dnA+11iIRS5rmzvJaTBirpA6QPyUbkvLuLl7NZVdV6gXou0yvpngK0uSRLX06
FOXU+Fahlp1Z0rAZ3RpsbG6MQNUVS1zvsw1x12GYsoxvo2VB7+COWpWHYlpfSmVc9bHartY8++2s
jkWubmrFAkydKN8ywOsFSdod9/swW3bogKFZrDsI6VYPqabu+jx9mPsowFspDltVRbdpwl8aVXnq
2n4JtL65p4N2b82AG2ZyaBwvKE2YCs6aEG9fPmHbDCc7ApFSCXom40mLedXxl89zK+Gn6j1HoMIg
aeOtL/WDw9swsjR2k8rOje4dNBM+ybWKzWiXxxk1imPlobDx8Ja5eTtnteHTN1O+pPIYuLp+LGrG
48iidZ+Srnp2MAJNvKp5aWft1smTjW30D3abLIhTjMNEhxE4Pg3p3zbP+ppdJ/C9CDMDjqhgLpov
eqJSEhK5rVzr2jKaPjSYsXJQMlqu4fH39ZBGm85L7RDcLaLjSg/LRCSNPdLbalvYAnRefhy1SRFm
Rc9AOZbvaERQbqECV9WT3yjkKcUyvzDpaArnNYJ0GwjMdD1Eic7ewHtUSEFntpY3MY2BrdeKY4xq
5NT2RkrmZlXiK4UuxyfdS2EYh+nGE/qpXYnjXFLIsHSHdEsJoXlGsDzczsLOjlqWpmeJwJ0Kgcio
krqdX1jujvpJekh6zd0OZjHy5grVPDGZe3qzWwJ2JmEUAYu8Kr6lrkMWTlxtR+z5jbVood53TTgT
ymlN/u66o70poS9otOgqmOWKysnt6dWWek+fjpISlkYitHgyAMhZWEmL05vQxI6MQPSMrmFEsh9T
pUhH8ZAiU9uPYh5Du1ff7TynokDziVqEr1R64AluiAZriuWqCtCmdWwajnM0p/IeRelIq0IjuVqe
bCh8ILrhgjfdwhrnocm4kA2ajaciUbfTaH6hxZnj30lfX3PhhmGCugPTWxEoON53xCQGCbeudmPm
1o+qHsXRs7P7YXUPDGmwtqq1oo01G4uv7PXObNYmZIpvfWSSL1NDloI+u/EyDl6/mdomw0qWDhpk
4Z3DExUid5HEOgSusdgtNDyRlS2BlUg4vALebPai67yM75FfBFYvMD4ZkgFZ47ofk0L3ozja1sp5
7T3jVY1zsenoFYZjk8LZZ8MTpNN3yaT5NpK0SFwnHO04ZR1bt4mami1ODbR4Cv27m6clM4+YTWQL
+m4iTwShgxmO3toGqCJP3TAGsZrcQy2yF62myZAXJqHicN1pk7Wzk9bYrn1770UGqbRzD8/e3cTM
uw5QDbtXXW1f5AuUrceSU5nt0zrisLQRAIcBveXkOIypvV0xU93LnLCdtjhF8ogkVEAWbbrYezJk
1l9XTe6ckyE99VWvQlHFeyOaby4aQcIJDpqIBKPL8rCs+5COZAp1bnVUdujM5mZ2M+kQU1BQpp+J
pQJJTvOtohEfJjaBQo7kgrduSQHFKEbDiolAIy3wo2K8cgr7YVxH/Jyd6a4Fs/V1oT/1fab7TtzY
/FEnh3Q0v1kz5Ym6PA8xM5AXtLtnPbYLAlCJ1MUmURGLRXaDCLCiOktil1LuzahnWk+j1UBn3QJa
GlCAZhO1QdTSlffdtWCqqFWjWj1ho+wuyAP7wjrTazW6jeGMeXfoPc0wrtqmS7SGEkRLhwliVsu2
Ti+nLqA+3n27aIupvw/9+jWhBDff9ZSIGj+lyDjt+OHknAfyzxrhhLskt5zvUXfTafXyz5rP6I9o
oTfU4Ush9D3Smg7VUoTy0fRnWiD1BsuPWg8yp9OMK6gOAkJ3EclL20yxdT04tmjuTZpdRNOs+zy9
Qs1aq/uxiySBa2xCvyrYo+pYxYlUW0kbm6I8gkN301jtqO9qV+/oIedrnWunmJrqcj3NEV8uimpK
VY5l90OQeRnZgi+RcaSovAbsfp8rRpjrR7kYq0VYM9vGEBL3uN5NChTBOp5KDZmu5i3BZDAJ0TdK
T95CSXjXtjDe5ta59ToEcvY4upsCuccOvfN071k2jEfWtHumrqN4mVIVv5bZ1NxquTYyM7kaVnOD
PG5CoFwZ3gGA434dhfOIGvE57sTWzRIK20a0QWs5buPcuvWm8t2KVKBB1pR+tnT2HQ3x+hhrXuNt
2A3V+oSQ0/P+GTv8KLj+6J5k1X+ZmsFlg0m2OGh9T2xl7MpC7GTW7SDaNzThrxYnNYKIQa9+mdWI
KN0EWd+aUk0UJjxxWRz6kR9W2bAeDHjeoGslOI8Y5ifA3n3TzfUpGmD+0eu2J7S4KAblbJ5K8N1A
XG5ShTadkja2oZpVH/pZ4r9qNW+V5l0zNL4kR2qP6O1pfeb9zAa3ojzMTQclCd6nW5dRZhsGsdED
G4TxJepRVWmz6Z4LW7exoa0WEIUsOmhjZ39dZoVSe1q/NkP+XhN0BMPc7ZC/RXtkWtkmHmS1SVcn
+wrx+24uXnZQtbquRZfv6nF6BC2eTyOVr7u29YoQBr7bZqn+Wg0VjgUJM8h8S6PO3K1NvM1I0BDv
j1n9TXgktHJdt/ZM/3tOGBA5JHNYwaSRVLU0GNrlSDPO2mN+oQK5mE1oG9OyK+LCJUoQzwqZP8uh
n+9wI3QRKpXxxjVlRlk4QhBsCHn2RHdvV17zKKSV++hp3TtYPbmf2lgENE3a79FU5HDVMg4lakh6
Lr2x75kQfOq6nlwiowObdGaMCJXmA+csplldWx1426mnet4pBZJ5x9Eho2iPyrGapvXGMy9eejmj
fyNHw7ozyl8gr8ugTznaajN7yLNx3pTe7IW0Vx/WuSzPMo9o18qWaFCoQQZOmc1PtW2VBDOwT0ca
2QqlbsO99xMdeZ4vEOZ/A/sy3wpZOPXdIEkOTar1xrYqjBkKYKmzfjvoiX50UD+/raOkHuiPfNEr
u6BSutEK+2uewt3TdWu+QKw5J2BGtdEsGpdqxXX6smX5Qx/lZ5uJT7S5qqsCDBCNJDWXRjZ9MF2C
G6PX1j0xR/aUwZ7DMiXT0eyj+cgGRmDtRUW+6RrWAW4TOONuOmUQdfXV1OhHw9R5+6xBzd47SV/V
b0Z8IUJvjqqrTuZBbbfTcY5r+15z3P7oKZyu5kRzb2U5L1t6Ddn1ZRLTfdJU380uNs+8xOjHEUXd
1Xl5Z2K+deg6zX6g3bEzRfHD6TIv0Lrsyh0dtsLVtu8aZagRxDrSgtWNM7QcCwKek+fGr1ZRf6Gj
qIIlXUN88rVDFpEim2l6P+c06Gz02gHn8B5ZufajamEHmP626Zca9LuqN3O7Tgd2iK2DrN33eElC
5MGLYpEj0TWcyOBkdvNzLPSHUdKz0wtjR0er8U17OjX2YB5MS+s3kS7NzZhO29XLuffT1Ke3AkE8
4XxFn3FIhN/CqgcOjf8vWFmL69gtRU9i2A+bOuv0jfBMBkom+eL3mEJ8WbP8yfIY+zSpFjmFNtyD
1kEv1NNDwra7wlPN8w8XixIKROlW0UehA38fl3rCQD4piL+nR0JQJAE6+0Sr8mmbq+brKktJebaY
jlGv82iMgV73hBiN7GLqJlSc/jLLIbuKHcfxaYyLL1bu2mdw/2ILoJDuZmmGGXzPIss1JFn2uTb1
LS9bqYMrtw5LuNnhCvlJZW9NQ3tTuueG1Im8gzmn+rWnFpu3jhUWGfAnEzbWGzgtHdc4x90j2MyQ
NQ7LsDHW3Lhe6+E1d9rprHIj3xVZv4SFim3sq7r+2ppb2x/16r1iPQaNQnLVduCosOfxDzdJIYDa
cBrmLRX9q8XkTZPtwzTWYGpxwtHejldCEwEm9Mm+tAA1cINAtyJA/2tLT1nqyM91IS8CyXqLfce+
h+ihpX6UytgrWm3mMhRB2avN2EE6IEB5kPFwLcrmqjThWde8HrcNHiUrBKaTB8gTVRivKIyyrNPA
crLEdyCQgq5q6ZIy/T1wf6pPUy/a953d7BWFN74vQFcql6fSGOpNIRLK+dwlNEgxuG5W+mrOLu5D
T9qQL/StZONLDDX8YUKEORkolssxPxWVQ6+KTngalf0JVWPFdMhmTwtuZq49IXldU6i0cFQAavBe
ikRHXzdr3y1jeVgbZW4Gyu9h3o1X05RpW2101hpbAtJDx7N/XIrPh2kVP1BF2mhE3HEIc0IFXAzW
9YDOpzxHlarIQH5C3f/Cyz+A0/+NrH/G2s/p967u63+Gz9D6B879pvlRPQzdjx/D+Vvz+W9ervfv
v/9f1///ibcbEvD8/823336rvpUf8Paf/8O/+HYh/sMQlum5JOPS8xCL/zff7ln/oSN20hnJCFdu
6BcX9n/x7RfyXTi2zm5lu6DsBr5adM4veDu/T6I5l0jo4NF117P/R3T7hV3/v2y747jSEMK6/OFK
E0T2k7tVxQDz3pazTQEvSbaos4wHYuZpjzitDUzmdF5r5ThACiymtYlY0veycd2zg6L5ytKg+kzV
2xsQQ6ouwnZ2wxDjHVrOIHQSge3OTfg9UNYEk7T8/jII46cL1KdP7xmmsG16qM7l83/06TQKzZGS
pDhE2+vdlkmUnqQsTdTg8ZIGQ+W8cLijoVsyLfVFXiXHBbWzbzUGmyrKdGdHD6PaQk9vV+L0cLZV
Tjm7zI991Uzsx+q1T+p7x3TbZ44R3R/SSr5GhdBpN7BBBkhP5aa9xGatlYwnvB8XgtxhCEoK3SHB
XX2tj2W6B77uGaKOfUWuEOi32NyfurKc/2K4+HOUy8cb4houmSIP1qWo8XmwSVUgUfdo2oRq4o81
k/LLUKwLkGQ6bxsmbxSiKwKhyo74cnzS5jw/Lkbz/d9egH9tBf+rUqSG0Ab9//nf3i+LysTYQ+I0
c+mtep8fi9PpZa2K3Aq9rpwfC8xR6KNjvnICz+j8BbHkM6N04AKhIN/+fOmPhnOX9cxy9oRLMnRp
61rWxxVRJwTo4+wN4TRiB6Ahg/D1qfhHE94TUrT1wAdI/2vnYyP6vULko0H0z0t6qBZ123QdV3cu
7+q/TwIbmyRSQyuG0Jt0F02Z94x52X3vVX+70K+39SKFIRRzHcdAgC0/XqhqxrhywKtCO/tZ52Hf
30U1koaqNe1gJtcA6/HMYzZmzl8MDo2LvePHhUWkzGZgAqiYrvV5Fk/Eooob6Nwwx2l7VzZtE2I+
k6MfjUVY6N1jU0W4YhR90BvrEyY0f3Ox/t2Xl3x/S1rchF/ucq/Fbo6sBZLCiZ71CLu31n3OLIpS
eORspoF4vnIf/7yYLja/n770RZPkUQC2hXA+v01EXbiCqHQIm6l3Dmka97RLveYvfp2/rh/PkGzm
huk50mAP/vhY1czI60rIDh11mgQLbuNsWAMWWPSB/mLe+ZvHyLVQU+m6i8SWl/TjtYQ7TZiPOkhW
IvukWvGlNZwfGnPqgdso/KxZF7b6UuxXo4DP7L/++X7+fBU+3lDPRNvrcBwSR3ufzXLRGnuCFdaF
A92LLq+v9Ll7FfrwasWK0lq5BeSjyj27ATnwg67JV/hBGhsUp/ivzg7wPd0oDxOdXLz8+bP95il8
+GifXq4Bex6ALj6acOTRrOSttIc3Hs3/fIfmFgjdROrG9sRW/fEJuBoZbWZiFpLZ8wOlsZ1XW0+F
1XW+p+guU0BL9OTsTXQvzDyGpZ497y8b1q/Lmo/A2WCwsG3LFJ/0bGk2YNKhZhaB19Y0OxoZTFS8
/vJNL2fvL89aElbooOk6C+7jF9XrjN6SPnKVTHyJF/E4FMNTxWnbzX8z/fx10/c4+6VnsxmjAvq8
6Wc2dm+to7rQWhtGr1D1SGvYNVMlSKWdgfyJYsNfbuLvvp51iewMx0Kh9ct8qA4jljmji2A36jGW
kop+0r0NtjiOJGV/Xpu/e21pwbrCQH6om7b49Nqi7l5N5k3iMLNk5DlaO0PbUaiOF5yYEhwods1A
HXEavOc6nhCINOZfnuZvIgvusafzbXE90b3Pnp9qijS9HdouhKTDggwGPG3HDLxsDeZF/Vh4LFcG
1cxgTusdcet9OnbaX+75bz8EjlDs/zrngC4/ne45verWpEMYOnP9bFn6/WKYZ3Lnx8Zongjtbjm7
0Bg4/1wgVQbREbb/d2D/m7jm57DGz2vatj02KYIbj1X9cU2PZVbSTou7cOxHOKhRu5I5nDWiMNxE
HEAwpJFjTpXfBdTwyd8j5g9aThJophaiDMICBDIyt0XmY+aI3ZEudZR5lR78+YP+ujilp+sWcSlz
MuFuP20yWP+IZEVZw8GFOEqhUsskfRYPb6eVZuFfTpVft06OEnS6lhQ2a9T+dFf6yXTVkBUoz5x+
fKfS/uDgFfrPqP0tvP05vvbj/ecl52K6KxxUuZ8nxWZZZORzbuuh0ZoHBtE+w9nYG7x0brHC6Eio
p8KPMU3etmVFNQxWEAHxtG/KIriwLUwMtWo/A4kBWUeSS/dyP0xAM01VmnvKJzpYVnLXAd741P48
3zEZ0dsMSzBaCkG7Pn+Ph+ovNuafn5XQOQo4/IlpLiHz5914UlXioq2ibEYCFTpO6d1Rx3Pw3LPx
M5iqv+3Ln3f//7oeNBmZJ4nk54F8SUlfDGRoDaGdllOd6c5dH0d/G1L1eUu+XMU2DM/TJauQmPXj
m1LYqVGmOpUpUA66UU3yts7pK7DGFW34i01A+Zclf/mF/740uKBFHgiDZOjopz+PmUEUnXiOkS+h
GYv4uWlzM0xU+83sjO9GARdTwlmAmOB09udX7ecY1M8XJia2LkEio84++4s7mTdkg4fBVNGCLjSc
QmZtPUZY/fmINqzjT5rWYVbo+k/ieg+Mmr1xAUIiIiB05M8mfnRUm+kY/vlzfX4puR8kCuxRwtYd
2/08sGGu4qGveBeo2PdeAHliU4WL5UYCv/0lDf80581xuJbn6D8TIGlQ6Pi03eSLpoZCS8H6HGb+
IhdEfmOhR7goezDYysNVXNyZVuObM0XbpV96IHLcce3a3rI8PB8Lqrc/f/3fLAfPoY7Px/GIsz6P
3VWtjSYwyucw610EmMQiG6vtm9AR6zfTWp4zRfMjTotk++fr/nJUCx03Ag4onEk9/ZI0fFz41GzY
z+FZwqXP/yncNY99KUr6GmjY0tCkPHuFAqk+uYVF4SFD+urTGxje//wxfk4o+bgqCRQQR6MB0Nkw
Pz8SVbTWGCsNmgFt37vTRC/5mNKQNtUuEsOPfFLu40hsgzIR5PO+y5plXxQrdI1M7jSvQ7MmvCs1
5vV+RklFoz6Oocy0uju1NjSOjYrzTmhdctOsGu59NrgLXrFTiDtg9eKULaIHa9Vfh2Y1d1BTcqcS
BXtPgXXbirLf9DO6yaUpg6Ify+t6qtBk0c4zl7bcuFNlHmY7o5UnxEV7Yn3rB2O+H3CtLgpFdy4z
a+qr5lM7WfM9zBY9gwkcDUMX57qtHQAkzHxvyh4BYiJLEQIMZAHBaBFhyzTN5yJv7euB1m2H1KLz
kPMa+ZccG2Fn14gBZOLPj+M3q4InQfhEzkPJ75dNQlvaJXOYaoYJvvXoxPYXbupbLZpX1WNIRFuY
HIdhZ8Kip6J9//PFfz1gOJWZTelxXVwxfhmv0GYouYtuDKdSOe9e0UZfTCOqUAHoTw4TF8M/X878
defheljbGIahM6Xyc4aDhVjlJSg+w0bE0ROaSxPkRDioXPXoO8iCmwYFakIcQbX53sUE+mtxEQDR
icVNUdTuP2MGykJnTzsNZY9dBDpLfDK6tobgQzvvBbm+zPfMh7zovdoUV1V+kY7H9a6xauMafifd
/fk7/bqbABo5pq1LClq6+3k4TeEsi+ymibepi6uNwO7ptpMpXtXNzNqhVXDwRpxBBhpnfxvtTSBw
ST0/vsucKxDN6Gr4Bw7tj1sKDfuBMVWUIaIEN6Rtjm85Jt9eCejq4WjX0D14qdO8v1A9szggO3dK
xCxaeRM5ZfU+e2n6Na6Q5U1zSgOjd+bbFa97SKFc2acMBOXZcxPrYDYjPsyzcZ1dsE8zN4prbzLI
nNro4q8GeC73gyrncaulS31LC/6lMoxrXRTG3jRr+4SJRhckU/mF7tY3q6pi3ruhPlh9b37tRCle
l1oi2arr4lzN1nwook7sMX1ob/GPFKiLdHk/4h16Pdlm7+F3rsoybErbOmDt2+0TLzMfa12gWB01
K1w5b/eVo5qXBJuJXXYZAVXgEXbpQsNAphwzzxiMTl+o22Dvb+dmF0ZLzbDxFkOjjaypL4SNpXMj
yrKrr5iu3N/M2sK/R/UIfJBN6+iLfly/abnSvhFnG4/9ZDnfcERT7UaTOae20V902dhwv6Cyy4K1
BXNB5FFsPeyOD/qgpTdF5C13xsgcGYhk0JPeFNTJs8wIElOIb4mpkKdp1qjL2Pec1QkbdH4WYoSq
ve5iqsnbvK1wUlmy+ew02sVfWY/xZIOuSTeRpplgddHAvXCn/rEcBmaST2A8L+tYNIgPS+gLw9Lk
tZEaDdZtNKRykOFXz2oTbM8TfJBrGv0yRnrpjYD3oyuGLOzqHNOWhoryC7GMgwNoh1d/IpxsX6yJ
gEGIVbhApR8XumB7YIv8nSHj6nZZPHez5LL0V2NKrgvmUB4X20TWk6UTPQREnJ6eWZteL1lq9BnD
pDHOSaSDWWo1swGGUbq1b0EYHY0icX7MwwIfEbs6qpOVjDcOvYEy1y51FoYpuEzU2Q1j1FqHpSMp
3tY4ZnGQGFhlYWBZIEpPPI+pOHKWYZbjQhxnY7rL3ciCwW7Tne2l6lpf3PSYZLG3L7p+vWdAM8B+
OuIe7MdTsRxXhA0IlghaVudiR2H1EeV1jAWzHAoKf5Pd0HT6Uyet6pS6jRPW0xJt+043kK+nlTrO
HcadLUPdn/JMjtu588RrqtwWb1l7xsZuBR5F8FV+BWMG99Cq5RxpABAosgZMK0ppHidUs0AmAkaU
Tvs6uxovmZHeZ+bcHO1ayKdlHGUIJz/fdxrxhb/WHk4oSwG1NxabZlwEd2QwrocqbuG0TfscuUs4
tz1yEajp6xr7jc0ce7Q/5ZDuerz0B1SoNeYhtuVox2HBk8Bxs+6B1+QFO14rcL2mgKnLxt3Q4UGI
G4E86jiqX5RDaYA8WDym+SDwc4vkM2rn+X5OzPV7U/Awxxg5f8OmeZ9TXz4rndnSVZF719BB7lmI
aDz/J3Vnthy3kXXrV+kHOPBBYsYtUCNrYHGmeIMgRRHzPCXw9OcD7W7LaqsVffFH/OfG4bAsVhFD
5s691/pW08/2m8Yu8BV7OrcuyJPnyky17ec9HVsQ2plsjXMAlJpzXDeVBwHbU+7sLgU5kTcc/aZ4
6E6LsxX3tW6Ie8GE4BYharcTKGHg2qv1wanC6Rp899rVW3lBPSFvsa/FhwAJ8Gagsb/R7GDCwOMo
62x0LXzIpnOoOQ1fkZv+OlrSJR0mSBRfVTqdDEDzxspbNqOqcUH/WMklXmiNBVx4uBJocSGzz8p8
DcJXPyFAQqRWiJJiMUlN5tyWQCLpmb1+wmg5tAAUxocCHIJVzvNdPCbibCc8v3xEQ98U4pyVpHhg
mqbRsXAtu2BH4AWRKf0QcCCJtXKEWzUGX+CAiHPROtUXrW8SoBWR9T7KovA7NK0H3a7ibe6MxFSA
SIo9LOag9UYuxHOJ/mSxpQzF2SyxUXfBcFWD3Khw/10PrtNsCkAMVwbtxHOcZs4NvN9+VUx9fYt8
bH6ZmzZ+siZjuincCPN+qXyzZttg7YlNLFe9OJOtmfsZaFK8B3MPJ7eNoOaHop9OVYGmvK+Y63sw
kCv7umJuL3bzUDi3NFOqK8yeGkN1h7/MnM5+GOwBpbdUoS+gDA8HuSuKJryJM0PiPOmgW3OFR5Mj
oigwBFoakRIO4ETQFZM1bHsrtDdRKkOmgYx3pY+Vb95XUPY2UHCKGyLfBrDstVWigG0eMtxnqJAb
6xpIQPktAZ/ylEUuINe+HcbNIGTwpCuoVr1IKaMNEQ8lHgoTI6s1oGhYR9KcNq2Ljd8bo849dLb6
Pvfwtvqh23RAvDx9ANvlp4F5ahOZPLnE3m/jwAaum0Hk9dllxgvN8eHFTpX0FcpkfF9WMtzkBUAr
35Wj1m00qbUxq7gyf1GwUdQrI8W5h2NxzndmOLPeqNl+RIN3w3y0/JgLPUXruSBUuV7jgyV1wAjK
QFckBOdQGKhOkX7h8xCkOW3CsugPg8VMJq22hA6jNed48jq6WnceTF0+BFAL540UChAKJFvfVDV+
qwCVXIed2bwrFVGlIEgH80GOrClMZyd5qYSkqkkrx36YZ43BZWmqZyzf6d5NegROkNbvOQfZHlbG
DPR0kn3pZ9X1hwG/RFe0mP5C5LxliIpzOHDeaVFOK8J32/CQNcmNZSK3cIfaBS7KyzqEqr6n64jz
0go44GwFMR5HvcJvpJiyuJ3UTNuqYuygklnOi0zmPH602/nLFBuRumGTJhQRlxPFBfbLbdyWvJ1R
BAIUfCwoGGNHDAJidoszz7aZzQvAuAIDj9lxgInw+aECbHWWYENv2NrtgjkC18SRF6DnUeV9VkFu
H0YAQCtzD8ARkJCMiXwTMr5y+I4nypX2wkK6CCntx9xc6hgIBgcLlrGnJsMNYRYx3CbylGU3H9Qe
MVRn1c59QjVtopwHAUJJrWQI5JB873rQmyygCihEBVtdr9lPRUBSdcRsqldswYasfQQ8UzvTLGav
UnNzDfAC9VZvbWDdxp4T4C5zy/HZSnpll7WSrzxWfCB2iUeuUPqW1wugqVDtTerY4RkhFdW14+5T
c5BrJ9daTD6Ote+XplFDGMyTZeVQxbKQFagJpkdVzbpDafOqwIVdj1lceQLQ0qpvZYH9r0T4LQGX
qLq+hVEJ4LoFPV2Vu7iS08oIk3te5gzVz3xOq8LxXbVK1+2kXzprRKVdC+MGnbmklyjVci+nuN90
2FSu07GaLtpctfmmaaroPKFJPpgMDG+aJCpRgQv1PE/JNXsbDCmuDBXsRL2RN5Sjo+W269iGaeyy
0N2YsmeWCirzmLRxfYsOyz06IicOuJgOWUYDCzeH5Rzl8gdqA0rQN9QY0+3iN48UQBpYrxBKyrQh
p0n0nj3U8ioapUk/LOwf+DmHgbframDatnTtRfca5q9Y4swNpM9xVfLUXvXpREWmk4NASptBnRzg
CO9NoBIt+jI3RMWFZukszUKcFYNnM6HGUHoN4CAyxk3UQqwPNNfgr4+Q7xSs6mY0YXoB02RSDO7V
MdUflKCsj2DuplsSR+I9YU7qJeyDejtgT2W+26eKtRLqKCEo4PBl+RTT0Z61fFs3xvSA/xPGCzJO
6M0Wso4acq5vD5j+PBXT/UkHZ6t7UW5j1C8VnvqZgxsmcLs+MCOJIZ8QQ2ODGTJ4efpZJJMvCjXd
YCiM1ihbw9QfXddcJYo+fwODX2GDs9yUnxMGA3V63VkXUpMA2BhOU74kNt58whEhCyVSlpswGLF5
0rIYbtqKc66fqPN4rrtgPA+lJje1hnnFC3GGuX7ZzPl9nyXKkTgGk+0eWSU9SgHsjYAxlKCYco25
QiDLrVdzQ962VWK+yiH/gExhIutDpsdNJytRi1VbyeiCVC2qlKkCH42d8UgrCg4jMvSNSIvklgSf
3hO1cL/AVC+e8gFcDjPheAtEy12D8qV8yWIu6txMLLw4sJ3VoFEJGuyCe9xY4bVqkYwA4TLGi6YV
dHIxp8tMAVWVu34xmMBHOoD2NGIc0IIO4j1mQVM3Tzjh62ojXMUBm9+lAV5U3cZWEnZryO/V14nH
Cx+mbULYVeyNSdXIbL+bkp7z54S7Kg8h0Sh9dfwU03RGI9bpnE/I52GCvZaytFZW44gr3OMVk7EI
vyZ9bo8DDkFqM5le+NZ94n/sVUsG02bQ4VmpCWxoMrqaDVZhuSlH66omKofRnnicsY/aOIcfh1GP
34ZOVclaCfOvvZIj71DTMvU/SSHoIK9as4yOsBJZ2w1TJaiVvAvTGJFE47NFjIgPBgISWstJWb5S
a9HoGbIjLH1UkqbeFH7vgp5qlKE+Do6Gjp2arusqZVdXab2G7t1fkaxjbKXpAoGf9WwbKl0FKCxQ
V6EDfoc6U/G0sBgPPYuVJ6uG8wshbica9NgCorlBJ0LTFZaFKwePisFmHgJyiP21Drt7bcK24lml
gFSV5lGNaDDbNrRETkRpOR640Sthjd2WxCPKW8ClXEW9NPaj7Am6R7TplbE+PBlaOu6rSqk1P2gB
Z/VFY67psBUHJXfZ7xptNUT3s2lEV4oKbteTEQVjkDmMbyr2Uw9iANVdAVQoAwozxsE+IAZhVdCS
oAMx3YVtjM57CJtV7Cy5ePSQ+32gC9j2ek6IioI/O1VZktwM0IGnqljQuGjlls5A6bvU7ms0m2mg
eo4dVDhbevaopBX2sUm7cy85LrLt+IOrD1+xjms+FfQXOCHyPGUWzSgEexcCEBEEC43UASsDpB8E
R9dGcGZ1LcrjIHHXulLuSQRhywbVIRtwhFb0rRB55o/Y2fx4LLVVl8zYe2YLyIoxuFusqXuDVDN/
DOr5fiDTxtMjxLydFOoeEzWAUYZXnFX8lmyLVTmGNW0QaFoqfQdAULayKdV5Q38/ZOa47AgJ6IFa
puPRWSwhmgEQPXCwu4H2uJ8a2DJgEdK1io72JPTU9M24OupFGq/TmEfBjMS0diaV0UksT9g0IMuH
2W2QOp1nxjlk56qj3pVbzVIfuAmvXZg8cqEeJzPdjUazxQF2GPu8PtXsyMZ6aMIF3ho4LbhyqbuU
KPOE+r9frFEOeR4XHVkxQneKoHlOPJuVEm+6YSqOF+vZdHHmRt4YcS0rrxoK5dYwIXHWYaKdHU70
32J4wL4qiqeZGSVEQSwzICFpnritItcQbggsjIN+m0jX+Mr7BLBjWfYnHpYDJGEN9hbNIp+MOKyy
boduz7oE2YJkE4P+NAj93pk1wx9hpp9NRH0eKq+nONcgk7hTit5LzIeiqbN1xd3cxaUm/BgbtGe5
Q0slpI8+aX+c52MYB1o7P2RtyFGSUzu7KObaakreaU6kPtruB00qGJJMYpPsrHvvifRiteORMzhc
097ULqY2aNB4XfUU2YZzo4ODP8eRgBxY9ckObVx+DhWxTzkln5euN7SgEWMdyTjxI7ECJdt3ap7x
9mmnrAqzs1o36CXrcKOO+jP5mqGvF9QOgdDMkyVhBRf6aO1wERjPtpByJ3oMCAzKzwOlAcLCTr65
o1LdlolkamBxdAlmMV/RZmZ+YOl0y0xpY0LvST4G9JSfFcK2Tl2UuW922eCfgv8PSJELQDctQ1CA
Cb8uFHaKSLXih44mD7g21OXaV3O22aCgEy3w/F7XzwMEs+0QhuGqUvvoFWiSONS8Ezc29wBqTV0c
oHhMzsqZ7fabi9OMj4sSxhJTRyY90QbXtl2NZ4LOVGiZiXJXNXr6EVT5dJRZWH1pcz297Tp1AOio
0tGysS+sptEU2y5ARz6kLTErNGvWehjx8JShudKb2uFV1JrnUGune1HEDYL9dHggpae84e52qt/1
cbTDyVVvw0RNjnYTZmtG9dWhKJMgW3PeISlKTNYhsOHZdTVI9d6UIxyJqJxXGh996gqM9MHc9PuE
0Az6jhjI59ZwNlNjYZyqh+7spiAMwgF7HRDZ/A6raLNrYpOqxiH5a1rXiRYyguB8JG9jAYl2U7uC
RnsqGvM1nGMaFSgqYU3mktvUUzIkB61jedEcO3tzG/ap2R6rxJNY5+5rKBN+reeVP2e58QgrMXxS
KG1sGDdrJ61LkGkYNVY4PMoKhwPbRD4rrl91tv4YtzptNFuGd6zxt3T0fBD3gDaY4onoLqX7SKFm
4hStt1JvEgTHzj6M2cAcB5sjsQS+EDwmvZu9kBfABlVKmyGE8qGnqMpUQlC1KsfZvQAtaGvvIoYN
vowL8jWdcMkR4J2r0+4xduo9r27/telp1jSkd63KyOoxi5W3VVnTEQwUGgNRbF4RtFfhsDTNYyMU
8iHxKKxnmXXgYNJuH9HFXplsst/UgC26M0FHGLNpfpukcJdAN30FfuHZGiIKk9EdAF+VFbwoDjv0
6xUfk6K5auahhBKFk9WP8EUvEBJ5pYPbwAA50+mjBdve9aqlerSvhlMVslBoKsbYtO/dtUpq7Hoa
iPuhyg05GLUOwWpWSzgVolWLh0k6NzVtrePngRuL0PiwkBuPuh6Sp9Tib1enMtphAzPZdke8XK11
pRnkpHm6tpmcjp5VjbZ9q5VafycMkW8H6JzggqgKAVEAddCHzN0ZYy/XWM+rL0lT2q8FuQ/Pjeja
R/pqBG4QYrOEDGhRecDW374HTAkOBUO1PcgCcZ6oeI71bFUXN0yTbTGFl8kpkhUIrejxP896tGVC
+9dxyyIh41ewbAtRwY8iIxjudIlVrV4LA9S30tbsd8J9WOIA9Ky6LgJR3Zl8qwdmLt/YnihatCW5
BvRKZr5aSzk9wjHc2jVH/UzNHgRQkqu2nAEdx0VEf810f/Gd/2YCb7LOIyTRLQa+DLz/OiIy6DAF
o56i3iwT4wGoKZQXqUccAqrUzwyEWu2y4mh9+R7pvEgtQ4NDQnTMqXIIrJk1RJ8UR80vlAH/Pjcz
bZTYQndcjoNC/CCq1IGNhpA86zXJmZsWpQnzqJuAA6ZX1MC0DYIFvbpVsl8JkpaJ2A+3EIELHoll
Cmkhg/jr5bDJpdDIparXcymyK7dcOFmWHGDaR/Z9leivKOMfJvTEvtMkmNwjCnWTgYHX1U5xyaAT
olo0X2k9pCcGkc55JEZ6b9eTvpoVpm35rJXIZ9VlSNUIhgly4cmP0UeD+Najo21TqVUsA2qofQ2a
+ozlJvfIl4DoNbpbXIUI+BjPH13ixb8qE64BO0u1K7xlKfvCXHLstqx72jHRXh3m4UuTQqdqgrzf
Kkmrr9ATZVQz+RcH68ES4SasrzPvjserVx6MOZy+/eeX4t+Ud7aJ6g43iou2wfp35a47lShGR+Si
lWJiW26mrQuv70wnHjdYadENqi07uu+BIrPcpO+xAN+tE07yh8/op2r7f5MvIazQNBdyq8UIx/4M
DP/6ehsXIUYE8X8G/qSKe7Vcd5Nu3VhBCJbD1cfL5+/7P+Bm+llOx/c+pp/kffxv9DqhF0TK9S9R
5OK7+sfvwR2/p3lct11TDv/YdwTeVP/4v/9Yd2VTdv0/9i0MOUQqv/+/S8gH0+rlR/3ugxKGQygH
UmPTwEK0CGT+aYMShvUbCx4KJch4KBQWj88fLijD/A1zo43oH2kXRuRlMP6HC8owfkPLgL1EXzJA
kM25/40LylpcWN8tGPwYHFh8AYRMquNQgP6wUFVTXjSlklkPjSnei4GdC1lIS3M/Sk/ljNNSs5IP
nJTBnhbleRb5vAmi/AhkV/diMZzI/jHeR6NGIxPPkBdkp92MgVbftLi0z/nkyL0tm+42wO26hRxp
XqtJbl5nw8LFn/MjRzpokUyyVnM/QRV33enQz8HXTNVvbDjpq7yon7Hup4yhOmNlq+H7JKgKpQLR
3nWqu3wK923ifOGsclNVRrxIYSocy0Pu5zawcmIXbsIseevL7CWAXu0B9018dXTu2Y3xvwql8Eyw
msAnZnJRVRKF3Sl5IQjqUavDBy3KX8rQlZ4NlUnLlddIkHzeZx89zTwvUY1zPIcbTdEbsBEdmB+t
fZpoisKZqgR+mPQtFs59Oxk7wqlAfRKG4dPaPwdQlNXeVvCEVzoHsugQ9e0SjaWhWaubxWblmH4s
5mKrdkO16SO+XSIAVUmpPgYhXzPLg/ueYzhABUimBSA2xqzZR6BV6qpz1Uf6riDWhhYqP0phwnj5
x2gk78CvANqr/N4qUYrXgRZaPtHqzgr0wqWdkSfRyKJnnpfRe6irdCoY4+4M2IEvBFUEz2FiR5te
ZeCdDVl0YdZurMKSzEQBSaGUgC8IGkDn1ITGldvNDZRGVsm2Tqu1QGziJzGfb89q9WaZpXjuK56A
2A5nRsGM7eu5aVdkMb/jPr9xwZmTfcvVj2LgN2X0USjRB5y0jxhStU/Q5bGcELWmFZcoJGCawV0f
7FU5KTsg8HLNY4JMxg3VXThWtxjhCiYmwtxNc0MOV5O4PLUGg3wwZSveBVhTw3DqMjDtUVGAviLN
ELLz9DgAut8OBIJ6gxiaPbmbKWAVTtEklulP2cTZnRSqFzAxYPTV8TFQsslnJBGtMPTctCRhUDub
cNZV66y0g3mmMVB/LRRgqxU7Mcwv4ybqC+gqtrhJy+R9xN+fwCTZpXApTxXRqA95Xye0xniKwn6i
fp2Le1BA2rpHgbizLX5KFZeXotFvUnoFLcMG7qKhdy1NWXy1xKvcB3XyBprorui5+7i+dUZMLT6+
5ZoXVTt4LGA3iigGr0bcCXQuOoC5vajjcBpAzqOjKFczHUUfuCk3pbRNPy142JGbgWfBp2JoMDqT
kkfXFDyPhIqHRzd3UMgxllDK4gKbLb6ZE+uscTe9ZqqeQU9knjJY5AeXaOc6YnDBUu4ITnyp2/kx
tCH7TKr2GCzo3wkJIRwpp1vFHayBBod3HKJ6quKCx46+uFcxGYdG5rT3dCpt+N9qcM8pvV0lS/Sa
4ZhYJpt1DG/Zg550Cp3sOFd8X3ty71utupSY6FbIoc71zO+kjnx6FHGsa0d13omwA+uidYOP1O5D
qXpaPGW70jWGbbXUBnreCN+7RqEfZ9XBy+f6V7Y5KgJCpNdTGFt+o/IUZcH8CKlV89UuKNcmN8m3
YNRxjuMe1xlVLJIs07cIHm8140ZlwsW50yqvi7wwfM7zEqwbpJTY0aFDKSqtozojD0nhjtBWkDxR
Q4p3iK4X/UnBn4dll+1hqy4wERYPuyYHQzTPSo5N1O5Z8ie3Jv98Ku7sBnKdjgPolnxS088Zg5iq
1NZKnAMhs+dH0N4oIlvnnjA/Yp/4MqRWNwtw4yOqglfDij4I22n2YI/oZlX4sD9/dqFr6Uqdzf1A
nGGQzuG6QZu+Suf0bRromLa0LVdtWGLnyGiYRwugtwN6VETTI6nPHwxxbX8mUf6KLMxTzbHTH0Ne
WWzl2OUjjklTekT0s8w89DOA35MeBIAAG7YlQFIvBZEtDQKHq86JhKcq82PVQnWuBh5EzXRADoM6
iPzCslxm+i6DhsW4WkA0S+bm5PYpzxoIRYJTyKyWg3PWKxCII++dGlZ3bl68gM1+SGqSGGmHDAzQ
3BDHKbeWzifc05GlyARVuUoz6yxC6MrIN7s7PWVqqHVJ5WsK91JjO5B9+5zVY3oFJee9EplOGnSn
QWJQJn+0NP2KnJx4F2qGXGO9Rtdha0Q+ItDyuxmOjZ4StUKa8R5nI912kBnLGGslA+ueUIUcs2LF
NcZFwDgi+kBLcEdv5iLN9EXytfwp5H9OzPgtxF/gh1pxTOrpUeks5jh1DbZisHexkw0eqst01YXN
cz5nqEkSrgSJQd8IFQQ0APW5oB/Bc/BcSB5q27DvQT98DZToXXUANGoatJAyHlWoeHNwG0jOHynM
UcwNQUv2ZSWT5qTTyvHMFjyOaynf2GlaD2zrh4LWZLE6wIDO8xfgo/DsLVrMUfhO64BLX9ISNSvO
BXGhoW2Q7TOjV8SxId9RcJmHKXD3ij09SoQLV+RSletS5smNksK2heV8sNRIuR+nKV03Boklppm+
ZzL84NBBYG/4nvasMgR19zvm9+VuqgKT7hTfzhnZ68YYF05B4PnWwO27rk1b4f3kxrJhLQjj0VjR
ceUiKYTdx7xtcHwg2ozsgbHFOyOA7Q7Aq3KT19nNlfse2zk0NtfxZmCunmmxOPcJz76oyIII8xGt
FqtBMWGZU62GRINmuYIRYZtDF9LT1lQUTj5Q6OnUDMJ4FHinFsi49MyRUFvCvuM3pjHtqlOyS1UQ
u6yqwm90fnU3YbipK5Js6h7ycMrnVwUWZi0N7iGm3nQx43GXlv8aXXpMFocNUYyT5DnsxNJEiqLr
jHQCNDNA3JlMP8aFE7w2g8Uvk7XPS32H3Aq+OzyIbTILGvPUVj4uYq6wxpKDwA7pSgzxqmxZZwHw
MnulEFxrWYapQryWU8rUcihfEPz1G+rmbTd2QNWK8B1xKI8fy1Wasvqrig1tEeq8py/9WXOyGkJS
bX0z1Q2uCVjhW0VnhUwG/qFVPJo2BE8Pm529ZsQ1nAHLdd5gqjdqYm/0UBPH2OatIeDXs4pgIrCm
ugwj3w/BRORFVpkSSjuwGbSskZDcpQef/63JWXaynI1XduRRlRN/0+lYzkLBTAS6BmNVraeVyYOa
GnJACsfvbenhe1mlL+GIMXRYSuwoy61Tp0M7ZslKVxERmgDl8xEOp3PvRDrlNFwVkvTEPmxgPgGw
nN+CRhtovE/KW6iymRnVAh9UeNGzwJD7z8UQTYezDgPtKo/MD0KVxzUDONCuHXVQFQDcllq7dQN4
kfBp2XbNzN2Qt2b6GGOmQwiGioIg+gAm0nq1xMrpYoIEAVXzVZAC1bFlrGJNlqu6YSdKyLs+xjRr
r1Qmlr/rl/8HjrM/RXj8bzysYjej0fXLw+qhL17bKG44rv7zX+O/O7D+/uP+eWC1fsMb5riIvfFL
mzonxt9zKQXHUlpLqq7RiMD0ZtCh+OeB1fiNOlbX7UUlvkjfOeX+88Cq/8YQCUMUNgATn5D2X4VS
ciz+4cCqEX7JqVfHimnbGifqv3a4aiSZGtSo5sEcktu0Izi+FpayZkLzxnEdXryBl5xSuXrDneRu
0sJGD5Ma1gnsWYVADH5PVyM0ZQczz5PCkvtZhQOut04GB1TPqudHQ6feadKih1rYscZHDZUPaI3t
gCJwN5NeuzZVjOSTO5ZHMcl4S2iqu6U5xlGoNW6mdkY7ItJX3S4mIm5jPmXmp+UD23yO621Vdka9
shXGFrgDyN9q6bWPDftyynlqwXwuCR+sC3MZETGHGgF3+8aeltNpSKHRUuW4cxyfHTLp2OezNzHp
N06RH+Mmec/n+C1GowoONz+6gfqIAm9Afp1vnHL+0mYs2G1a3zEvOCoq42U9meOtJal3B6V8iUgV
Wg9lBzvKrKrNyCFsPRsWITsVRQihwx+aE1yRgxtc2R36p9hM36KpdxlZlXehPZxktRzwYs7U6Iil
R4NhWfiTN3vZSSMAJVsn4vsjG07ua8qbfZzH0bXTzV1BHCjevMDspi3515THFCafJ9tQSyicpO1s
8wWW14AyPcrKOvdpzSHXQjFXv6gM+OFmFS8Z8dM+3Fo2w5GrsPwn5tUvI8GYNNAPcEpIpSz4n5Fu
wcqqEzbvQfn6ebxxBPihQnSnaGJtg3aMpAtcFXkb1n1fcCy12IrB/L3UVBQbG8Asgqwm5t4jjOXk
LECS9bJj6kux1gY1i16sss1wezSXWkkSwsCvPrh+kyYfSxsgZSTtEWT7gpc6Qo0ukOWr5eXz/BEn
Ub/JirZ6qUhF3ZWCWrWedaYUBZagEdPNeVoeHQlwHO2Ogt5s6I8y6BegZ2jUHgnnAquTnWu3kPGq
N6wr9U0898/VaG41AIermSQJZjtvFf1kznDlXWR18kzO9EsbNHeBkWAgS4q7lm+b1Oyman4R7TIT
H2WEzlshL0HL3yCrv6NYKVeGkUWr2ICEZyMovirKzNgYS4/DjdjE8ki5Ih7wzp14FAi+Q/NepO9a
aVLDihvKk2Jr5mW6KWPKoDRlp2unlExwlaNBqZlEe+Wp+QhomaKUOaD0gpR9M5myi9aYu04q4QoZ
1F0z8Z5NbvRhTuKGFFAiCvuMxy4uPszKUrwsovUOFoWH0FKLbawY0ybIObUhMk1Xbj6ekjh6Yeqi
rhRCNHdZwqWViDYLP6LpT/TcWIJWnsKjNYMhGdAprbtwPo0mz4w0uZ9qTFmR2UHItejEsQKDeB1r
bbGd25YDeUpKWWW24bp0yRJKQjbPUXDYUlN+gKnX44qIo3kzzxw/C+InOsmC0E/WMuqlxVCDD3vv
SiKoY7oXgRJ/BI6x/Sx4hd0TUk3tFA61ecG08KbTUt5bRW7gOKOdhN2BERiRTSst5BNrlz7Hchji
SlpraC+njK7WrnRSdUVTnUaIiZmRfvw7dLkTAdcfDlDzxyyh5tEM6jajpp6KY75a60a5PyZdse1D
0Nx2BlxMZxKcOuFbo6mvjjqgmNdRAhJQTkEY9KCyaVstkgUWPqPUfGfBrTvmwEpb0NooY0fxEpJS
ac6gse7VpN+ldMyuHSL1dkzF6+eek9/agT54zJGOvFUlQq8h5rwVDP3p87kBkFotLxuzF4cljog2
zQf7OREByENGfRLvIJKqnhHHnJuM/vQ/1VH//6kEwfW7jEp+XoKgFXjtsumPcqP9vkH+x9/9o94Q
1m8G5CI4GUBgfu91/1FvCPEbUxdUNLowXIMJ6r/qDf7EsDSVv6SKBeZiYsX7o96wftMB2/FzqBBc
3MmO/t80yH/wLyrLpMUANaYvXr/vpi1NhBBtMnp7rzdo3IqvgWZhEQ0e8H1tlaZEuF9eueN1H7qr
767S5fdZ3fcIKSql7xryf37gMv757gPzkua71vLazNgZamRRWq+StzvHj/FU/cIj/DkV/XNM+OeH
LMXVdx+ihozqMjWc9ml/O87MIYtuNZICgYZkPci3gCyoIdYODT7QOV4CbGDx/tIhL/46pPzz03+w
82VWLtCLp8oeUu+2zDn/BsoiBWU2T/oGbUaDRg35RzT6fEXmxyLf/edr+8Mw789P/qFo1F0lxjBJ
uK7CMumUOHbivYmqJQyZNqjDZaztA4TwVUN4BcYX7xcf+9fB+p8f+4MlOmUsUpugZvYTjZrr/pxd
d08RHabH8sI+/p8/5K8T5399xo8DHLjZGpjpMtgXA6GlhkuhSJgDUHBXEmXgriIaTv/5k3729HxC
Kr57eogfV11cfnKPT2GLhI3uI02gQMMXEV8yk3IzmLcsw5xF7k29pWJu1r/46OVG/c2DqzFf+/7B
tWZFRuiou70B/nRQL91ob80m3MV0LxnF0vXlihqHmkT0yBK/uLTLDOzvPnR5Vb/7fR1XKpgu526f
kpBXLWl8qtwqg7FdglMMGWyDWcPCbPx+Zv3poPdnT6n2w5pDX2FyaogK++q5uou/IYbGbsJ8J3hq
TgGmwl8+lz+7mj+sNWkA4lZP9XpPSDH54fe5oMMzuZ+Pz8yKFup+jQ4P0t8DlPJfPj4/WeK0H1Yf
sASk5hD4ve82hILGj+K5OJXRiQATNGPRpdjj9MPFSg79sBq+BtYVvd1zcRranTzEgfc1SA4iWtOX
GI4pWfd++5hcTOV1OCqe4rFWhvqpfi3P5W3Wr/VVuq63pnlS1hxMNg3/+SZJ9t3JqcRThutBPtEF
9L46Xq2RDAjOjfTHK4iOrkZX/Ut3OyBsPIm18EvEyj7RuftkPe3MvXIIpr3cyJXh6yAdts0VE3kS
x1fTvtg1xSZov0an5twSMXTV7Zqze2vxEzMEtPI+v4Wlel1f6iXb9MYI3pIn/RhunWFb78JDuUsQ
cq1nkinesxto9ajbhzeDOIfirFyNAIa2zbbATHrod/8lnevP5eOHNVmMuRtmCskbVH44ZwBiMUIl
mqr2rCG5LDJ4QSJyPuCQ5d/pf//i3RLLQ/13L9cPS7Kijxi7pErkx/L6YqmwhcsEUsNH8QLO0itR
hbfNSywEMVPzduiqSx5r+H1Nr/vlG/7Jmvm7b/HjCm1JFk9twMZuHBaVMXZTymxnNbrJFYzzGd2o
F7bZUzaSDpTXOhC+8GqOTNRR7co0gmQZJ6qka4DmxyMhiRqKKKxhynlyGhUK4cHd1xhb4EM1Iaws
KuPhanREvKFIXxNlu2JP/MwkvFagitKWp0GvcWLIxx4o/4gXsiWsEmtUkoVPaK152KaHJBR7GTvR
hs6L7g/99AV91XUrI5p0WehloXGRwjxNhfmJMd/ouQ1bel6Bkk9sm+yyAelfQv55HN2VUbsLRYse
WeQ7hNE1Cjaj5wBjnotSu3ZJBeuqt9B5Ed31L1bzv/Zy/vXQ/aiOSgwyGoyaAOMg3iX1s+uGbw6W
Dxljfqy4gvO6s6rbyTk580RoqYk7+legqJ+s6f+GR4lCdTBT5AwiqN/+H3XntRy5jqzrJ+IOkiBo
bqtYTiUvtb1htKX3nk+/P2qts0dFqaui5+5EzJqJmJ5pFEAgkcj8TSA0N7MF5FhSAM9yQ9865mzF
phKXYvqfprq4uIzKHkJTTb1Dme2YmkSJvmCTz7cmcsePmO2t6vARS0bCu7+3LOtStP1D7vGi3vPq
8sKZSE8HX8Ekei6hxO0qg8mUJAKKho2MSAFY6tjJhyx//C8/6uL2Qou+q1E4jK6yQ+E4V0ldfVCa
YD9/1Cj3N7FyAx77Xmrc1KZ+nPwr53B+5D9kQC8QwVczHZWsjevCxGbKxroHwzw17I41JNTAHFFI
11/SoPND/elZsIQb5mqf2MAD9EM+qvcw969s+Tx3nRFH+2CbGZkRJnvNRGkjuZT6zJH4nRD1kk2/
mt4w1VUGGAhLca85KrMSSP9oOyMWZfGm0VCjIxp6o3X3UgHgp8RYgV0I0rr9p8EXUdqoRyyiQlK+
oTvGPWbRIDRsLocob4D1DfiJiJzyYkKIiuPmOgviY5o4d3BatLK6zabhOCV4bZXeF7jZ10KnRhjv
hAN5TURrPJh1c2vXW1xqynoL7nWcCEW7uNoqfD1tqzSIP7TdatT3I08SnczAhhoxQLMiaAV8WW+m
VLT0bIP54obsQ+vrUUzHvvhu0MgiSQQhD+XUOWT2HjTFgO1dtbeGrTpsckqvK4XCJwmdArTAO47x
Z6Hf9unRMz5L47HVn53hU2H8boyPafakdbtY7Drrd9fsrfrQ1Qcw2ehvpPFeTXfaMP/oOkDlcad1
e6XbB7Mf9EEGtAi3lMhWyKQXHsU9pdChOo08RLpogOuq7CMh7uKqfY706lrkuLN4Ew3i+OgUJY5Y
Ym+O5YaKylqEs4yyc+h8N+ggno3xYYrEk1k1u3Y8wPi5NexPwvzQ5dS0RnSNfO5QjntToHaSyG2A
ej5cgp8aXB808Z6chHZMLezfSqY9jrX9wWhutRwkU2I+o+dwA7HoR+MERyscHjWjn6tAB+hxGxRr
MLaCaBNAlHYUZBnqH70y4/5BF9SIT0TZN9jIzQr34ofQpkCLErMDPjdNoh3qJfSKWQylzuj+2Oq1
GsTPUWkdRhhIya8gxDevzld1SQHyd+jvKyqgDrjyEZcQ0d8Erb3B+man5nLaJFm/gru2L30edaAm
hilzZWxfYQZ58DHcS/XpHs+1tU2BqSt6OvPYYUJ1CxOED+wHLUA8pBk2ZStcpwwhE60nn+sm0Pdd
nT8lQ3YXdZ0baQbpiYo7PL5i1s4bynlp7nhTPjfxJ4G5K4ofvAksyqmU+B/jtP9RYO7gZ+rWmYqD
BVMrKeobM1E3Y4RbkmHBqgrtX4Y+PLXFDazRNaWqapXHVb+26Op1415Xw6veNx7jwbih8veEp8l3
G9+uKW7QAdL3QZJsZ/x9s4rN8b6MFfJG+dCp/bVux6sM16weLy1JvUKk2h7u6QExN4BeuNoG9+mo
orgnj3ZTHqM23gT6F6XwOL/DQ+CjC0i67UWAhgx8+miLbn1MPifErIX6mci6ii1rnYX3mnlJb+hP
tYGXgPsqymnIDFH/a9tDOR4mXIntEgvSGagTQCSYn5u/08hbIyuJRMF0hYTG+YD+ogX1TnQFTnny
xrNA/RlWLbqDjT8a8K0bv+GAp1idRuqtaCX7mUpxjatZcQvXcZWnT16PlhYJn2o+lTi52DhIgvR2
CwhxaqGu1aZ1rYwGAB6zubdHEWflw0tMoQIndoR+bwwY6LnOvqgq2c7PsNc3jifpFhnckTHnUkHb
OoXJn7ngQDYtMkS9g2U4bfnH2MKQzy7X1nPaT+vzS/CiIfneEsz36quln4JuAvXmxwcR0PXOjl5y
lejPmYpxHiY2vDrtoaW3r8wiS+thvK8BJjnkrCp1ZHV8aIeDmuExjPmmCUEN7RNHF9dkbrdpaW4e
gti/kNI4f3g/ziDb1z+UCmEwwX2rDukoDgGXsKXMQPN+B/ioMR5V57aa4rVFPzzWHyqa87S/DnHW
XOtes017az37hbbFfahje3vs2WT6MVHLK+QHNi2qN7jQtK0BZOGzaNhu32kirsvE29V4ZMalhVmj
ucaDB6Zc5ppetg044jPEb5IAR0ufRuKmxvuSViRITWNV5vhPYbU+rVMBH1P8SNLf8xMALfV12AQz
Zx3uvbXSRuD3RrqyMWHxiFNF803pv2rI2fb6dSFpqyvjQwPtWo9VYKUP8GuS4IDLmgFwDp09ymfs
QgX3+iy8zj/BTtzmur2FJOqGUbkuezzpcPrJ+OsrXa4GKFZ+aq6d5kvWIEVnPcOSWBnDd4ugi6vP
hW0l56/y3rZaVE+wXfNFXGu8m6Fhars8m9RdokMhR0bdj+cO5EE2T2300e9zYAJfygCSRIfnNU9p
s91MrY3bff1stP7WTo4R7QXUrytcR3hkXfXW+CTLwR0AbPkVOCEv3rTx3HNq6ft4O+QF75yYJlEI
7NDDvNDUDymW6LrdufQ3XTFSPqDa2TcxVkyAQrppbyA0EpkSVEp6FTvWPtZLN0q5V2WG5FaO+7e/
gUrkgs7GN/aSUp71hxeCusybPZjQUEOrg0y+eLUObMy84fI+Qn9YGX6zp3t1W4bOg94aPwslfG5V
2Fbqjc6HiyEwiqo8dGb5oFVYaTf4iyl3k5nTIY0/1IHxSU/rgwnTHPwY4OJ8DVBkLbP5Ed35vEm+
mHWFLepwtJV8L+D1qsm3FkcvJKO4CbFFHJWdHambgN04ZsqdkpR3BfaEPjS6oKyw9UG+fPxqAIJM
J/xLh3xD9/CmsNrDGBb7sPF2aQqqjf8sVZOmqLnD+dON0C+MNub8Ys6fvKhYddUMYFuZVriZ1HgX
S+Bqlc3L/1LwWKiW/t+bc6n+mvsoqDo0m67C0nRtBzOEon5oKWDaXnccG/TP+K8Te1dAYixr50Pq
wR4E5pRozX05OrvLZcWXHsJ7J2PeCa8D7tihyWRrCjZhII4A7B7V8Q5HKI1yJv2+eGq/C6BNidU/
k34fxPTUHPzYPoKWJv7S4y2bB3h/qo6SlaGux/HTmHyYgIQFJmWFPv2ettOBsv6V7qzWuMwfpN08
TnkewZ6jaYe/mTw08e356+NPVeGlHrhVGNJq+sQ84BVMbSz4jD+3XZgu1tiG4eLlecwa/yM9yGM+
oMaChVYDjuy/HHzxPomnEqgvssUHQUEYTWwQ8PYxL5xvqdEeg1IHEtcdBXiG+TM6EQabfNaZl3lh
/D+8stVF/SjJwJ7gKmYdotS6qwrvCD/Rpa9570XU+HOqlXPtqpf3Ux59PD/m+xUMADmnu6eKFYTn
hxG7Lar78Htd276f3/Vz5SQhNekDdQW05fxgf/i6eG+cjqaGamPPcJxDZJYokBgu8onbQv7UA+co
7ec0LNxcWq4RVPfwo46obx8l76Dzo7//skdl+3Twrszwj0h0eTCB5/epuZva29EE68c069jb6eXF
2rvBX/n2TAIxOh1Kx+cHSzfeieV4p/UCd8sUj2IHCRrhKq2yq37XGJQj48ZVCQ8NcCL3AKlpJC5t
pfeL8qAUT39BljVVI8RkH2JuyxRfExQC11pMrZz1BELqNg0GdYmNTEK2jflZ59f4D10HMZsxvY5G
CYJHVW+M9qHGtSu2Ps9nt/Q+1jpCYNl01Fh6M1PcoYjvS3Q4Loz6p0+7iIFOqIE9o4N7GNo2h9G3
r7OPc/MfSo2O5pSFEByoC1JOx42QGclsA3Hwz73XfG1FdO9TjxYVWCvsyc//oD+dKn2xCqUIWwnC
9lAk+jev8ze1IY+hKpG4x5QxVY/AeY6aJy/N//3AQfnmdDyY4nSRu8I59Hr03ab1mJrVVdm/xCtb
BCjXSTfPP4U8hs9P8I/feRGqaun7KEqwwyUnJzRUV5eFK/rPM5EQvvZ9P1IsLj6XFloz/n8Xq5bG
PWnQwtuH90TG3h39SR4jumUtJ3gOi2j1H9Gp22ncuhfm+IdVXXIkWwkkuIoN5eBT+psDRs45HSbB
7T0e9QofZwMOSK25Unr/jPlXSNPnPOVfS2e3E0Lk/08YjxnF+WeAx+ZH++1nXr0Gdsz/h39QHfBM
sGtDexneozUL+JocqH9gHYqj/w/+bpqF+ZsOVPTlj/7FkWr/A0ORK21GewC2nAP+v7AORf4PMrMS
DwQVPIYl/wrUcRp0pAZyFIkEuJe4mDizp8Xp4VOGvA1iVChne0QMVeNn0fTrKv2N2O8e7s2B8lkL
6zP7mFjXttVBW6tWzZAfaIruUG7YBQjqwjE7vFq++38umT8jP+ZfBbZWCA2nB0An2Jqe/qokHzy7
dJDmbVXUCbshRvekbpxNHYh2E5qUXc6P93Ia/nPXMSD4Gcz5nBcWqq4vjWq8yYg6sDfmJgSITwfV
zGR625iT6SE4FAPZ84VR4RKMGDn0JLUFQcXTV3mqtWiCoMhblaamXya37TQiL5b6HghItZWgqnq1
Vh60Mmg+0eRDiDOLI4pSwlRRfSp5wH0uBvodYNSC2SG7kV+VFvmLnYdEWeF2tt1HT1ntTBoFPMm7
Ah/l0tvOMzE3dYLN28oniQt26NRVCUazVWiT285fM0EjGoLEpEM5RduI9i0i6dti0Dq5Cyfb38G6
iiSlpRZcYqKDrgxSX4UjVQjKgjn1xF1YypJncptFn3zYowKYW6CZbhZl0bRKur79UhomzfmoxgW6
oEzmw7DSwdMFBSbqbhgbFQJTcnAgBThe06wd30dKIYA7q66hKSAjZgQGBBXDG6cfVNOHYOV4delc
xX4hi3WYArMGol/nsZv5PU8DVG6KjamPLK8hUD9GkhDqOYpRVtps/MrpPUCCigzWrYIJLtJPifzQ
TmU1rgfg0h8HBSfUdZ/0WkMNvIhuNYV859JuYncuNpNtY65kSOT9wI8vLnT6TUanxj3Wd7xOH8yk
xFUrVzRD4QUyFIdoCtqrQKlKElTkeJX1hb38ZnRthjGqBv8QbZauG7UOZwllHG2TV4gVrJOwoWyn
tKUy8tJRKNPmmQ9ic1BxwgZETEXz/PiL/BgCtY49DmaSOFOi86ctsQ1TPSoo9sYq4m69eAaVXN9H
AYp0I46DuAm02cFJfNABWsjD2gvta6UfqCV7aYZgTDDX8xvrwprM8eLVF4EbpBFG+EWoF+BEJRbx
xEKvIRzVWWxb85Ibx6jaO4Ar1YfzM393FDzcUD2A5Y40wWnU8geQ2VGL47kuhuw4hlmygdwoLnW/
Tm901hezKc2BRaAj9IE13WKYMpqJkpiqu0Ue2/dOZ8tHoPnGL83w3XayjVtndD4Tkw1ALLjVNWUc
XAjPp5nh21/AhfY6T/ZGSDBhmGrIuLX91QSM+Coqja9lUOKQ3hQwFovIH3+OmRkGawDc4/35hV5c
Wm9WYHHAbDTjsOqMNbcftN8WkGroUBBRIzqCuVlacCHJVGHqZRe69Nzhi22E4ARXBQQDwASYvZzO
W8mUqPCNWZERubytZ6T05JDiubeGOrmyRmF+Pz/PRYL6z0JDHQSujgUMzl+LTx3mSurpk0mCijDw
RiGeuLVa6B+ChMKpbg0RlbLYeUBSvkOQQA6/Rpysn2TiD82FmPZ2bwtUNWb2JNkI52hxgnRDFG3G
aXerPrG+G7lS3QUaWs3nJ0xSs1xgTqiOySTLS4ya//xVOai3c03kRae5kQEhonFG3IphOjzLYEJT
MmeHz9xy7x9Y8h9RZm/nZpBJ6ZZugW5FU2Qxt1ZBuy0p2E6yQLYAmgFmNV3YXZjb/Gg9jUGzCQ8q
QZquzf++eHTkSIKNfE7VpckSbId0KHd5R0RMNRSLzy/j232K6I0DPQjnJVWHoX26jBOEN4Ecj+rS
0OhvMpg5uLzCFo8Lxdhgrxhdnx/vvalZZGlQg+3ZEm0+r68+mzKgBpt1NqzEMAdp1ikol8U9zdsh
DS4M9QKIebWMhGWC3ny5YpRFRr1EBiK6XBWIdUIyKHFl2JQ1ORXKWHB0yZiMx9EoIzRfTR27J43O
Wef2kYH716D7OeAdp/re9UPyPelKVaCKUagNbIUScWW/8dpNXDSqcTOE1qhDI1X04sIe0Bexm18/
e1MhVsLdjJ/ossemTe3UZvGIUoHZql/7aaDg23uy/lBlrVPB8MhsnbZmkIgdUAPh0xWxjSvNinp4
kUgdVdAJ43hwTRRGvqURF8DWiD1QeekgjGeERtQM/c6akslkSciXnjYm2oXov/ja8xykNKmAz5ZC
cOPm2+HV1279xrCqPEJ7MPEGVyC378bo3m5VgfL1X22seSiTdMJUsXrD+HVp6AXrBexWFgra6sK+
1hNM7Ca9orbWgdo+P9Qi9MxDEdzI8WeYPbaYi+OJFlUdVya3tdEE2m7SjOlBTsjPz36oNc0OtBNk
GbUP50ddhJ6XUQlz0PiIPthXzmv9ai3xH+hnNQVtQ+W0gViPDacFM9Q9P8rivv5nFJAsqGAh3vQm
HqBi2Ke41GibpMmSa7NrzZ85qsZ05OD/XwnQfNtY9tN11hrOc4t2wIUA+874DnsGX1tDCttYBtiU
K6vGVonY42fXFUX+QjeuAqu8Lc3wV9oCsctsC6bhJQ/qRRyc581Rg1KBNRkqUctUuCidzq8p5mym
qakPGg+UjVUgoiXTlhaPbOSFeZ6ejNn7TfBm13hKYquHm/oiP+hzPzcotVg0gHJ1L/zavEHFKr6F
WJ18OP9JTzfO/xtqLgzMz1KoGacbBxeCMmfuDFUDIMa1EIysPw4Xzt9povXvKCSb7BxdZxUXh8JU
ZFUYAjhgMEBh2uqRJr+gjp0dEQjAkaDTnfbOpJ15xDOmvhQr59U6jfTYA2P2rNr8Ah6Bi+Qnb20c
bhBrxIcirB+jEgci1FTH6mOKemO/brG7ODSV1gXYysPXbhBgA5+Z6hp6217QDCsMWjJzj+yOhh+Q
N5lXWHAg6I8fiL3BDwiNxK52wgxZHT2Rx8FPrGxnQ1KIXLvpQLvGCA/1f30UbSInslWI19uas8zo
UqM0HV/J9U2MZvK1k4vkyUiD7BDUKfKTU6rZG0fRlZ3hjMBfQgRELnzSBV5PcigoquAIaPA840ws
L2svDI1Qt0q5ESNaQevaSDB0LZxmBGisWR2lHVPDQjNtypEmsRWOIXz7LvsAV11ecg093cUvv4WX
GXgh9jDrsgT0VQEvHKUSxoY/lXhpZL+p+l9SAnx5cP5nI7GLNQ3PLJMSF8kQMXARZC2pYINYOOpG
jSNwzIg8yR8FxiJA3b0M+xF6hO19mGk4ZiUNntU0VAwb/W01C36bQ5F8AY9NGxmO5YSYcyodaiSq
VR8DaMf1VkQIa1AXy7V0DSoj+YSbG24adClBNyGrhJTDVDcXxfhOl+5lUiblP5soM2eTy6VDiD/H
EcVA2yFJt7WPt6IemaijtikygMM0gLom5KNbE/BzkRRvdw3CvM5Km/BorKdCXxthJh8MW4kvhKY3
UZDW2LzeqKhZ/MRlLc1R+NZjXFmubYXIUze2QCGDstiD7Wvy49+GQW7qOfxRu7RI3RcRV9F9D3co
HUDKmAoXvYlpLfUxuXBo38xofoKZKrbSXNIcmUUYdAKjAbYHoo3ynLiOhx6VGiPodtJKrPvzE1pU
T+aQy1gUhIl3DoJ0hn4a2BPh28iVM5aaFbcTv2rTKG23blPN+uEI6odYdkkoAVO7VVsMoQLCIG1w
8DCijdAMi33jwqv37ex5FJEbWdB5+XFL70C9AXSr1Razn7nBtdZI6qMAH2yEVS4EpwtDLY0zYcWj
2o7ppBsGeYWGZIuVD5T1Q9xM/oXr5TTfe7nacAaF462Sd0ltGQYx4Uwdr4UkNWWw3jq1Gj/mlq88
TsNoP3S1r6FNlIkLCcJCo/XfUcnE2LSqxiNtsZOwJR4Dp4ssd/R76ylWIyAMmFwenKnW9z4mcevC
QulXBCPokbAOrgnk+T1ghuonvUkgS50ju8cpKfW//8g8Fk2CJFV3BCUWP2zKsCHN8Ohyext3pKJs
sPSu2n5bhZ66ubDF54v7JB6TJiFXMdcoAXiBrTzd4rhrTEbgt5Y7maK9opbebv24NO7M1CvcJA2c
nW9LiSjwkGxTq0SrS6/Cb74FTebCfjtNTF8+B4kNrQaeMpTVltRWFSG4Ak9W6A7xmNzAcol/1GY5
3KaDXe9Fpo5b9MOLDxbw0eeibrPj+ZV4Zw9iqM5q6xQfCGBzjH+V/cfhpEbUZE10Y5ThmCqq+DgY
rbeN2uaZ/3W7lXEbfD4/5qKm9O+cJRaTEHp1DsCcNL8aNFHxCkuS2nK1wuwBSAHMI3jqd6iFIAFQ
RhscTZx1UoIHXaPo191gerlNEvPvHiVvf8cigzUzc1TsISV058m0jh2dKh7v79lMTIEDE4/HCSHp
j309DrsoNYfn8+vwTqixKWaZZGEaZeE3XvaxhgffAJTRs7VyG9iivYfRjx69rrc//5uheBnwpedX
7OJsjcaILl/PLlNH1AyakkOv+vlvLu1LvqvvT+o/Iy1S5gmFhowav4VxBnoRHrW2DeaAGq0atfzr
O5FDPKeSVAVxAFi26FrMpAxChuWKbqzAfXLz6n0jMPcK7QtDLZDQ/2wVIUhXHXAQZHGLBVSLvK/s
ZLLcToIMpwAhr/KoRkKStsZxNEGuW7El6K5M3YO0eu9W9Yf4SyZy8wY7o+BC/HpvkdH3mV9dcy14
Gb4Us+zMLid8cYCcbVI1cqtjZuFq5SD353fO6QP234lTNnRg3mts10VhzUkKW8F6gaic0WA0AjP7
6qhVezSdrNpSjLvkQ2+8E5nJQAiI0PwxUF/EBn8EURJiOsdcNAvXk7BZ53ji/P3ViyA4U+KimZtE
i5M/iNqyqm6OupIKelIH9jaJzXQX9BKvLXIsLOf0aHd+Kd8L9a8HXSyllRqpXmpMbZq0GnjJpNyK
gCKhoiJRUgF8BQUcihuMZrNb0ff1hZvm3ZWVlGMpgFB8XaZ1Els5tIUJN31m4L6CBuZh5MK9MMl3
t6Y0ePFgEaw5ziJ5VMIkLQws49woUW1QJciQqj5GYBYo1/PL+e58LDoB1H3nEvMi0qjBmA00vC03
DrDzLRsfM4hUOBdGeXf/vxplMZ/CqKymqhkl6njpoGBU3hiMggGiKF1s6drD+VnNO2+ZmVDCoXnL
k8K2Xu7OV3djpyVQaSyyoMqixsALyi42otfLXVKMzb6BzHIzoudzqcz53mIaNJVmvwHyUWP+81fD
NlmP0eZUcOzMKYAom1vbupjCC3Hr0ijz5nk1iodtRy5ULv46UdJHrQJHroCQvLCE750zkkgxI1OQ
+ZaLEFIPFGCwiOdwU1e4Gi0/hCNTRv0XdCZB9uciLKk40ktYWVUJIyfRu/bCRN+7L+h9UG/EB2HO
NBcBJq4oisW8GN3YSYheGFEZV2ybYhfVSuhmXjhuBr3Lt5PBN20Beklr+gbWQx0phJjahXD3zqF0
DNugHshO5gvPK/Zq3XGhEV6XZsC4e789tkGLbngJXSyzUZ/86/3rkNpRXuKiRA5mMZSpepWKUgND
4QL2pUsqOFIUVuo6L75W3OQ4rXrq9vyY72wrxpxl0yUvGnBJp9OrgWGj8MyYfgitOsDS+krFmujC
Ir47Cvo36ixAI/XltrI6EwGoKrExdMSrxdbz36JE/Oz8VN7LjWm1OrQ4uZkEHiuncwnrwW8wwkb/
Oxvijw3CLx7AcsXARbk2IWD7mIw/Y3lnfFPwv8YVJ51wmywm6au80C1qjud/0Dvx6OT3LDZyUgvo
bhpbJ4S2jmu4ascbNr31ZbJa/Y6eQfyAD/Al3O27aw0ezFa5q3gdLVaBJ4kwocXbLi6c8Y2ih8Yx
Di72tt8dRaJ1RF1FZ60XSV2tT2GbKhqHtB/i3ZSI8BbYfH1rB+l0XShN8xxNYtrhs1Steb5jyCUR
5A2mGolzfTzUehJDTyzLSyWldwKYQ3/LAZGHphKCjad7IAhxUSOfs1w59vVGLzrv16SgSxw3Tumm
fhmNUGsqZ9Xbclw3gx1e+OaLDudL0se1qs7OM1SAQHKd/oDGbAIxaJT2SadBkLQmWgh6kyi3vJZx
+EoU7fPQGsSyJllHukcPVLZoA7Tm+Dz1hvGrrrwvlpV4awWzwwPKy9FWDe3oLjTDHu9fSB4Xqhrv
fUkAe7RYCCEO/d/THzwisGynBjwVYC9ijW0yhiWeZ16IAO+dBf5ykho+D/iixSj4w5ZCVSPOZtIJ
9N3RgV/hm9qjm+YPuwaClbKy28i/yNri15/mBAb7YC5nUmREYWue/avwnWV+FFkOjxpbK/x1AMpn
U1lBso2a4hIjZ/6yb4bC5RNZUZMXxrI73EeF0jpA3ly1z9L7um+1eBX13TCAW4KUuYkFHmHYhlkp
Hs/dcInb/vY7YtBDLQQAE1/LMRYJgkN7Vc8iXhuxDPtNnVvRY0Vd6q8rTYwy4xNogxOqltX4opWh
hPtHT6lqqcBnk7OVU/crRqPhAlbgveXUmQ334UuHdTEfG7CdU7eMBGgT5nEk9A9qO4mtKCqaV8rQ
lr/1ESMIRYr783H7nTofk6R3Jek28KB6A5dpYiNNJXU+nhcYEfbogG6IpuFOqKP12ev9cmeZRbHy
bavediEBsKIJdeRMaxuIdqtIib0HWXj9w4UfNmfMyy3GU1rVZwSTACJyupubWvbg0jrKHmONTBVv
If3JBA/5TNHewNW38FFXirXkx+gLpVtVjQ2GcLLZg+sBSckSydZ2/OsyGHmDwUPi5Y2LPu7pbwo9
kx4FwsguuzK/TaLGQ+C7m35qRp5Da5xQei1T/xKS5G1axibkjUsDim6FWGKNKj0Yig7ClhtOKZaP
uswwWLR+aoNmX4hcC6IdEV2qgAtwtxHkZujwzR/lVQipPK12HAp9bqnayZUNYHdViMF/HNO0vQ4x
YcHIIej1r5A8020byRaKqI1GZVpGj/qUFj/s0gh+gmFR701lKPNVUhuhe35nvDn8829kYwALoqkA
HGHxG/vMDqQBu6VtEdn3A+fD1AWXSidv7tbFIIvd5/m+EuBPMpN4kuG+lZWCM5bnfcOoYmpWdRYG
6q4wg+F3y/w/j/pU787P8k1ImH8AzxLSO43zuay4Rg0qoPgLKJCaFGRhzSvYQzC2FXFdye7YGPJR
1tWF63FOl06O3Dwm+tFUiyirWGKxsn1pFAEm1RgemnR6Vxg1+IQ9s+L1Ve7wtFI+n5/josP773aj
cz5nLxjQysWAEtqBaimWh0VQCz+/hcYZ1Q7q7agZVb9xji6/Z7kDKgJy/2qE1n1jYuV6/ke8FHHe
zPrVj1h86rQCO5CMgQJlDFnuddJH4lpzRv8+yijzrtA+K44j22zlmaO46sZm2itl0u1tq+nv5WSX
7pCE3lNo5gqm09a0x/PeekwnXLkDmhLYrHa4ZXed2OVt0uyiCEWHPlNDJI7bFsPE3l5FMWqAq6L8
cH5q754UUoEZVKLzyF2EK7pgPpVRTkqWDcYVDkCPtO2T/flB3kSnedO8GmTxkhs4p4EvsRIKQbuu
Ai4Men6qvG2Ltng6P9R7+9Om4cg/M4ZvGQhHy+hQR4oUV9eTwNtkU4FXlF3a6s7DEeXTYITi9/kR
355Cjc2JWSGXCqk/FJaTeKgoDdafUem4NR5G+yDW6ifFT7RtNqXVLhlpY09F+WyUavTp/MBv4w8D
AzhA0n0GEL4Qz18HYpDvDQLQDr5SuvGrd7gNXXBAxlM+NCq6KmH2HGQi+azjCb8bcql/PD/+26/K
+GB5uXDQY9WWW2dSs9hOoshxgX2ln1JeRdhkgFLZcQAvgiveHYybDZlu3QYDsVjl2GuwFx8rx+0c
J9/GRYD5ZALl4l4Za+9CwvMmOacCwIv5/8aa99irhVXqcQQrxxfNPK8+anYy3li1lTxgFBLiJN9G
CR9XphfuLPrh78RWG2Vcjgq4UJo5p+P2Gp5nhQ1HMRCNffRBPGhrf8indhNZhaquFZUUKrcKeYdO
3IAHh2yGYq2GfYL3d4mhGxmYArEnlqUpd1lbhDiQCTX5xBcMPlFaus894bTYfGihsQnqoJKrANll
ZAEwPQNzlSvo0HlhbnwOoEwGmNLmqJo4eV3dl6onjFWmaP2DITv1rhVVPJM606pdx7x88xWu1EkM
xd7u0KgeYsDHbSpAoRRYXyFHUXUChzJz+I1j1IhNZFw7m9iqok94ZWTVKqNTSql8mIwnUYz5x2qw
1Nk+ayw/yhhZBK+zhgwHJSdz0JiS/HvmTbSFxsxKknUGevzH1Ax6gApHozQo3xdmCGkkN4YrS+26
ZtV41YhlbN4XAwXlsNk7aVJiDzXZ2KUHZtH61wpoC8311Kr87pg29stYBqgHEArtpwHEcbRpChEK
1yzsPHhQer1ep3YU28+xGKu425R9ie09ZQi769bSVvZq6aP67mZtBUyvIBxY+getHvF2oVw4WGnp
2mDpyn4t08L7EPqCin1oq/mzFvi2re1aq0lSWmx9la8yESCJYXhpn+AdHDtirXqzsq00Ww27+iSg
8K+UqvWtGYL4Ky4sRoRplYMgpkiMYYKRYqNy07dx36xSyJvsYw0TlbWGBtSvDtzaQ0FT91fQxxYG
uWaqJutE8f3ataEDTB9rO/X7rZmVXryvTQPXAVy0mgLTOporbqEpOJ9UrU3uV45196TVGTUHLWkt
RKNqyctPR2gFHruommljwfSarkjAMV6nM4yjSmGPuu46gfAVwGwaIJBmGpTfKDzNNsydRlnK8Kt7
KlToSdSx5dWrnvxD2UaJ17DVRWfe2nKajHXSqgivB7lEKaOgDZMnZg2TLFDGn5TercgdheU/olKW
4UUdeNZ9B3Stxp5gyEqeESjBwlJO489j5pNjdJWe3JGj2g/NWBZPNPaLfIVmCNpbrZ5p92NRRqCY
9aHC2F3IvrsuvbzGIsJSkAbSaMh3q1rNa6SBvNQMNo4c1C86h+2Dqpn4r0idqgiCHGZ1CCtVxcBF
5kblkmQN3+n1dd+EU/MX0VGDqaek8SQgtHXTk/R89Ylepv5VUlLCma2L83E1tlP1nCW1RJVY2J0B
ZtAzTVdvQ4Ru2mKcOOKRHf5qhDdeRR1lW/KLMLj3DH1oroSWoo+iFATwmvvVXuUyGCoXvyQcocnu
IjqUPmjt0lI1/9qujeFRqRTr69TF8l7WFpqAZhRAA0w8bHtSz9bjVcBT58ZQIuStksyyfvS4Qwv2
X9+pB0UxdSSiHQ29Shjinb1O6QkiRyUCA8EaVdQtupbC+FU28ZTcd4rww7UfREq/N9VRQ/SQh6FY
WRjOhIcAU48vpV5kXzTPFx9rJUC7Sy2rDuGlWjpf7WhWoxl1ryhdB3/4YZ2mvUfNM0RHaE1JzEdv
rJEkJtVsMhyJ/tkcYn1fywCTocFBFqaYrtoY37ZhBEOEh3cSfQ6kOjsKFnFFAJay+p52fvGM+/jw
v+yd124c2ZamX6XR91EIb4DpcxEmfSZd0t4ESJEK731c9WvM682TzBdU1TkipSpNzWCAHmBuCiWJ
zIgMs/da//qN5GCv0D5IbYreXdeMyVgWhk53CJgKMd/V9VsZf65mpZoxGXbTEGXjI8iTMrr9iBeS
N0WhfDVGfj+ueSl8zjpSxO5LVFcpCeMTBGs7I3DR2EfBJLRbX0Xgw/gWdAfboJH5tdX4bWHLk28I
TinA3iWlLk2iFSqnInXEdhR3C2iH0xDIq7DmvMSnUsWjZDOpRSbZRIZi+WRKdDF2rPdLoG+jQkYb
u7KQbD2SUSMQXk5clknW+RMR18GdqgXwfeYmxL6v7PFOdKZRFMA4YxzSthg5k0JWQs3VNklmDBjQ
6LHpoK1Iuo2U6sqdLPSdv8bqv862jdF3JbY1mDXYkG98/jsEgbHqRD+L9rI+CuswbMSvMt5QoqeO
YtIdUi0batuMKSsJJlEH/5YgmSa/NOYiSTapboB0Rq1KfJECL34EYYMpirBs1iciVXLlPlFLhrgD
/ZS4iSUSyW4VpKTZa5vEw+CWJomZWA415V7qELgHeqTfipU1P6hUBorHCqrOdqT40b2u1Ohi4wEN
wylp0QER+JTn8QuJ9WllSzKiZEgGVscl7FLwTkUiqCCZS9JWDCPE+1horAwwB3zDTZO4Ht1ZDqMn
aF7jac7iIbnm0SarIgxKiTONhC+1quKyphCx9SwCs2N5pZEKgaeuH7B2WK01K7uoSxers1xoJRZe
a1BXA9wUjWAui4l8Utdt4mmTPt1HWSvdCcTslU4QJawTAnXIsxlZwUGNkhr7lSRjaxfVVj0Hui88
VI3a0/crI5U3OZhK77Qgja0T10l4r+SGFDhF0uS3GQwYzFyKXvoqVH37Nijz9IjqeODFq9R4b/i1
QcmQT8aSg6PieBkKYrkn1XPMV7lfTME6NaJ0q2kN92wky/MSNCZ9ko1QPpFzKo/uRLJze6vUcXRs
81mpXauYq1PDT/k2491S90QCShaPWCzbCRzJNJx2euzQdDPu32RpYLMORF8/xKVYPnVF3RERImLY
4dHXIeM1i1Hbt7nVtNsomqt2TSK5YDpSmstQR7rRII+tD1k/rXnW6hUKGfVKDfPxxs/NqV4bZWSW
p37GKcjVh3KqKeM6y2Aaw3NtwxIvKnbSYSKjHYOq0J3QX/mOLvTTc9LmeUlpkwmN03NdjoJRjBZx
nSivEWynRe9U8bjzZcwGByV7U/pwJAexUoVjqoRxQtQ3qeCDjkY44hFitwGI6tdhWyT71Cwx68a2
IX4seB9bzIeFlPFiXXYzfl2q8GA2Ei8hoRvNcz1NI75OwACapwulSRoMIbmk3YlIJCUoaM/5aK5F
JW1RgnO+dpbJ8jouarF5yUYjEL0oS8mUU83MB/sf0Tq5pW6QWpJVDR7R7WzMOyUecAeOZ2HAo6ML
T/D6c3ImW0O9TqPEBqucsb3SVL51lsSUx2ols5UMcpkir+sJrLULfy4wVUyFYbL9scwrTykWTyzM
KbESE1CjesYQSJ3Nyk8+DC2O4RE0WbWOHkbVq5qN3VdTrKiI8kDPjhZEfPJe6x7edTrFuoh+yRSw
9IusWsGDba59CqLFcNv3QfuwSiUS3UH3SMYLlS/LmcXEmoBDfDhVV4aIWtnIAuXC++vG7MeenlYU
aGbxaEBe+nkYVSXzrI+h7LtqHBl7Vcz1gyQF6favj/KTvpcqQGHchZ8DU6+lm/muSxpA2MzFYttN
LYkouJCrQIgOLM9omPXle2UBFqrTxMZKvf0LROFHZrHGd/zu6J96pUSggEsLzXcnS45PTWo2htPn
bXXWleYgV5nk5ISN4moaGjdllmaviUE8jA7/d1dLWJ9qTfWrSeNPWlTVYgRA/yYh0PmM/BqjNdT9
iKUp/n2tM5Bpc81aRLmeT9Uvrr2yAE4fASnabvRA1HGIp1HTfrr4ZQfcaga+m3R+pzoEAydvidBB
JGEEp57ilEwqm1R5/aBxoWZPb4cbHMhRgDVKQ/8RSXX/REZseE6DLNlZYkcgo1rP2PA1rVY/yMaQ
Ky55XXGwFqtefY5mAGZsWH286BjHyyfCxBJMx4yoHrzAEOtr6E/yFbYU8nMT9MLsSHNaFKssb2oV
o51qvMjbuPnfeNQRnywyCPgBKnOtj9dBz9SaYKLEog8i6TFNksoTMNj4xQv10zvLCB10B8Ij2OfH
o1hRgso+AnxQY9INiY/Hg0CXr62J1uuvX6ofIQDu63dH+oSUFVkdwlsGeuDWjZvQ8IuNOY0zlEQD
Ai3ufA4OJ+H5rw/6I2a2IFjMrsGQkHG+G4h+9yZr3eCHZdpZLunZkjvJRkIgwCksD5Lv/0qx87NV
g4kcZjCMzRbN0MdLWUZaVOeLW0RcWyavRpHg3azod34tYQpNzLR2rHJ9yNxc/nUuxvI0fHprjKW8
RErH0qh/ZgtXcz/jNCX67iL4WEt6p25VaZZI5FO1o251sZNKfnyiTw9VZ0Q/eWo6Pdz99dX+yeq8
IK0yxhIScY/vK9t3V3vQfXoHGQRdkQfjrkqzzjEwgP42mPxbtkV/6kn0wbnoonzLb9r67a09Ppef
PY6W430pqEKiIGybf7z/c/BWuM/t84c/eHkbtdNV91ZP129k2rX/+G/fFOvLT/6v/uO/vb1/ynkq
3/7j378UHc5ofFoQFfkHMyIUJcZCBvpzC6OLpsVk699uwigp2uecmMx//u+2weDn9aef96+czMUc
AEcKuGuLrOEPgyPu1m8abRx6MwO2LLz/f+ZWqcpv5qJYhn4NfPc5J5NXCibBIhWF7YO48Y9rc/nt
2eSy/qm6H3XFh2cYK8vFs4DPYxQCqxUty8cXSJd9OD15NN8KlXSvTvKuDvOruJZwoQUsijUFwDJY
8Tl7gnwNXHWKN9LebnyzuOsU7SgtaXhxg1O5cIzm8Nqf+1XQlkwbBrKlo7ukmHWnIqN5pfvxhizO
kcjIJQOyCLAsn25Auq5Qgd2RyLPFkeXJLLQ9ub/niUqa1kigEpgVF6ol2cFF8dYnAdEUcZlSOFpn
JZZuMqHC9EjY9AFwcVHVEtiL/lUazIuuVQ6jbGyhS5wLQzgzNbjws0VOG22qLt10QGr1mD1mWPgy
8mHSpRSU9DLx21lSvNUkz9slUnS7HRDhqjmR0FpkVLZIsszQsyX3xfRU5FhghxCqBaw4UbRlpUtQ
3At46g2kN7oQSQO8wwlw6HHPDZTizhwAWNAwXSz+gGBZoZ3I7bXQYO8uNashM+6AaOBSWJXqYTC+
UlV/Y5V8VFM3ij2oA7ARXh7CLO+syf8qD+TYSFwVoachsSyu7YgFupfJXUVvIeLvq3HONbafSdJg
89sK/bqPsyvZWLRKVYZVaHXH7+LTbxqbSTf42ILe38SeSaOJsGHvncjhzEBycXs144o5t1m9xSmn
bjGWonfIEACqoUTTAGKa1tyJuanu4mC+HxTfm0ThgoZ9n8Y47OZzdS0M4hetKBfHaHXpXiWNmPj6
Wur0s2h1J0E7q8P0hiP9ZRREj7mUSLD08regqog1NVckXFJ/m9kbEGjgQoorFkPYltSKmAzktCQy
sYmtzRhP99ALD1M8PmldcFlExik1BHoORfjahc06LeabQKWDbaYGbQ30R7pVa6MKuc9gDDqd5pPf
GlfXZMhvpF6879PqLpG0rWYUd6nYXvlzd5zk/FoqTMK8i+zOn6cbGQMfVxDmmyjVCzsoFHeO2OAp
8H2wqNqiFwDq6GXtoTcxpZJ9fyNiyq6F6sGSsU/3kWO6wIBvicQdruW9ECZXveV7RAGwsocb0qR2
XVW/9WaySdCtI9Y6SjRACyZ7hbtSbpt97RmNjycKY8AY1//eqNZ6JR3CdkAt1/kXCo6yDu/YoxC3
a04PVHT6KkvNupfBmUmbRZXukK356Jc4MeAqZeIx3Q3pFSG25KcPTMFh45yrQf1ildKX1tK2ZZu9
n9qA3WcuCl+TUN0hAdyWAhdHHaSDaoUvWFOdEYnvp545L4SsXSomG0spr5tkvBErYaPF2WYyeSoE
NXwJhfJalMenYjC/9rgKDxXhz7K8j6f5KS70baJNT5CB3sZS3g8YEPyiePpElf19bdQ0YBakjciR
P62NSFZg4wzjfJsvKZd+VT7EEqm7Zh67WRl8GUaMow19Nfv5IWibhzjrXUIGVt9tNb8v2d/bvX1q
Tb6dhYbLDURS+Bi4zHxcoTOLQUBV1yJnkcG4DnzBLhNtU/UCYQ/pwUqLm7jMnjLS6MvJ3xU1CbJB
RCB39q1s/b9QA/xppfBfcP9H5A0rgF35z/f/43P6PD2TjV1H6f/4z//eJMuf1vX0/PpMLbB5fimy
5z8Cs5vva4F/fva/agE2dVpcjbuJJJc261+Z2fhPQHPHGmEhQtAy/JGZvQRjMxfFoEslxvrdBvF3
s0PKBApLPhHdtQUpzVT/Ti2w9AL/qmZppGBvqybVkC7jj4ME8eNzNllJncoQSm91H5+aStxnqs60
RXcLsXP55VWSQRIvpl9Q3qQfHvDlwJaFJxiCKRrQz3mBmIbJVdsq7W0ZTgt9EJd79Tay8HRK2YNE
KfOEoansae6PBCX2pEVDbi4aoFkGgg61wXoAyWnUZqeO+koOs6d4nrwQX/Fc7q/jWvTSuAODK7dD
VV4OxYuUaesJRzU90K6yNDkX5UtIvIxeZQe1mL0m08/x1B8tBH+2RXpIgqcjkjyXIdJaifVHo80Y
DKrWWYRuaCsVzjP+EL+EarkWm/RkMRiZ1OhZCbRu29fmOciw0q/LR+jEt6qKCXXVumkUvYZsNEkY
XOn1eN3rHWkcfWmBcZqnITXOEdXs8pEUp9ueeYndCMM2qc2Lweox8pP9cIWXArb1qjsCtAqg/4tl
6thhOIbHTQsR3sP2/4A7y5ep7OttPuQbXLpew7CLVwQIq2tjKB8s3/dKZX5iDqHZTSiEK1jyK3nu
PWhytyIK21HNq4XWKzitSpJ2hQF7XgNv+UR941hrL07pRtrswELdXM0OkknOOtEUKlKCVO/c7169
n6yH77Yvn55TKDrQdzQqD/0Hll7VVFk3SkJ9K5qNKwKehlqzsqqJlDTtavK72FbQbspxdO71AB+C
1FOZoyapcYrYeAn5vWHAsKqmkf04ah4Y3twBSLptUa4xR9wQAgFK6Huh1LtapG6IxL6a23Id+dZ2
wo/XzgrSBvWK4fd4lzVUfyG3PdYPhFo9SH6HVy4UPWDBikG4MGCGudydmacYZ3W37i0yBaXuGl3b
YlqmMJ+EJZ2GvZOmuAiHJEaG6ZNB5kCSaoeqYcPuhexp6AnF7sDIJXKbu6l8TLV6x6jsBJS26ZTg
ytKzy0w2DnE6XgTKeFFW1Q0+CG6aCvsqUW/DCFcXS77t62DFGMmZ/Iw5BlqPUD0lcr3CJeTYB19Q
prl6ll0GJeca5k5qMYOXeEKkdqWk2dbMux0P6CGc/V/0sfha/LgAyTTyLH64gKA7X/79u062Z2CQ
5YPe3NaidUY+eI5FIptTczV19UON5J/sa9KxR80r2/jYMkYs6+La79eFmju+Nl7EU7WuqxjWoOWJ
RYDRHhOrUj6WTG+HvLxksnBWpw71jXEoZzKTFN0VU5IxmK7u66raamjCVJLpszHfThTurQHVt2zv
fVbCxs+cUFHXOe9bbEz7KOmdUi/WflrvyIJ1mRC8+GF6GJiV22IYYzE/3NVm7JadwhmRIxVlns4Q
MmnbFSU2czgWKyr9SZRXPS4GVZstcbZc+vKSVJfNpHXH0gIkK3Xe4cQzWIWKNseoqzkGSn+RKQQk
kAOSGSOexTPNQrOKpeGYWfI6h9DitJhuVAxXeCXwiLZOYXWn6v2FP5SbInlFAmTPGn3DaNii+aWW
+QoyKfN1veuakkllgTNlwUiTQqtUWPl94Re8mHetxOc3WYL3CQt5cXv5bFdG7ZTpWlQ2t1zrY9ey
pATaOpgYyav5psJh3Rq0jekHVwSkE9JleVgMrnF8cKEnk22UeoQnPRI871lqVNphWmzKmXJMqVdM
rza+rjrNkJzMrENG3d03JsmhinJb+dGX5S2ReW9pGle13jv+ZG31wjzV1q+4fh/BsPddFYiITR1D
Yhnh1wLffPdQq6lcGXoyt7dhbFSOwjEHmUF0PSQkrMS/WBvfaUufryiMWtT6IFKa8Y7zfne0Hr8Y
oRzYStWi3WlZsTJsRMj040awbyvt1jcGam8Nn6nCGXEkA6ftbakHljP8X6Gc7/4i358M0MLyhUHl
wAOBNz6Bj4pGao0y9MPtQCM0x9UW7qWdLpsqkBzRZjpAGVVGqq5rQ930ZbkZkLeWmrbKeJ8YwLp6
oZ/iVjm1cDpYr3dhZxyKsHpgUAdVMthDlHPlPt8WVndEs3aJfOky0up7dQ72PWycPJJvM6G/1lu+
Zj5191kXnxRhvKtTSK2Vvgri4DXLqnUPDdScuiOOuK6SRMhEzDMz4Ysm5iCUQJmZ3yRT3dtVwIRt
MqrGMf3pDiOB0a788jHIlCuVH7CFlHVeFs4NUPmohPsyzX7lkrQ8MR8v66KFVBat94IOfUYdS8lX
oxDvwltdUDY1u7iS+v+/0n/9j3/HkM/isn1Xbixo4u8o4ek5AyU8R1lRC4e3pn37UMf/8Zu/1/Gy
8dtinMRYBh25iQvfP+t4Wf0NNFrDwuod61uWtN/reMEkcZ5lDs2ajIUNxuJU/3+4lltLTj2sKFzg
kGstHkF/p5JHPPnhGYE4isYRO1bYlKwEJlbLn1YdWeXFVspy3wEG3Zu52oV2pOfj1xTJVEr5RhCP
KKr5BLd/slZTUBOrKpQEEC6UgajUG7vEidvzcZ3ZzkUd3ouY9bJhdI21ygtTfBgB+V8HtW3OViL7
X3thSgi/08PYk8o8zaFIpT1bUBaGl21c+9iL0cWCQ8k1b2s+H/MOc3U7s5rwsjBgMKu5oX/RYz87
dUIHJUVVE4+2PF3JXe0MbdjZqarWV5oC10Ycoy/10HWjrXWhcM4tpXjWBs7CL8KSny4toXAqpciI
3dYD/oYkHcyBiAObL4Zp1l8jev6393NpYL358CW00PQI7SydNBTnK1RbJZKOPoIeWQlnfDTFLYVb
wqeaHY5cftAR1FhneEVrgHFHozWKw2wYY8837MNXsZP4ckVf8EVIAn5QSp1RMxsM7lmCWMCsa6p5
gcKOcY/s1sEsYlrFY+UIsyEHdk5y6PWM4+IhaNrsjG1b+Rhphf+I/mIsHLMTptGZ9TnXLmEgzUcT
asrOiiWCftRAjSFE5Z0XBIHolgE30Zwiy9bLYtzhX4BHRJ/n1b0kF4jgGtk/t1AHW3cgwmUDDwig
UerpD3yxSq61fkjwNc969Q6Vbng5JHKKBKZWmD1TMDb3ZWZqTxAbjE1TcqfDsW/OkuQL972fEFM7
N9Y26YPc8y1T2YpW5u+MZpQdGaSvxEH+SdMH9TXCaV0GjVKai1EnKlNWrUcoOuNpHMKZ4k8dLowc
AoTWzQKJoGZ2qYpF+GomE+E24iA/IvdNLsex8x8hJCqdrU+t7AS0JC4d9bQP/Pd8w35FIHN4GqPY
PGLpUzygZxUfqjCc4Epm+qWIpMOuTX5ETdTkrp8BKDtfFDzTWFAzIFSvGCSBOiuTnVwwzbUKg3hb
xXPvTIKeeNZY97dsTRdRXMLBoobzomJUnsPeJNk79NvQ7htl3jSIEHe5pYfkmSVi60h+Vj7qFviy
SMT2USul4DJLuuBpJsV0PeAk5cgt7yZhYkS5znVypOBPjkpaR1epRCE+RYWCd1kbrdWQNLdWUyja
9U7bB1EL+y4joTy1QoxV4lx0h5TP6wcjv9FxSVtNckdCbWfUl6GsCV4WpSJNXP2AT3bkYKQ6HRV5
yr5ClB1PejuFR59i59XXo2mtJyMWeXEsbqIkSo4png2BPSnqXTpFBoRQQU9XQwpxxwnSuqdAC+oO
lahYF2SeNqSVSbymGO4QR50MHR4JRjCaxBy3xiWoW1y6ETfi1apkHmG55NEhnMvNR0lkOlt0TpVN
R5QxoucPQ+DWAKBNTuTpNaMnL25y3JFAVrPGiQlNDkIX7usaOyO7S1O3L/lY28j3pv5qSBdJsNbC
1on6bhPpJONG+3h+FkDHJVrJykZoFKOkyM4N1JPCv9UW0z/K6oT2bAMx1Y7nCMozfdplXkNVua2U
3BuzrVxcxOPLlIabeCAVbt+Xs91ZGIMPV728t6JTSw3IslQS+37I48gjnO8ZBAPlMmOPekUk4qaN
LrqSgNtVMPVwb7r+VJTQtBIv8p1Yi7ZJtgpThpt7w2iug5fS2Ejdpi2ulcHNiwHnoO3E7EK8THLN
xkMhyla+9cWUNzGLc5eaNnGGKgHbEd8ML4xCevaraFUbE/MHYwX4bIb3fk3M2JOkjGu/RFvabwOJ
ztknPxxbP9dPujUmpa9j3JxbQrPY/lZZP8JV03Z9peyTVH/WcwnC7nWkfR3Hwo4o4GUpapzq2kx2
alh0T7VhqQRQC61MkqgsoAAYxE1pEguh6H7p1VPlpFrvlpayg2V/EPoscuSidnK1VBwlEc4hXNc+
gFE+MoCprBxCmepa4BBgHraf12cl0rym0q80uRIcqW2+yIYAoqSe5mi6H9r2mNb6XYY1GT89Plha
f+jS2W3Y8uR4gFgdqUcjLUdbh5ttR7LydR6GBzGXvyghjCDtOtfNx0SzCkdQziUZjEpk3lUR1Dno
vNWRFcShLazgbncXiAFsPT8uV9EYoGW1xOMRMikP1b6aQ1LFG5qyDIb5QmfNe1RYF70QO0vKpuln
m4YBcwUCrQmswexa4WAwhtlKRNCOm7R6K2th3ecvvtKtxlA5BIK2K4cUg2RIRqPEjr7TpC0Pydyt
kz47RdJLGUVu2vpffCE5lDmJd23xGmqTN6W6Nw8vEeOcMToacr4Zs5s5WM35XlVf5k7ydO16itbF
BD3TfJy0aC0No9NJPAZ4kgOKjfV00OYh3w2RzDcz5Kn25izCos8H9NAqvImgy3PNY4Whr4rnrZVd
1V3LdGc6tUyhIjk+xrP1AlfLqbrHTIwqp5uEzQAX3InRFXpBbtykcMpM/yXOdl1+mRCt0eTOZL4o
xlmsXRnU0lQOxbDq4y91XR6i7KJXznl8NEPcUx+y5ij6gTdpgY3N6EXV7Uz/wFO4sYxt9hIjz6px
i6HvzL+GhkRWRenWw06vr7slBxSPIyXe0gUtYolXXHNXpIzbRrCV4rtMewhEmxC93CRZ0spgI95E
yqEVJBSOK8T9TUCvgEE3XGytEJ+sWJweM91HDFHYWn4ofWZarafN91Fty4XbYt4aTpe1tZ5Nz9At
lznh2gg02KoXAcz2bgkIpddFSJFLD4LvjW+C/7UrtrP/tWrv9XIriy8VLhvVOVLvhsYlzDLsa2z6
yScFb2rcomV086DcTtJlYsLxbrY0Q6yYZ7N0x2wnNhtGdWTCZ+L1lJ5bcXhCt1ly2yA+sLnp7XqY
36xkL6huVrhz46Xamx/v6g6C8yht5PiauBTYcagN2r0sVAesamy9okwLH2UcC5bZRsZ5x16vuexu
KqG2mtg5CjDMuEQSPirDxjA8is2t3pzacdezVM3gJ/NODxsy7fZwuLxWHuwyPRXZEbkWW/pB7L4O
3R1hNYRJr7NiV/ePWQVHeLN4Gc0MEYshsAdojng+OEK6wXoNqmJK8LexFoRTsvB80SKY1U7U38Ix
dyHxrU1OtpgatrWzVl/iRe6YMP0GampVCWBT5yfEEV5aQ2Ab3bYHdqpI9S4Hz+jPc5HbYulJaXg1
M9syyNkmu6fbZGXFXrUHdinjbSfFq3yBbVY8ZjlZxk1ykVKPDbNsD0N+L4LwMc9uI0awlIUhnFiN
VN3eI+keq0TELDyhCV6F3UWaJbYvXOnJUz5f0a57TbQKVclWh69peVupG4IU7DTYiJgyh89V/DQn
ETbs39rKP2UbSO9ZIv/qXd/7EnowbLYhFEK0+oz4MO0uA0Uq0v2I1wrxtwQmuEhD5dSNrIpnC+7G
VIJtt/lFrU6ZyJ4l9k8VXClHE0f9oOeULD2ur5sil/qHUrbMtTG13YMWRyTyCG3PJpXKEK+rUzmI
pVNDrLrhk4OI1V4wmUNLxUXbRfWmzRt8tgcRkVvH9W/qeFrXPfZzhZX2ezj4k4uo68lsb+pC3pUZ
7yASFUcKUaYM7aq19JMhZa/YotyYkc9azJI9IfoI43U6erXS3BZc+2IxnOqMstxBCVhy70Un6P2N
T2Fij02/UbJpZYkBNjz4KMlfjWZu15meB72NzG6ANCUUK3HeGhY1zPKWH4WsO+r4X05Pk3grl69y
goOsZB7b7DqYsv1Uq42dytzJBPBTK7Htp0chYkiGmkcYQF9epGl+hKPvKTlikmwdNJDAUFdNVo7V
JnsIYUThqs9vW+6E0Qaz104siWDgzescnRRVuJzU5yxst7xqV2lETbshtgaFxL2EGWKTJevlYep6
fd0n+aYUeZCqdj+bBjIexU7RnPQhO2B8LqrE7mf/KUTtqpAcX33V5zuJIG+juPUhDxsUoOR8/b2p
LhZDED5ovxG1Y2Ql/jDnmkW0t7VW9fvYGO6tnrAlrUxBxLon6s35iPdhtZ7zMfKGJiipnUDEqTXE
VYCc4Rte97cmqv8nYXDfs6n+sX4rFhCj+X+Ac8UcEwuXxfjhz4eu+2fewij5Hob51699w2EM8zcI
lNzMd+6bCN7xBw7Dv6iwmWAf4oZCssjiK/U7DqPIv8nw5BBFAsRg2CsD3vwOwyjSb7gyM0llsPTu
8mH+HRQG7OYDCiMgZcXHb8FhP6IvvsGTVTSTvw7S4Yg3Ego4RAxO2KcvSZ+uiRheY9lmVz1s7sjY
RhJdiZ7tiuSmQpVEDPzVgAoHFZZee77oPwcymb8GJD8XIgIsWU3CNjttbHnI5D20ZcTdmewhlX1I
dJn4s6u2R80ZmgdDqtcJAMasdrcSxrKIqS7nlmwryYxxhk8uBiFnUjqEjqlObH7Xsha+jmSW2/BD
+bvmNonzL1WmbAN0Ve4YxsWBy3rSpeYAqgPSYNZL+DURbTXbVKAY+7jDemaGEefGgQ6Ki1QLZbvp
hGnqWdh72k3QvAl1eW2lw9pvEVOXSeUUZbQfhva+D+YLf9I3VfiKrYwj5CLOdqJxM0ORb+MHP/za
sWTNufkwhGAGxhjdR9IFUrnSU7v+WfNJExaLW+y8XrWYWpRJ05Ukzt7U5ovuND4nmSkfay0RdzBe
LsC9yGJH6eBYeana5tQ+SRFasqgtJG+Sh7us1E4zIPYO/4rywUCn4ODu36/brK6f+jhyenmcmOjU
teEZUdGUpLpTqvoBekl7NGUv9utwjaM8e600N+blPEjVqdMrflBqzlkyMLSO1VUEx2Pfkb38NvlR
CWYtR7d6Mccb0pwOKdNgt+in3utr/xu75G+tQH/K1viwvPx8nfovSOh4d+3983VlSwv+YVFZAPRv
64kOnwJUHcI9+N9iYcCq8Y2foQLrwtZeTCMY5hBKwqLxx3pisQiBt1qytuQyMsP/53oia78xxmVE
jWPat1/7O+vJR0zXwA6IFQ3LHuighGz9ED2cz0wd40qWPbAh0JC+kaN9GKOi2Yxmr1hPWlHQ/ss5
qNavIiBZR78fObwfGh4FwLYIN4Xy7eOClldzRFwhZtdqF8WukMfTeVD7xul6EdOO71b5n8z3P39N
nVASdgdIfzp2VrrGlf5+YNZnjaQxBp/ccMgoJxrlNRrqcTWngX4vVW15CoN4+IUZ0k+PKXEsMHOm
dQsb6PtjakICMJEZk8syiARUGas3oQ2DewEp1gmR7rVem+ovjvlxc4CDzveUcdFU2byUZUj26Zhd
a4gNSRauWgY0Jn4bKxfJhPGaLSBFuYHaWFz99ZX92RHxqGcGQdAf49ZPd3GYmrlOw2JytaFK9opY
xXsdFctKrJThjh2qW//t46GheN9MeVx/sHZu0rgxZ6ma3FqBh9EnjgnCeqr1INriZ/yruIyf3EMY
cpRzMoxmTfvsWV83VhNFo0zVTv6cU4zkcwvpMcqQ2xFYulHM8Oavv96nOdxyA8kLeZ/zLCKYz5oZ
9oIAK4dkciNZv2362Npp85T94hr+7CC6iP0TVSskKevTPZOFkfSXhl5k9qU8cJuhAM+bC9Pc/vWX
+fHqkWDAAseFQzFCWfzxaaySshIRF0xuMNS0IChm++hC0Qs5WHUCQy0PLkWY7ue4yUbtWxX8p23h
52OzrOL8Cb2S1RMXi/em8buhtZzFGQlT9ez2S+Ankuf2Vgp7cUUwK91wlM+7OedC/2Kd+Xxll6NC
qmRtxlmL2/dJhDMns2+EQTi70Zj7mavqvg4UYkrBvPrrS/vDgVjJWLvxuJKYCZLX8z/JO7PdupEt
234RD9g3ryR3o63GsiRbll4IuWNPBttg8Otr0Jmn0t72seC6qIfCBQoo4BhpmtxkRKy15hzzx0c7
am7fZp6zxqPHOUlm6OvNWu9ekdH96ioQEbekGMpfNI0/XsVjVFAR7aozqjbUM/j2Af1ySiBt9Pu7
+enH2gwJpIAZlNbsSeef2dy5RORhhIydyS0/c/zlgOYY9RsYD9Nlw04SFX46vgYBPsM24ZTC2AKB
B80k2zJosm2H+u4d8Sf6zUNRzrFrHhimhYy1mCQdXNM6Doi2ZBHsEjHhEX3tNfnpfsmR4feDVUdK
9faN/Hhhe1KDhrROwSmw0ivGYcxXfOAIwm9me5fabY6mTBnjK9qY8x2X7gjDYhoonCrQp57bMrwm
mCUBBaiOSRJxUbBZazKFRaK6JaqaVstf4XD99PpwPSoV04ZVydd/vhsxFZd6l5DemfYAOFCut8ck
KItXPoWf7sqBZAc6GvUCBG7Ksx8fpmwyf5lSrIHKYTywVOX0vobVcCt7J7n7/Xv6q0tBezVZWHCi
8YX/eCmtt1uU2zQTrCwYdmsfLCntckkXJx/ZKf50MeHGOBVCwtzOaMa5b3CylxpAekBL19PLC8CA
TEigXbzCAvzVPbkmj41lEvbpeaCPyIvM0WikxF4ivE+Ab9pPNpOureGjafGfPz++HhKaN9iWdW7H
ZSi8IJsDtDrrSbXr5JBfI03O0Rwu6pV3/ad3b3t4KOw3Cty3uIkff6rUK9fCXXl4Zkpv2S/ph69e
PfzpArldhe/J4Ni1WavOzpUm2A45gdeJa3K8HuZGFKc6LV5LLTk/Y30zAn53FYqB79cpt7a6YRMT
xLVrapdpwcNS1pQRNppacall1bvf/0zn4ulN58VtYRM2txoDR/mPF+w1O2GyxMPr8eS+E6LI7yWm
k8syV+XeKNAi8qfm3i8H/YQ4DN3cPGFJMScZFyXD9nQuXxFy/rRibv8ijmBoOLdX55wTTyK856kt
6M8b5nqvGUZ/VROeth/4/KNenz7rsjff//4x/GgDZXvYrgnTfCu2fOii25fz3fYw1c3aLqRAxYsF
w0WXznoIALkfKm/S3uO6ukMDIK/HavGOv7/wLz9JBzkWoh4smO7ZMpP1ifJIPfNiq5utoyGqlTY+
s9Uq171XCoatIPind/7ve/znUmcFAzDYCis89zhlcrnKMuMOEg9MnMYRoWHVR3/Q1/su18w99IT2
lR/1l9+os4WacJMYDs4u3gaDtUiNH7UvZH6QmPIOagia/8mi889VfiINpOSVyBnG72rNyyWipSJs
Al/QoLVfIxf/8oa2JZsVgbjBcxp8tUqt49DED2cG8wGYUPvsoUh6pUb45XvJi8mW+s2FfXb206Y8
ddKCx7bQFjqB/fFOM4DbxwUE00tLfOuJUt45gDA1X3mUv76yD0MYGvb2gv74RWR+o9MU5MqVLOEp
ZB0tRFfPtb0ztdlp6cBCuQTl7iXgl0+//yZ+9Wg57XI+5JOgm3pWs6y5LjSpzVzaymndNXZ7yhE6
v7Ly/erL+/4qZ49WeYOE6UTujSaYkyVaa0edMfR7TIrTzf/bDZ1tHSOzWwT5fHmNNw8XRVck+2FE
sPL7q/xq6wAyu6mEyRoD2ffjL+Y1OkkEJjekuobZrmkjrmEoFhvenBfh6iPZ+/0Ff/kEv7vg2dah
W73ujMRdohWqqk+NwxSuTPDswta2ot9f6levBJ2rLVKTyR86yB/vrfNTe1oCtsW5761PXj+ri14u
4ytb/K9uaGMA0IhjlwdWcnaVwc661OGbLu2A3i9hXpemCOp9y6+3+/0N/fJS5hYHR02OyvLslegz
Pc1EC3C9a3wR5rXWfvawZxwnmC5vf3+pXz47ujYGlepmKDt7Lyq7WHvqAS8e0aRGuujErtacv0dR
/7EI//VV8IDDo2CSoZ/dkB+UaJp60h0Q3Dhg431xpVo5vdJmeO0qZ6uSKgdKGI1fSPXwv1fAHrsc
neb/6Cq44ugkMuo5D6HqEl/Pl5m1r+1WD3fvYsJXQ1/1578LYP8NFcJBmXr4x7etBNtjrzX3QpFs
h4GZ1qzt1muNmV+8aPRb2XUZmZA6dR6QMpjONBVSGHEAGlWEPd6hZZcoSFBOkqTBK9/pz1fjq+DQ
zyvwrWFx9q6tjg24LXGMuBPAr6Ks91Gb1bVrVVeE/wzNK0ean18HXHL064l+MhymdGevg2HmvtL1
zIy1vjb2HKW2ADP/z0A628GJeG008xZJlpRn57Xt4E+YyOg4Im/pgKN1nrD60OlTDPkd87Tyj98L
Bo8WLQr6aJhbgrNnCEGaI0VpGnGb685nelv4tgmEkq91Yr79u388ELqbWwp7JM5JWlhnZ0+BcV4J
CBPxOqtSfkyazu28neFpurooAwViMgSraJWPtvJs76DPluyjuQYWFxKNQS1BLcCf3NHvNvN9i9Oq
2wdGqQebPCsoIv7MaBAM6sDQdskwr+hMCNq0Dr//jn5+59zNHbOBpdj4fqqd076AutFb1AtoBrw9
8945jVBZI0QEvdPe/f5q29P//qH5DGUR7NN/oNzk8z3b9PjFVuoeQE8NL00dylorn6Yua6vY0Fa7
2vVwacUrO/v5HXLNwAQuZaM54KLnzatpgElSNXYQB8Ma+JcYdCyDLpKlFXE5NfVrE5Tzrwp9A4Zm
mDP4CainzytdJ8iXLigldPMe4g+qFdd+6t3ZfGWV/flJEvDHcYWXL6Aj9809/13NpfkQMdoxS2Kt
8ogFdyvhfVF1YYapk4hn0jmNP3S+IO3E47z9H3s8PYngbMWlCSxpEwMia0fZHyGLFhdCDv4rv9Y2
UDt/Seh3wH8ibYFJII/x7EJDLweghlm7k2bVlC+V7modUkUOL3c53H25Tzt9AWaB2/RDVlQyziYT
bRbZ6W8A1C1bYsFqQeVFU6PFaZuN911RJi9rvdFSem2sQ1bD9sNappcQfR8gb9tH+DGJH9pFYqHw
In73xqg5mbtuLW856FZeONJ5eZ9BCNyJfC3u0aoOd5oZdOQvGVmfXhb6iuFDOmVPmNYCPlVh/hii
0jDUTeP1eEdHN68fnHGSB5iS9oVesfztcq9wmLsHwMWTTt0Q7/NFmFouoFmuetgnmfG53iTU0hiK
Z0MFw6UAXn0r8UwyqsIa8mBNyIo9q5nihH8JejuSam1HfSxxmKEetNV4v0ApgBYyq8aMl6JB+jp3
mreErYQpR96vn+LFK6Wb7vS1Rm8q1tnRQiCCcgNsrkcITv4l6JKaFHLLq6JM2/QTzrje1ENb7DwH
k4g2D8IMVd/pFvRNHeH6PLV7hZEEJkyZ1Gto2bVe7GzoboiQk+FaYdsqoqBs9CcPGfr7wqYjUpqm
E5XOgHJTFMG017LM+mKbM6ldi4b2P8ymXIYQ+tt4Ts3xWGScd9+PwtNQcRnO9qQawKI3WSHRVThS
W3HupnQi94lbFzBP8szxHi2rkshgg05/L1vbQ84g8WK2mhHUsYBq/1IVDSYzGJfp12o0mkvo2un0
oBlVOwZhj4SlZcjVMl1Ehu0PLoDVbBLyS716mXE7pPyHsdWb7htPGUFy4q/dsu1WjA3QalxT7Bld
MRkr5FgZ1501mTNy314ck7Sy+11XjSILgRsqzB+J4V6mOqqHk9Fm6Mc6Fh3n4NVOrn+epzoXiBQ7
77G0Mu3Um+SC7SY/rR/NpbgziGqOVTsNH0wwYPXmYPcmDNSFsHbpyHILq6YNPq3GWMI+JvttnqrM
iEwDe4PUzGQJvaK3I1uvgEX1eOpwIOnClbDxhy7FRpin6RKRENgu0ZgrlSIxdaUzpCBmO6ed97ln
fHNZ2Epc2GLN6n2TB9VN2gJ5Dct2Qfsmu0HcjBhhlgifItpk8Mx5FReuOZZRy76rrguRl1Z911LG
0GtZ0qRc3ll40PmOpGhxGFSYxCAAdyq7Y4PEPWOacnV2XlCI4g6wJPTiLRLLT/M4tau5fROQc1vf
AA3R8inicZhjtDgp5uB19IUTkgCEm2pq+uF9J0kbIOg70NJnXMCNdfTSpvT2bpFq2qn1x+GN5qpA
i5GXyCEI7VTpGdPODTyb6znjkhlR4Qy11Gv9UPNGOM6TmahkD1+/8HaAyRXsMNZ4PrWyC8Ar+BiS
bb7VCVNQU7T7Rvni1p/5kvbZUq23abD6TZy4WwqasyhKLatL3c91AqAo0hBYZXHDMmbsEQkuTH27
jYwswCI1O5jDUsS+rpkI14dyfa+hT8cPZQXKQkADhz6U1ZK9yUXRrKHfN+LFLnXzjbMkMgdi12kq
bo3BdsOewK2rzFgBqPtSlhfAj93lUmBb+ZD27H5xT4iaH6/Qf3LOMykQz6IpZBB7fbJ+hBGsW5Fo
/PlpXs3SO9gF1n2WsyF9cYdMbvrlVGfSmiFxwACCZwggAOxZt4eKDvJBSm3HdF/L9xheloN0PC0D
nQ88NhyX1sUctuoduFKrU5fEd8xN1EPvnkBvW6DdhT5YuF9TqybluBl97K65uxTehScN6YKOs+jR
8g7Uxgls8OAju56HKg7wPssddNdFxra9mI9Z2gX5YbRykIzItgo3xNikvupIJLKLGWXVAp85da+C
Mme3mh2BnMryF+PW7ITKI6OHrcwCm3lfSdMKbjg1WfYxyyfnyXXHVT9ZY78y6lqKoDjaYpjbaGob
lpC2sI0vQubzurNrB7CFx9kTMTz6V/wTEGn3i2eMj2swIvP387UUx5Fd420pcpKsYWxgMuxJtZOh
k3g4Z0ZKtquEkc1nrWw9N6wNKe2w6EYEoyl+bXEwWmUN0Ng3k2CQjYTEsAUbO2h73IGwFDL2Fb0B
aMjRrooDsnbrbdYWhbPPOq3WcVi0y2cADCw/vquGLJ4qrx/3tt3g1IfNLr1I1LDjiR3IiQHQTZzj
Iap+jqIDL8Kzxd9ooipIKkTi3mKNu6wftCe9t61nWeU0gOe6tj4Udo2MPR+HsjwYjJWx0XuQ9I1u
2V6mWnpgpxEtXxlOkaJ5Fn3ypdPsBceAI1t8HL3tgOhyYeftS3ocJgi0fHrjQ7PGrtRqtDFo2kG9
tJVd+VFCU9aPGmLXIImhiX835iv2rb62ypINWXYwHm25fFwT1ukbF/T0uwRh97QPykw+2x5wkHKs
dEw3ueD9GJu0/qJNLIuRGMcseNu6ci0iP9fwdRlqwGE11aNsI2tYMnjuesbWNmsdP2BQB9LC8lZ6
2mYHqWfUxUXXHFS75u2e1CQPY3epuEVppAIC+FLpKPOZnH9y/MWyLjuPRDVAzZsMr7H8NThluoKa
WMrKbyO+rjyPqkWbfAK4WGIjYu4QEfdeauEAL432JsNxaIYlzYWA00OeBhQScMKOvYKBRnADBFcI
1f30AVx+7lzMokTQqAbpmC/JpApjt9rmUN60zcqYPmyBeqhd3syygYldWd3btXPWckJk2WbFR8/M
8/bzuGhuQufRg4N9YA8krOQdZhmrWZ+bXJeJHs+woxn3D3LFnbqfsfokOHCg+5Nu1mtGT7cFR6WD
RwhfZnN0UsMuioNRkSD7tXU1ogY25sycf86rzCw/eEZjks2xTDXrpMeZxMMtsUiUhl7fNntRu0rt
q4ZgztgZy2EK8TWO4k1iVsXJQhXjbit8sSHG7OoLy/WY7ryuF5gFsmx18E7RhQrnoGvNsM9l9gX3
ewJpx1y6ex1DrrW3nZV0BAYN1T5jvolTaOJ/gZPmmdeg0k321JkfNbRY99KoEZyDrtFiFjiM67R/
svm7sVMiaj9Y3TjLAzansY39njNpCN2k9HdJvci3pJzZ7uUiS+3DbLBJ7u3UM9q4WptV7mRd9kaw
7wpnwZqjp+N9a9XFhIq1LlRUa/4076u1SE962hnNxdQKAF59j+Y8ZssQ/mPVanDXROvlLzMqQMiy
5cjmtyIFD/YlP4QVSeIC8BGvyr9fqrHpoMoVoLqzaSmTfbpkUxZZZuJPoZU3RoE7cQ7u0k51N6Zw
C+cSkDXq8jYDDsDIMXtSpWU9FWQ7ZQ+FaJCX29lavMnQ/3MHXT6eeiUlSdSYZGH+BVXBiZEuzZNX
LWYdmbQr0n1vGG3B8/btZq/bvX/bqKH6apQ1UQD1MEx6OHsrlERhmdIELOstd5Unmo+siuZD3Rhq
jBwz6dPDam1Qf/QWJDmkqyujphmR1aKvsA91aU6flTa0OhUMWOs4EUocVTGKZIcCrvoatGz78A96
zBt9Oc63i01oT+i0RvKlMN2R0kW4nNw7tZZfFp/dbAevob/S51U10aSZbMzgbgdKuMToT02TcSrE
FOsJ0ndXDtsl7aLYMgoLXGFgCXtXUvHIUF9VwknSE4UMEwt3LUcD1W6svE8GlueoSNVXz2rL02jr
9ptVyPXtZE63da+XcaVP4tpndMbRBq5DWrLptMNtxnf+IOSSf01yx5wuMnciO9ebuj1JIH3PWuQb
IKJGYtagxw97Zinkg5Qb4dDq1vrjVM3dI3lX9wv1TxbKkUNR6Ey574XdYliHee6auNCHNdb7vMNp
6eJ+o73l6jHHcEqYOXdjIyuSu1r6umJPBdCHp+hiLfwslmoxHmw9Xa7wgWNjGZWPX83r9tj1g/cB
c8fLQG/hInoNUZeTLrUHkTfaU22Xzb0Uk4Z1rrcfelPOb2e/NoswCfLnJqtp/jgw0LtwKShat5+L
SJXVX08Zx3ogR5CtUt6eR8go8p7gpTVKYEHd2E5NLE6HObCFyo7KuX5YlwazqaiRqIzrlTmDUZH9
ZlzMVrVGs45FlxPPFM1+YT/mHcxuo62LDyu7x06DsQwUsGsiJ1n8a1ejQ8I7aRLFriXcVluq+8Fj
L8y6yT5JlY8XGY1rUEr61bhWl15jH0bk2CGqVGjq4NHZBunwBW41hSXuwBDBgvmoU1kfvZYEybZd
zKfVxt2L+6N43zR4l0M31b03awaytF/8y0UlzTuM3A3/9jKPS+X2l4kdnDSGMF/VPHQXcs4/BLWd
3Vg6mHZh60Mk8kqGS+Voj5ludVeKzIAH37HHO1I0lLuf7aSiUJWmfsQsPu50VVxb60zMZuk9EXSC
+0zpF0yX2sd+opu7Vk2xM0fNhzjfDaAfM3zWklTCp7wrPIBfC3TSbAjc0K57/7jCLyHsg8ASJHru
ZTXU61ff16xj2VWcpEscAwHV8yr1Z1e42h00p+RopqN2WeRZfswFXYgw0/Iiwkp4S2DJcGtXRv6Q
5y6o0Hkqr7Nl0S5oRyxHPj7WsFl9mRBo7Nl3jNAp3OkDbah6J6ZyM20O5Sd8/+upZdpIekb70nDu
oqDARlsI246HWaHzr5v8RUtrcomc0jw1Wk/8J0mHIF5cl2fs63jCRDfvC3bPKkpsDdokmU7FvqCW
B1FWJGCo5rc4TINLe0boGtkukU8rPAQiA0tp7jJ3Bl1HZ/ikN412Eq5xmiuZXNgu0QRT6by3E0u7
XX0yO3CBiUtHz3Tex3VpH91MeDfIVe7SxvW+1IXNnuCm1i2YiK+jPTxO3MMLVQfu49qp2mcA7VkV
Ervi7pyyGO6JpBxPFeHYR0uXt1UzEchDkBs/aAfuB6ivdYsKgyOXPcqnfCYAbFkpfIEX5DgwLAoQ
9iOyJKJaoH0Oqe+B0hKYmnwwLFVm1E60xyIFogkqgDm6BFfBnD5WomOrJisVT3mb90t/IBxhXiLO
btNd1rQgbBLfuJvTVl92/POdHssDzYQY3jtuc7urNPzQtBzuFulwYgVNal66Lf1aHIu29UEAEwI6
m7rmRzTYmM5tAmH2pQ1YN1ont7hZ0qCZQrpCUGj9LsWR3/FrFZFgiWgiq9roVrYU/ieDJbbk0yNS
TAWTWR2qeUnQZgGko6gcACLQYWlcK8ztJikimdHkyQKt3iyYAjBoCT3W3tt1Rn/Y6SmPwpqcGgG0
xJqMi7Lx5RStDg8vhJKBF0WCX0jDUs/mNnZF5d1qSe76UbdqnhOWvqVgoJpEeRWFm4An0lLrsdVS
AsgYSbjgJgpzHMnRcOR1a3eYKgujDj73rTZ8dMdxvK1mMkjwVpJFg7FfLZ8aLffLmD2ttvZjH3S8
mKjrUsC5njmAKm7td43QWNpQUeZlLDUfrBDsi1ZcT3RPVFSOssTkSDlEBqCqugKagTvcQ6zI3TBA
huGF7LpjFtulZz7T05qoOAgDs8JRjkDtgD449MFgItJ+MlLfeTsqO7keBwMWXcOsiVQJ8jpuAkAT
Gmt6OtFnwpHyzhsV7eJmHZJHIoO2KLhe5SkMjXT8OvWlU0RtPYuXtpy7+mKBToSyWyamd41pifJG
eaO/Rk2btOiH7ZKNxmSPNrEltzDrVNJ1T2L2uYda0SwNZhpGISstT89MBfZhvzVrFZmLIFOpM0r/
em4q/27tZlAIdZGQDFS4vVpib6EEjz071/SLbl7TFZ1BL8GnEOsUKUDHxd6YZpbIvEHIH6PxWLxD
0PhufzKrXifDSwe2rBLniTg5M9s5VVqUO0n3dUSBXMEaUJCe1iOn7BH/Luv2e7ezki9pwc4TKbdr
7vw8J5jC5DBXxBSwhkmrp/I/CyaSM+kFI5blNc2SuzaZfS/STHNd6fUh0tlpxPmskU2p9a6aExrY
vIAFJZ+fEueFwKslG4v+cEcSKiHWoT3aPV+nqaxy7yfBfA2Lh2IsmAf6RsKvobXkeqMt7Bm+8KNB
wESE0+lN5kPra1P6tShKkmamqjaHC4Ne23VDJuB0r68tZEmt5ZOiEiHez9lBbjSzvU/hImiMwHuO
A4x3eaxbs+OQAwzrDmQYWd+RlUgN3gQj74K5jSTzDghyaPQbXUShCrnpyqZ4MZagwLSfZ+oNHikW
wMnVgeIkK/SZXWI7482UeU0eZ1al8UZmtfEwT17qHcZJzXaMxg4LVSXQ5EZ2mmQqnHvKsVNH2CAy
1S6TYnRDWFgTu88oFvvdyOCnfNt3QwNWBz0P+LfMrKqV41u1wTXgMn7tFDyS3RrUbR5CXdGJFqzF
VG197Em98wmSr3YNax1tWtfD+k4VVdySoapzIO6qxQq7AE5DPKZAaXYB2dDJdaccsAB0Q4FSZ4kb
DMD3ygG5OuJ5E0GWGOQEQ0SCZyFjdgraW29kHQ3tmSDXqF7rUtyq0uiNa101OJ6DeWypRghC1GmJ
W+A1XOTWlKGy4zklVlp7F8uMXw0tBSeFR0VXcI4nyelw77SIzwBeYBPS35OdlMFSWxbmAJckSBPl
Q/9yHm8HEjvUjiXfnO8dkvjKfjeZlsYvWdd54R7aPOm7h6Jy7Jo3R5Py7RZkl37tW73WThlaMHHy
F2jFexaWrr+HR2oiSBNFFnxsM0u4WUQ2hzXVkZHbmnNwGAg1FwOn3AD0lOGKJuTLy7ubnFZfW4eB
yIjki3RA7CYMcTHJVo/GtRXKiCC8ul/HwV4+usnIMCWgw+GoOKChoBOGRJQphnirdcwMe3+qS5ay
Wls1ETVB4sKKpQjUaJFXgzG474KlhIy5DpoX3OWVSefHyPOZI9Fkk+/GTNi2KAQ4SRnByZaF5r6h
b15JiD/2oNVhZxQ+h+1CW53yRlOco/qdRYGg3UlV4YhsTVpFUap1GrWjI+cABk6gFpeDXsOUCTzN
MCwD2BmY4geRtZ7a6R6RdyeZJBo0D0tZIglizoBp/Z6EEzkdvG6ZOW5r7OVcxcwzrYQk1GrLOwTH
RdbFelGPtRb1KmjlYUicNriti1Gpy6QN8vTSpbrPIbvMWJeJb5pyBvtzX0Cqp2FTHrWqH8UdU6nE
3DtN6cw3lWu2DOCDqSOGqUwQ0sKsGRq/eSNGWFgvjcGQ615Velc77HcbM+yvcfD/giPx/1rSxN/2
ZSbO/9mdeP/SpD+4E/9ySvPf/G15hhSHSYcqlkjXzaHI8Pcvi+JmhkbmgFEIBDoaze1P/m1RNP6F
74RIFkLkdVQQDvPOfyzPqDlx2hFtjuwHVf6fWBTpQP4wOf3L8kyX4hweLZPUrt0xTw6GuXyY8wnK
UTp2h63hdSjTrAsLcA47x82bU75yHhM6KKa2AagwpXl/4G7Yz9KquqpYh+KOPTHWataGxmqeYfYx
3uJNPHWMNV5opM8XzO/qveGs425BL8/McXCPiz2l0Wo4LNOsGC0R1w4m2vxTR6t3X6WmuMFwMFc0
FsaXPJAMCHUoxXAl873oSpMOa+/Kj0qOOhyZggAwWG2npgPq008zHmvEjpQSuD78TvR7/O0kUvq1
Tf9Db4smdpHWhHLx3bcBFRI9udYFAWROGwJORFbOwVbJtYUBJLNdYiR9hDatjtxmXbCAc2SbZ/Go
FQENrczegig69T4PWHBW9tAvzKvp29LwhGzT0LTRKzcyOWSGhJWZu6BtnIgJ/FdNN0aiIPAX65xL
SDWd2Jxaj8gHtA2IbbYcP6PdZ/AyHtJK+VtoADGSxLZOEfKvu8p2MvKCm2u5TgE30Rlo2lJZHTWz
X4j9W9PPzAbr56pIvTu/SaCAtXK9Jul2jrWxB3GRMx4v6VXvya0dTlDEjo1rfvCXMtvRq1eRY3Pe
FKNOelliV9t8tj01q8votuyZa03L6h8MuTxkJISy3AL5bsvmENj99TfeGLqdLKqSWTtWNEdqnveB
fjx5d6n+sELZdSXlofJYzY3JsULlM2xPRQW5c4b41PhLeuwgOiNpouWIs/RqGpvyrdtDHtUImeAW
q+B5sEYLT/pkndJFJKHNaek4J7p4P3tS3M8zoP8snTzAynh3mEiPCe5ukjAqyWSGgVP/fpqwU3qr
HHa25taEA5vV47d14X9hnfy/49z+a7FDx/SfF8irFzFmL9Uv1kj+s7/WSF//Fw41rMMBAhiMdz5q
07/XyOBfAV7bLfrvG7dzk1T9e43UidzZ1Dmmi3WBuGyW3H+vkfq/HA8ddeB8873hsvizNXITu/4j
QfpvLMR5oNsAGYfSqdMOGLtAAQ8C/BsEtKbMLxohQRYt2VPDa2Mr42nBcc60RV51i7hg+CfAzdWw
r6z2ySDoARfmk9umH1S786by5JvPmRqIPpzemj01wWzUXxE8PGim+pCt8mE0OIrPAblfOnAxexRu
lA4Q2AYru2E2erFotPn7ItsHY3AzwT1hTlkeKgEhhjN6GQtFMo2mXmwE+TQTENjCplwFMdtU9zSt
vgYF8KY2v0pm9Yxc4Ug9R/Ku8WAObhBZkOIj19ePLh/ZWMx3TT/fpUb/IRvcT8toPyk9/0I++KUy
OSnnpvkIne44gSSdRv9j1VHEUyRx9qWO0yfvTeFX8dDNfKDZ/cJSHA6+Gw4zajezoL2c5S9tZTyk
qSR8zOm/DJa8q2g3X/OwGiZroRa8NRfUKj4iAEra9pq04BoEFUOItGFCZWbuXnXzjQ6tiAXeIN4y
Tz8LnyKATSiGm3Totix0Ql7IWF01kkG00CSc0uLvYKh157BoRE4lvyGx3vprG4SlexNopXHhltZB
Q1D3rgzI1M2Dpz5x5C7h3MsmdcPYyN8tgvy5lXHeTik1Hlt3PKaqBDyhjw/eOso9GPd5ZLdsrUPn
0Z7Op5zjN1LuYzeUyPzgXdNZmd+sae98XmjGkNr+KVs6/8j6S2jIYmlHqP9WnM8yqoR+Gwyw/dEg
5Khr0j7yEaDvCq8qT21idsetw08mQ+l+zcp2Nxcq+Ete///1Ssbq8Z/XsPAl61/yHykU/33Cc1iI
TBMvNpoR7EzkMf579eJPgPlirNhWIrTANn/y9+plupArYOEQ3oiW1j+DULAEoulFDgqlguLlj1av
TZL7z+JFyxSb3mbFhYjsGQYKa/78O9WfozkWr4bqYjfzp31R1F9p6ucvBafMq7XTqtgqpi4qi2Uj
5bPZTi2YbRPx0l5XyEAsS9qv6BDtTY13/k/C52njL+D/wcY++yeJRmraknNiFCvzBkhtwSmAIrjs
qnaa4WblyYtGxjwAtZEYhVUQmcwHTI2oJ+AFYQg/O6g4bjnWfXSZ/seJLa37RK3rFJV0P98btdIj
LbW1p6kMyBCeJKRdDmYsRvkbYxXLh56JDoNZcrrem1gdGMvMGn2HMdfh2mrg4wrX1ZDwpdR3OYiN
e7U67W5IChkNbpnbxJkTGgM0iwbnlDXlGPWeN39BADfaISJMUDumK9VXg7R5wrLKmjPuHCj3mX5X
ENaaXryGyfqWunL+VJFB4qNANr2VDz8+VWY6FQ0EQXo8aDoDvhBzRQ7LlPASmM6oJddz/dkQxmGu
mPYPz00Nii2764hIb/QUz8V9QqqEt88FMNNiueiYzEy0KgX/cz4MUcKMxTeGsLP9o91qf+pn5jXl
i0C+ucl8zS1b7/vXdO3KsU2LoadJSmPWd0dIs2XeHL77bG//ehrfZzNtf8v5M3IptXDjUnvRvP/x
KobH0byGJhZ7qmFy6/CbNsnbqb6qvPp59STIzS5vX9HofzPL/HBVe8Nq6N84NQjazyH/qdUPhXDH
PraajuYXosYrWauNLpzry4tjFhbVAkKCMDBgiNg1pmWS6fTsk2jr+srJVXtV0V67nWydfhOEbu1K
L8zikQFk+S5TlRV3xBMcFlc5Zlxg3XlFYPvNGXF+AyxvZP34JqkP5940VpbVIe61j2GELzEtRGbT
5ZxF6zoKeKtuu+//i70z2ZEbybL2qxRq3UxwHoDuH2injzGPmjaEpAhxHs04Pv3/GSVVKqIypcpF
LwqoRSaQKUW4O500s3vvOd8hmiNchgidG4Hm+5T+U0hwtxfWhj+dHBRaoYOZFtFTTeax2YjjYmn5
tiR87ICO8cxxBck+kihnFRFQmo53adTaeI0Axzq4jX5Ho726zrO42vagf3/xAVm7X94Wjo44B1wA
sjmVAPFKPuwMGgabnj5hNtjd0eyARKf+AGrd/kJiAENm2sE/vxFfC5bpdgFBM3yTV8P38prKUOQa
reaSV2y67mFuofnOLFIYjs/qUli/MDisDt4X3x+vBrvGwshPfiXbysvbvs5zvRM25C9Hd8NCOnIP
5c+DxksKaVZaPuE6JbnwN5z4cHMD2Pjy80+7ruiv3gB7GZYbk2kXJ/ZXa1MfaR1Y8Ljdxm5Agntd
EiTXl9Gp8JYIVRTq/mQ22x0CSm/Tt20Q1tiy0Qt7TSj6bggZ/nonfQgC+IyEsVjygSgdWqJ0MEMt
l/qWwFYK+rxi1l+WHHP9BN0dQykU/Khy40J3Hsrplqkf+Sijod2UqDqY8NNGp+0X34lM8x9ot1Vo
qhtIFRnDEJrO5s6ZkhkdNgSJRyMt9HBi7UD5OyIKz9zTJIv6TcrIG6Vtw1DI46tjqjF9xQj8H5y3
/t06bEizf7iT/jndoUur9Onj09+IbP3bQ/3pY1z/WEeuP/21hNRc/TeMGiBKDdUn0deW2dcaUnMN
ikiaSjhIiItZsxq+H8MMg1wIWz36Bk4tRfD4RxFp6ARDAAxSrlgQO4b7V05h6gH7/f4nPI59GS+g
SyI7wYC+pwwnPxzCcN3HE05HAtLRDaE04T4Zp0luf7g4f7S7vTzrYZXCh8LICju9skfBIXn5Mu7A
3KoXOTkB9A0vvQUDwq4QA3o1f+yS9yQ8qqFxqpH/hbABuPQypOiqDTlN17NTpTPRiKjENyy4gyCL
rHbFfk5RRG1om6cwh3XmBo1l99flwGRmt/j+9IlRtzwbNZbzQ0yT+82Cq9PbmxVl+XZozZlHmGb7
e0a83U03M3Y9h7AYeZuIMxw40p4+Xl/0nQw5XtM9cgxMA6HQ48w5RYX0+xM5PMNNZgmV1zo009Xg
t4G7C9o80NSe14LjjuzqoqxinumsqhgP1UuUMHu1+Xihjvn9y+iNCNzMLK6vgTqkb1K+8ox+nNu/
ac3C5nm2keFtiBKdAYl7mUVyfGefzCxfzuYx9ZaNW5qoZ5vFQd1UtgWnJkZvvoPyJWFs7+Q1rjH6
qHQFDbt6KFHoaNsaC91VYvUAxNvRSW4bW0Olytgz2ltM1WIqZDvymS4WPjVrm5dDaGu5eaUNufkJ
QLGVh95MN/YXm8+ru1FhNh2T1jNtZAM6SfDKxcdhVJreTAlpLSI4igk8cWAl/f7nd+MrBBB3o3oZ
lx2H9g21jOJ2/njTzxUD2qAnLWMWFUF4qXcnBkOZ+mxx7qMJC9Mois6NDN0Rj212QbxS+ov3oG74
H5679S1QXTuc9XDe2a9hG+BJoikoGy30nERcFlNnHVN0RpvFTppdj9j+F0/gS+PY14/MIsMH51lU
a8fLjyxta8ptPaM4LxnH24tDbiDaYiR7nvGLo+yKyHj12VSPS6fkVJf4NYWrbZIoFX4Gyn3IjSfi
2xOCm00C8rR5QIg8Jxo6CMuqAFlpdeYw30QthEhefyb5Ns1JhyNrd1ryxGdMXA/X8DDQXUVowDEl
WIQXoE5wZMgAs2UKNaOzpWuftG9xODZ3iEZJp8XkfMnpr/s/6y/8u+13ClD5522GcG66Xvy4w6m/
/3WDs2yyx30HFDd15beR0Nf9TfFx1/xPn92FaE5FTvreI3V+g3fH2J8pEiZ79qB/bG/q91F660SW
04Yw1PTpVQz5T2PJX7ZIPZODI4ZWnfMzz7lOOOjLG79mqTVElC5hOSxoMYtgJItDxyiq5IRFf985
w3CrIQS+CBo7+jRShZG3YxvdpwkZj8YkR5hHr7Sbx8yYxjZEUSc/1o7bvCPwB2Z62xue3LWZJBwI
vEJS7SsTPu4vlotX5SGfgqh2qhyuF1ATMD0vP0XXgAHW0Xkjw5nLsEs7F/585oTZQhRE7cU7UZKN
kvXvf/iW/2jf5tf+/iSri+ehFNF5hnXdAv3z6uIFgJsqqwhQieHfGu0IgfyyMfXyepmWs2YYLseO
fKefv+bLleqfX/PV4jwBh7EaqV5Tn04GCAESUSP81a354ecvtC7zrz8dV1P5TmE7szC+vKiIab1U
azLiqWlTUeChGhroZOZqxlgN2oOcA/u8TGb6NHXfQu3XGLyhsSN6Ykpj91zTakIFHX0kMSQ3nZSk
KiuoN2Pa5yejNo2PugNeYTNZ9JI2URHUN40lTATjxpAXv1jf12Pk6+/KoIIHiOYzl2V/e/lpjL6y
zarOFjV8whGCB4g8eT0ZvW1AbuK0YxxHeErrz408JEuh2USDtMu7YGk8MDyjA5JxHIzLKEIaj0a8
n6gu4nZ4TuyZJwYNK9EzmqfhyCx6u+435Fdr48ZYP6KpPi1JF/lJ5sr/sfQFlwPHP9JYeCrOcVTX
K4jHRWGo5caurJQYrvXSCnWV8UcQjpXPcbsBQs3XMCIs3sHeioyta/uEX1iNVSRbAuLt5zmraWIv
LB31mWP5Nf37qVf6rL5W5rVl+mJPTTySscn0GDW/TfdkkYH1BdPQomGJNYBFS1PT4s1gRnYbNtYQ
TYB1sJBe4I6c+OXkdkrU8N1EG7LNXMIjbIthBhB709hxnk/4XmemdVvs+XF2T5f8rIXRtcswVgxn
I6610HAXAkbhTpsN57JyeluR9p6GuEJLKsW4vyu6frlDieg8QMNO5svE8Fpxo8cB4wYZFeUdfYf6
RBLWPOydBevHE/6/cuGAnqX+pvGCabqamOXEG7yhabtjSjrf1X69xGGCkU/FrssoPrgkPThknmVd
Hs7SLr2NL7HBhH3fEUzrx6I49U5Z2ZsyTnOBvtFc9iKdZnMvKkmhmdAuRO8+1Irr7Tl5OGrO+IDx
DxWcnpblgZ/iDiETwFxCxJnLSECCI+7pU2KpFFFsfkk47Izq1Gs9Y5lxgEJkpkW7BYLYR9vxxzeN
gX83hHGkMzdoS7Kbshq1yuToaAU1HAzbCRV8d17yrWESLMti3kVJM0ZAyfU0dPzOBf1Nh/idUOvz
kLZEoLlq1XbV+j2uSzny1u5TLUwWeF+t9ZFa9YVa/8FTyvv/KmeHZl+LO2sJNDilcePuplhPjQ1G
MS1hZDNp+GyEHqiyIw8eyDqChP7zVel18KbJiUkl+nlwe1QBaKmW0A8V2Wj75ph4MW/C9K4rq3zy
SZCGxcnhp+7Ti6nv2JRM80vTR9sokGK7MEGzHXItoni4m5f52Ba/CuBkc3+5tvCeEIOwidK+ZT99
tVL+fmFS4fGJzfXD+zlCa7I0uCbOen0KqSWsMOqyYSMNduuF+U+v4e+GQuT8+eHr8HH5+Ld72aXN
jwew9Yd+P4HBc/k+r6EP+n3Ow1nKhDzAQQqRD2qzH09gxm9IfhDrMI92SVJXXfvvU2rjN45K9MTQ
8ajOgGn9lRPYCjD6cZullvMUJxo4Lv1tOhcvb+hKSBfKZMwowykkvmzNq64Gi8Ew/dQIxcWZFllV
EcZNcBKoP+OR/+W5TnfsmLlMGFtaC+tkblqXYjDzc6cNtHlvjOSwglhfxKafpuxaWDO93qSKO5ZH
tpxtky/ltu4x2l8LXeRU7BoO4rlKnexQCRoHUeMapKKZfSwR0qELKuZF1F/Pbf+5af+upBB/fs/u
P3b1899OoqA/9qJuUD/2vTGGtgKQMYd/mvfcGAqg8q0x5v3GTBIkDTeoStfw6RN8Kxxc8zfqZYp3
aDRgjFgp/3Hb0k2DtKGrbjnLJqegvyZAe7nmQbClL4zEDdwKzXc1XHh522Z1lRg2h6qQU6K4FVlg
nOwufqB1kO6GYY5OQZeKXS0n64OFSvx8CaoO6X8vz9Isr/ZGN259BKz3/uwnh8YQT/7oyQsdv9Lt
ZHg3P1zdPziov2qcrG+WERuNNd428OtXB/UuBecrOOKEXr/0dwYNsyuyN351NH8VQ/L1mnD1AWxj
FHIp7l5ek9FvoqzWKiucIkO8iarCwOxck3DcWDh8KZsaF4lAcOLIg1tntPv2Lhm6ctrgkDNOEq27
2Cnx+j5LLP9oOdhxioRDziYIVC/PSZGKbbJZe86nTF6hDJVXWYuToJntPNkg415uMb9p275enPuG
PG8yBwPNWsAZl/gg6lJfcBMPkXzEY2xDU0MU/FwHQSZDE7nqhyBXcu2fX3rVif1hc1QXhX+YHFBm
gkeEAf7yosixWPC0tWbYajpGJjnvGRYUjyL2hit36qDWO4D5D8IFuhtGxeQe0xhs90Z0CXKSQfqc
VHA5nKTMr6RmVvquQsN2m8LuKzdMAsvtbHNY+vm7Nv/5jgHQzrJMRrDq/f4TvcjgVMwrGCGRlym2
k4rzdpViOhjbAm2Mu9waWS/2VodZx0bifF04WFYMzqa7EY9mtkkbvTmvu3l+MvWBuXQyLeM58o/r
LBqvF+gGY0hhmT5IaZLY2eoNMJYCFzjRkLO3hD//OOvb/X2TWb8EWpZcf5WqAeDm1ZcAhkwg3HSM
kIQA7V5WUXECM2Z+poGJoatLneRMJ/nzMUVCLjlIkSvlomrZe1kfc/3jFknfaOnzG7215BsE/U0a
9pGylMhIwOJoxHQ7DQQFQxuYkZbPA+1jB+KAw49NpJxluUt3gV1mJ5Fk+Nh/3DZFOWjkX4oeUVQ1
Z1oRMsYDzqKPlU/4oJxRH01Tc7uM2EMirUHu4KHWmbajlzx41Ri96zGwkveYlHcy9ZqPPZjFTeYs
mbldgqYnMjROVI6Mr71PzL47zoYvngSFGeiIgnixvi4B/g+LG1xaHPlvxsBrrutyJmsrkEZ6+/Mv
Qa3lr58Eh1msCyYbCjOf8uWToLVk2UQ6XYqWffjZGar86GVcFqvwMRtOcUe0Lfb1hFwK199VhrLW
9719l41WgWhS4zsResikc7iBJeQhj0WW99AO8cT427fa65iNRISuJSm//DHOLoO5IaGvXaIu2Y1G
M1/2UX1skqqDq4M1wdjoQI3DSSDnHY3hgsBMZWWigOWHNAYHcFaKXZLk7GOV1r8BqLLIfZ7DN8E+
l1yS3LfgYnXz7F6iovY3E1VPaOl4iJCJxXXOh5pngR1Nmy88zGhGY5P1S6B7vbMSS4dSQo81F2Z5
jk1RXHo9naO9WSAgXrRJJ8tvTM7qkYIOw50schT7dnuRlPyFsHdT6yaFu6MJf0LqW/XJsc1vEbbp
GB2WZK83c7yvmsh7686lI/Zu7ST3nT91xZa+xjnQGzmGbSygOBj+GxfTyQUT/OLOhBw2/eL5e9mf
+vr4MUoCSIaaAOXMq42hMJccXJ40SYLl3krnTr/IQSxftW6gH5bRYlTtFOJTvST6L+QZ64j49ZPP
MdY32PYYlOmv6iWASGSZjnRxhNnUO0drpvcZNtHzzjHPhT8UJ1v27cFxEObpYJSKgNhNM+2TS9y4
9i5ouFVGoVe/AKy/ai6tV0TpPOmZeXxyiG0vnwVjsusJMpIRBmNq7RIb4TRZziSZph78jmxc9nQ0
XMYzEAQY8zNP0eLiEYumDOtEWBvXGvRDD0Nua8jS3xspVjhpGwT2RoQH6AXtmaKyPnOGwvMlnOkX
+4OjSrpXlxXZKycKDlQqjejVs8xQvOzyhP0BQ2JGWmI2A4s0zLk6RrlxT/Ye6vBK99P9Usr22JRN
0IU9FEH6G8uMN5qJW7NhLcNViV2VGzz2J/uqs/M6UlzrYNu4jXHBo55X2Mb8hK3OSGjaR5PKJiuL
k5XZ0Z1TFNMVLl9uJ4ztNisI6tLYOAdURCdHG2HgEcuhBmZmk+4ZOizHLmf5oFkzv8PJltwXUWa8
K1PMBOhBk2EINXex7uxc1KHXOdOp4N1e6DJ9bN1SfvTmAmDuLNxttC7owwzP4hfPyqsKf701GHCx
RNL7VqepV9V0trBDzIYBRkSky0PkLNFxoT+0tYK0P5TYDqhH+HTTLKdD7xMEM/Y0kiwqwNPIu9zo
mh/tklJ2F4A97F9Mb6w/+OI9akJHhfvQXvGoTX/sP4h4UJh5nYPBUOZv29byaXSWgDhsY18hPtsX
VHkHIuiNXZ+4MdiJ9j1SrfEs8MeMwEYS4guoljTKOe5UrmGeZD+054vh45COcVT6if0I1cEBIia9
Xew2802TZNouYMT6Ph/q7EqWbnLAelgeYSRpf/nyk+fH9mRSkHK2V9Xtiw8I/yXyy3bkAxq5eVM3
hh+mZmSczGKotuYkg4uuzKFf1qTb6dgHC/RxZDi67sAn6B0dE5T7pLPF/OqZe6WG4cbgneGfYVNj
SE6/5VXJgQszqnQXvoxR2dmN7VUEsM5dj6diOOWge45pVwUb6b9zdXYtwz6b+jH4xaRBvcaL5546
jMkrIxPECtBhXj33aZpJkN6BHjbN+NlJbfc4BAMALggfv1gi//lO46XQ/lBMqFAiqqyXX8Qk1JFI
L0BPxFNxM5Re8IYP1qIR8LJDPXnWBzbTJA8lXPobWgPiQ01yyhsEE3G3jSZTwKFytHOmniklfFAY
n5jqHINFwgpsC3uAYTXTbF5KnJtZbbnYhAYrzw7u0Cy3fl1kDwRXoa/Oa4LeCk8W6CPT9syLg8nf
2Vb2K6b0H1xaAL8qHQUvB0/rqxuPWhMHXtXqIf5LuYW2gY+dOOqLMfGXxx77yo4ea3sHZNgC3YFJ
eCNG+7oebA+SXz9aZaiNyb3IPGQTWTkQARTpSfM56oL5Pl26c73v6gfoPxjWi2aonc1MqOLH1l78
N2zczn7Q4lrSt8858TpDj3N+SO1d64p+UxWtHU52wfRgSLt7WHryo5n1y3Pdzt77uHb9d9Df/XNL
M71PI/sQZ13Ccy7jocJ9ZchRv/B6BwWdSJh9LBJdLFIEAFat/+DKfnrXTEZFbGP9SIU3GHgWRX2w
jezaKvWIFjMJdP/pvKRyPj39z98NlRz0562Xk+g+Pr90tagf+NYqZO7qM4sl6svnX6iHvvdcVKsQ
BzT7Pc0TB+QT6/73Ya31G71Am3aLZSozjLLqfWsVmpgIlXyBIpJzjnLI/JVW4Vei8e+rj4LwqzMT
+g8qORo/r0dydlKK1PPIsa9p6mXbxSmWd11Udrf+ZC7vorqPAJ5Eg3iePat5U5naXOzj0Ry9Wy9J
OqwwtWsku1mpmrcLxLN9m2icwF3aA1eGDPCg50H5QNwmprFYOEuzm8BjvtHz7uDBDK04kVvQjB0S
Cln2LSnAFddaW++hQbU4rT3EkNDT60m/iDNrXLYxVBniTPNUM/ap7xfntlEL1IOZeblUpJUfHUCh
2na0S3bDgS4N+COtbp9tYQm5cRBjVOfStpkuQFO2gwPSiNoEWlDa9b1pRWZ8GuukKXZEZMhLXO9R
fYpIyzCOhin7bm9ZvZzDOA36BceJ4UsWSw6SikeDxbvOXaM/WlrNQHLqM58smTFrP01uX3AamiqH
lgsGFyBtMZjT7UBKz1nuDhIIzCzyNkxtPdKZlcCJC6PSxx9vlE6OSxoX3G3btVESIokfD5lbkAW4
VFHQhxN+tZQ+mF7Yqs41LlvQSm9EU3nloZmD+QMcFQ+tOmxbVEkLpmDTL50LS05jRX71aNWXkdV/
hIUqxyOq+gRHf+l0ACcR0SRbN0sDdFt6BVU661jNN6NnFemthGf2FGjeckeJQ5MB7GN0jOPWJGXe
Sv2LmkAVgK014tawn2RTYwSK/POhk5W7kWUM1qiJ0gCNOkGY4ElSdzY3NbnU/WbKh3LZmiP3XWh6
HZ/L0Gl78PJ8VOBOTB3DpUuDZ8L06gZuRMwcjCDb+mlgEfZ3cs61D/QsIBsXXj0fvE5ifio8P78s
A6zUoVUZ2udAJqKDZNnr3TEADWQfxOL475rBbs7GbEAemsxjbG0yDyHZTR832ZXI9JE7s09lFEKA
hpioR4b2ZZ7tGi/iZMwHu03mCTRJFTUHG54FVK1UtBZARKI7dMrZypCfKxdW0yU13Xie2jKOscpG
3UwCsN72/tYfrDY6gwJNp911Ksq5ZvEi9wAdp59gmyZQsEycC5hT42U6G1DpZXeZNdU9qvG50nhy
ZDKf9XpVJEfTxKoucFHaFYG0Wg4ztxv9mNlrjgA/zJw0uCtbqyqPY2XOC5DIxWyqCytnSvlEKA2l
gUydY9qa1UdnbOt4q4OzMqGxtMaCVcRoH2ruBNxPU3rRSniUuM5Gkov7Jtgv0NTDYAjKX+3rL05M
as1iR6fWY/FkaKLbr47zZc18XUOiFIIzELtpTNKNCOaFY3pk/Edv+21T4+z351va/1ZPddd9/HH8
xd//uqMZZOai7qFGZVZA90kdqr9OEbCqr4qfYFXO08PnvPVtR7PN3+hUIC7ij8hP/XH4xR+ptCn1
i9RQTPX9/4L8KFDV0o8b2toIM/HhKCUvwvpXbQATbDfgFZapKKr1T+mQeTf2VE8Aqri7F72HZNwV
rOnS8x8Hr5DHqG+1x6htLlpAGSp6iqzrGXV3fcrKebj27BG09zClb6aOWJeUs+YuXlp/zyilCrNp
+Fzq3YclLobtoM23ESv1wbNK/A3I8Bgp1/mpcHEj4d4E4xrb3YfOSD+0k/8e0h38UvK+sLE/6m5i
7Ss5J4eIqbvhA4Zop+qRkVl/tYzZc4R5p62XclPH9lYvxvJtOw/DTnBaPOMhlwfLlDO7heHtMvpX
G2lM8rOt6Xe8lfKSmj8c67HbBSMUi8oG/9g1s3lNKyfdl8ZMVpNYeJ6DFILO6A5bBnruNh/luewM
bT/HfYXC1132wNvjXVNbT7W9RNt09GH9OSVFczJAHWnurLh5inLtrT1EJlc6db5okwFxJE0eGP7b
x9wbj0Ft4knPaaPQxCAgdPC/9YL+0hDwj53TZKp8Bj7SpXEi/9+/Fp59eK6vPpbP4r/Vy//+wy//
E4Xct3enlOsv/gMIMI/cbf/czXfPoi/k97tb/c1/9Q//9rz+loe5ef6fv3+u+0qq3wZZ76UTUY2h
/vypJj67/fGRRon7/aG2/d9c1IQqTstTAApVGn59qC3YFNg0GPOhJudvKADF92Oq9xsCOeoq/vQb
gOKHYyq6OYczrxrQ0N74SxNtF5v2y6faYc5mkmKrwpYJIlqf+h80Gp7sHcABesVpQUNa2HUwI+LK
qa1wqeALRmlxjGrOadvYayFMN3Bak6MDYy95BB0LjUmfElTXntGW+QOaP3hRNXMK4MRcFhNHdY3s
TReCjOpS6kG294AtxQegNFO8DyAhuWeEtZXembtgvHY3ueis9kPflvZ8F9UNm7ED/qE4y6pcs9/Y
cyEEEwjSVGFK01/wDwlw9Pf6VGKnrvNe50nqNBBG0coh6lcmUbfyieJOsYoAG2FZBoyd3fidoMML
h7Jif18pRzHa0fkxWelH0bQwWdFXKlK3EpICBUuibWS1O4rivj4M+iwBKg1D3rSXTu/Z+S0cuMl+
RIrFCXNuWwmOCdoGeMgtA6xxPHNWalO5EpwyE+gN9j9FdhpXylMwz8ZDurKfhpUDZeZ5f6V9pUP1
OaQoa6VGdQogJYr5kbq0Bvut0FJ+Mw3XhoIR0mHPrWqTrxwqXyGpbAWnKoSd+cgsFbPKWPlV0cqy
aleuFXyAAaSmkxrJXrTU2LuYaM2GFD04D+QQJPai7WCwtY92axQcdRU3a1gRWvmK02pWtFZBr8t8
kI1Cblkrfmvui2jatSuWi3IHpMbQeuC6PEXu4hho53uHfWUGIa/gXnHcA/qitOGl7Sq2kl0hOr1l
OiGa7OQoRlgXT9oSNis6LLYURqz5ihTTRHTHYRvQWLtCx3zFH4ty9Kg7a8WSiZp5y0ULmesuWcFl
nmKYTf48vyln0L+7ttfkcsyCAOAZw16DCGRcZPAqVigah8j3aLu1o7Ui06IVn8ZJHQs+6D6MZmY/
gFibh4mQ2Cr3IaOVisIGxpxI5cqbYuPkr6A2K2qWadsbS8EttsLcRsV1Y4fwLq0V9sZaDviNVR8I
HChmVIrVKMB6m2VSXCM3zGgJKXpcD3qo3xorVI6gIjxVGRNceZhW8Fxsx0DoxAqkm1c4HSk2XXlq
FLOOAQSSNEuR7HwMKPHWWQF3pWLduSv2Dgp187gkDnCSaAXjMeMdr7KsCxhk033BPKwoesDwAOpB
WGYipSUKtNeg9IqgO2Kv2NgrjM8eGusD3ktiP6MV11ev6D4A9eJeB7mU7cYV7ld8Bf2t0D/8KAAA
R9gLA7kECgxYNhrDceTw9mOwogMtPwIjKFakYA/5xdpDIAc12CvqYGQCfd8mncPss51seVOlvfyU
K1Zhs2ILdX0YLymTEPFXYw7YsFkhh86wmG/zFX0Y5wqDKLxmfu+mLXDEmHrKD+fEdW+KFZ84upGH
UmAJCGbQV8RiXmTgFrMVvVitGEZ3RTI6K54RdhioxmzFNgZ2A8JxUjTHlP5nFqbKT4ceWgEfrSCe
qi0QL4rg2SZ8/Ah+fwLmzlr+2S4UO7JdOZJpNBQkdqx8yboRJRd+5U4iMcqvClvRKAvL7KJ9qpFJ
EiM7+NSu5MpWQSy9lWfpL715Po+Kcrko4KUdediYhpWD6WQ4F7cWgX91CCzfNPHzgs0sTFi9aeHL
O7FSNWMLcswB4iC0Tcf0FCRbQTj7KAPwPtMNHUJc+nA6HTS1ybZQ+E5nJXlWgCmtjbkSPm1L0T4L
aXPPWcCuT6a/WBDzlmFnZsl1xU6VcgByjYjiBLbEI8x+6+QVDYRdM7siXHG44OuKd7PUb3MnHq8T
L9vGeYNYuYjzu8m1z4usbW8oJe8KW6TXc0mGoa8hAEjuI9Jg2BHMczk3N9HY4hgSmg2nY7ixZqWA
bc/cHNoOJMJGL0PW//pYQncDC+ka27Fp21twY2d2p5+SmBovEGUabyzxhj0u5w1Ed17lZ4/5jE6U
fsNO5024ehLmFOBPsT4d8JS/AXV1itKEkLYk54UiiGsR6tDA+TSCLQGU54YdEPUtPZXmOLhLAxg7
v1xUAmMutAM5OJ9qN38UaPpDDRFPawr7uTGm/cxicsnxXDubaNks254Ak3d2nE4bNxnmUA4iPrlj
8tDyGwwSz2K6zn4Sh1FG1g4gVO73TdT37THprCuQssamY+5X6vY52x6rHO2egf7DNdwjf2+lpQsB
CGvVDqpfvI3Myb8NwB4dFyas7CuJRryH/tGDuE+qVk1hIep2H6fFeTTWZ0AJyhCHzMYW83WRlreF
zC+0YZaIGzonf+o75zLXyux8iTGdehU7ittO+ZZfRAzPdJX1af9QDhy2ARVoR3vOHkeckJd87cPG
B0N1ETHMRlg9jQefbBpQhvDcct2+xXGTHgYHo/choJlmVpp31Oz8sS2LArAlOy/geVDIWX9u2hE0
6TI4tnZ+GYFuuhdoe8Fal8at0Zs+xDvrFt0MNAJ/rD44Zsdrl61/E2kwNhdXn4ECslXTMLuSftAV
qlCwxNYBP34/jE31BaVKfWH7NcCwIZn3c6+7l1Kb6mvMxk9Y7axTq1Xbelad8lnLSSNwTIEFcmqf
RW1cCxMP+65iCT7qc1zfu80I6muiI1iKqtqg9U5vsngaYh6qYriq28TbNkmZs7vKJsZ9N97kTQAm
L0keuil5qzdSuzXoqIZoqrpdmjZvo34YUMPEn4tCfgD3zJHGJQbuXov1+sGFjLGP2tx68ozoMdPL
5bEgXGyDlZrzC5440qsG1FXpQIVFcgws/LBNivwYs1uQU2zC9befembKyHo3LQfZXRqgivFIl+m3
Q+FunRnivJFFF41JyPgkZ96/x5k1rS9y/IBX8PGhxVvTpSDYAxWVE2QHD/T8SdrBScvxfNC8va2r
ajnNGvFFhSDpgISrPbrm4qZ3Y/PJQWkQjcu72Uy+pL2Gx0Yb5wcTsvEHcG5EpJwghwFcTp12gQLu
Vo15aGtbVCeU3yTL7lhQTUMNFCqU2vrc6DeI9Ib80kRs5wPBlfnkfGnJ32ESbgK+sLZj1DLDKXtb
iLtOotg6m/1a5lZIYq4JnN1Jc+bHuBxcRVmtzaXZLvYkoTfyVXiDxzk6h1j/efBhGaY7J0sGso+C
1tWn/ArUeW/BT25RvJ9R0/WkwBdmSUzTxvdJErhF0ibbewJUtOm9U5axpwIGOEFZZ8yqyV09JGVC
ytJDV2qG2dz4bsmvvQB1REP0BhxJ4YubIYcEl32k5kYEvxXREH1BbO5B0yFzh7ckGpe0DXwGm5Zu
4RKak2vgexhsl0mx1bh3GTC6DR2AvNi7DWk29OwGJBtXmMI16zEjYfQdMooGiZmZGPrbJsV4+00s
/pfK3X+tlv13M8mBVPhZQXtWd08fX1XA/MC3yUvAEEVpWalmTddQeMTvJa39G3BRF/Egk18l/X8x
eVGYHA+ZAFoyzOP8ut8nL1hHkXeYPPboXp2/VNKazutGFed5JpK8PuUL/UzzlYyGjhJeArOXYQBC
9eiYZX+RLTXroN12gXekPixkOMZ6drLRUC17jaEksHrkUNiR5XkMo+QkDOsNUdHg7VN/ujVb+b6v
062FT+iqGtL5USs968EEYlOFKLPHQ2Nl0550oOViMg0MQ6KRN8j72kvhlK44s0YjiHfFxHq8M2Hf
dfug4bB65qW5VDn0VknECw24tAhdVvZLlvle9ri1K5xPrg8r7LlwFDsenLwt/K0lbECqQZz4Gqxj
OK07Wl0mQDSZlS4JKrUdT3TmPGLdQp5KMKqj7Z2P7eC2542X+LulmaHjlLSZN1bkoFXXu7IkgCKO
WTK7cTz5dWXam5SQJGaiS3XJbt6V7CsYkXbA2bCzh40cF/eKiUpihjq7nHmoeo5Xd4AoGpSK0I/q
2zia05OQkx2fjUtq6C3pURzxiQj20vjUWU3wYIk+0kcQta6wgaIDcD13cGkjotHK94hJJu+iaJvq
qqW1t81jcruuJ4KIwmyW46Ovl0Z2acPS6a+KoOH3gvv2Nhbtfeej1ccdn4Hkx+JBdwEJ02RYlz6Z
mUlDKH2MChJAoVdzRt0LLYrcbVfp6dveaBP33O2NEn99prN1nqW9awDySI1WbHHQOG9Ty52WLWEB
Ph47giFQ/S1tbJ0X7v9n70x2JDfSLf0ud88CaZwXvXE6ffYYPObcEJGZIc400jjz6ftjSgVI6q5b
qN5doLUSpIxIDw+62T+ccz7GFoFkQ468Lm/bJdR6PSeevJi53xehkO/kbRG3tGVDToxcrudtMLHV
1z7y0ecoNDvdwwKZRpMMxtYBFEO0st2EXV83VGp1SaDnOBvk6aZY1oIxLwG01aldoOHTlh+dyFBK
ThPqmwAIhP4xjXYahyXRzfqTUMWMj8q1otfOG+LPwoJLQccK0wLNcu7TXqBTeCLdEnmm7c2siApC
O/WAUMFeBomeeRCfatmfPWfi6tZ6sucQBRcleUKmeY9UGEYZAcdMVY2hacmfSsr0GI2e9ZtrmaWz
EeuyCqqtZG/1a4dlyTqnRtEs90LgL1su+iz/UPzafSX5yBpscZEjp/SyyLAmy7/mvD/IKMkEPubK
TOF/LJnFGl8u87OyVcK6b8z7715ad5T+ynJ/Jm6LHLtwJ/1dLd38YtZSYOrGaVEBj2Zy1VdGg5g2
neG0WI0s84uooHVc+xkj5N6WkrUmWM+qOscqZ93ZrJvP/tcSdPi1EO0wb4GMIx6dRSlC66s1xGDR
1z2qQbSysUMTy3pVCmtY2BHNA2tXT+/GbaTAhPGuOLXcLTBWRGj9Wtm2v9a3lUPK/7b1mKflonzV
1LroXdxhqWE+sf/V102w03vWnaNXrIdpB9JdWlWAp7KUziJ0fi2T8Qf07iP+yKnYoUapX10Vt1+9
X/kmfjxtek8RCt3w26UbW02mcSBsCQhNIoeJoCi+kbtrXHe6hy1QHQbIEBDYZ4O5jughrKm9HVme
RbDF1OJ5Fxcuc3rAfsUFdI63A8qD1GtwrTj8dSn9//v5v4wVr/qvB86Hvoo/1fyXmfP6Fb9f0EL8
YzVD/YoBIjZPrJb0PxZJzj/YBREPhGVd8C9roOc/F0ke5nciKzzL4w9gPOHb/XFBW/Y/1lwjkoUM
4l1QRvxnaXmUBH8dOmO/021EFqvWlb+JiFH+/5+GziDn2r5a5Z6tp32L6Hqb4imJlu7QysI+mPBl
sXeW+s5rp60uorvBTnSc6wvhUS7bHFdytEFB9rZZXr5EfHZ2xIpZYe+S8UQ0u44HQJq7KYOM1Rux
ea3Z4Rxq2/k0vTR7QI9dcxOQYdtJ5NFIBT6YfPwc3H3ZR5+YLItQ1l5/RsG6PIAwbk4eDPNAqCo5
i1TTQM22BgHi3uSfBNlzD1MMHc5k7rVfyNllAsyYzrAfbM3/ls3EJdX1cknH6QIdNt9o5NPvE0er
w6hnAzRomnmdHM0MdQ0dAkmipCFHHiFfRRGV+wTVNTMLRgOQBDPvOU5kE+rEXYRNqXuv0+BFmE8g
D1ISkFy5UUitWSKnvf5ca1Q+/IhAkDya8YAbukKlFQ9veTvVmyJFVM0Fb5sHr0eUEHtuXJBtzAj9
iCFXe+75E+vbyTUfTnZihr3e2ZTb0xLRsVpjdE4xSW4bJwLMYqA73bixA3lnTsdyiyLFmuBlVfKd
KmxfkX0cJnKuvy05c3/NmLn/0szS1qrezZ+sGCgQwIGlb8MeMtNp1rPYh4jUMhZYolS74OnH2sHA
eQatkKZh1PGrs1KHaB3OsqhAsbswzQcTS3p174q3YZ6ItSFZ6lipdEZ/Uf0gS/5LFssVIqBDDKI1
/1YUPryTRMOuABexIeB5ORv1I266DK0y5/TK9yCIJkhy8v2YfaBUc5N+fp+NpD1P6Dg+ud3PWMc3
JB52XNqtuV8aDMjebD3RcRPxP9g/mgauhKZ9TO5yZDL2Xebxfa6WfTXph9Iob5Sl/ABMOMImnp2H
XvjGV5s4FkTdRZ0YypOIzQR+C+lp2niFAaQsr0Oi/M+C3Nc9dYr/YJXddo01nWwVztHBR5x9oYsu
956hNYC91XfTcQ8LkUGfk69ZCFvIn1w2ZKdxYbAAOpI64d85S0XhWPRifl2DZ5ld6bm280VFCDkO
oFDPm8e2KerAA1tDqFpbPoJScIKK3owLf9QOnZUPd2RylxusRhBtLXfVzibzOYfQypB/77tKHKdR
xmEmUj0ssmJ6UQ3ai4y01ksPjSZUjR4dAf3FRxEV3vugSfM6DusdnPUgfvSOCItKfbi9T4pB3SLd
7aDykRTpMMrTHTa8hEVmVvZeQ8HdmKox9n5mohmy3DQobflCgEZzBwgrPoJ9bbZ5EReB7IQi4cBO
sT8MP+YCbQ3gZF5XlDEC7mdEJnarDx78W3wfBp/rLqW89BkDB6k0yEcrpHMlLya+lbY2XuxW0w9F
b1cXxOfOB+kNT1oi3AA28xPhGietNhHg4nkNTEAsnB9DchsLm02RUVdHsk7vZeXv5WrXzruZqGNB
xX1dTGZP5uQ6Z68fm2tJ7576TxJ0QZhZThsosEFYsH5bnTUboYEPygeh78Dsyvuo0S9Q0Zw92/3p
aC6ue0tRw23WY/pUc/bzDHJHU32716Zjz5Y6nLMx4UIVbhcQKNngHZjyXX0j3TMu2xep5IRwBtBT
5jXq+Ly14w+BzA4vm72bUWgxw4iJnwO2yf4judj1I5RqiK8IhJBP5mGclm5A4DPjOGVvzdn4arxR
o27wT8NMw+FXQJOGpKhfQLw0LBKdW1mXKYPExd4VRl6c6siDFOWY8qc9xS5aznx8AKSRHfShqp9t
nSlVNW1TpvsBY0sGouXrbFGjqoEoCNs+VQMZW5XxMRt6eWw898wm0Ap0eFG49Fr/CNODyAbbSZ+T
coLjVJHPf2R+fppWtF0FA1eMOvPfvMLvgHt53orBfZkqEipyKKEhClp+B2S/0ijCx0E9dBXtSHhC
XkQH2JFOYM4/wRCNWNXqcs+Hbjqk5vI2DL3gdmByOs5N/2bDwB5MOdibYQTQXNJfPJCg92nHfbyb
ZVeHGWq3sFvsQIGgOFGrNhuXumv2a+IvFnHHbvHQYSl7wBQwP0QNsV21Ud2TovXkRckZXigvDDQg
Un5wUPUHZrA0JHd8Dh3RpO92LEF6pSU/JKdP4JY1ErIy3oieh4dx8nDvaBTGCSm4RMODKGRGjO/S
3M+juVx9Imdeh7jpDsBnjsjr870NJJ7HQ++3iaj7k5nooUFebN5fZvxv5JY0mdokHmGqEQkQm6Rp
JRK15Bxn8pAghkc4XL+TEwFwvaufCLjwThV2vE1icG/GaoqODHzbvSQDkTMcDyvyyMeqrbBt2t0p
Nqt9KdvigB9OP3XzYj13xt2whmX3C6A05JrgbK1MD6UOVLnNPkAZattZj1y4bbK7mZ1mH6KZZ0sB
nIHbjKLPlMbBbXT/AXwYnJy0q4/cEdYB58YcyFj4O3rxFKlhJp29MzLlCzSlYxbQ4oyvZjhseiVS
0f5KW1vd98p9MbN0TzBc2ND2b0q27GBY7/24/KmEu23IawtQUv6Ajllveq/7KOJ6jfCZcCxy0ezo
BqL3RhvGW+xx8THIh4hQzsZ+8ZPpAm+goy53mm+JVEO0KRcVhS6FWBpiC8OY56WHcolNEvVgzvuS
p2mKwecK821sut3cGXuC7s5LTa5Y/h6XXJjZO5v0O8cu7puZtekk93ZGr6YS8+ZAjmzNt0nOT1Vm
P8b5d7SBbLmQvfr+t1IReJJf/SjduuYR9fu76Llch3YL+ufe6k0IBQPNsjfyJCBqJ1uPc9HsbmM0
6QCQnG1sTIp4SHWEAv5m6RoBOLpzI+G4OyQjYTaeMh/kBIF1kCEiNz3syAgMwSibOA+kU5ys9H1u
7F2v+2oPj+8zn4p7vRXbohZPmj++13pyAtRw13bWvZLNQ8cDs4zpuOmUL7ctBv6wdVNiYRAEIay0
jxplawBlNN0y/vRJ3TPiuyKJD0sN8Bnse6B77NyLsvpGIigM+tT7pq2kvrblcfE6rodBet6m4bPG
zEB3yx03GVqnvI1CIsPsY9awThkhQeSV/rEwJAl8G/VgNEUPuEDTAwhAY9tr0bKuP5/6gl8l5qM+
dGmab7XiezlNHf8gjPlbkgyMpkTBjQ3V7EzzBl+CqHkMPHPggNbcpSq5skr5SggkY6XKw8XmwWzU
zznxrzMJg/6UQONOdjmbyRlpZmimiiXe+rIg6r5TsPE9YAGBMks9KiaN3M/3wkDZmGdD+c6DhhFM
q9+KfLzrPedH1etPJW3MnaYXX1Rn9Unatng3oViXiCVBe4DqTJKNoz1ZLFw8aOC7WAzRvdGOtyYx
bn1U7ZFc71s5r2+iuevtCfwyf9FB12P5OQ/k3fggM45p9tVLKxDY06K5q64L4bE7BU2ECTw6X8Tc
V2/IIQDXtX9fFjl8vaVsbnymHjB4/Rzh3bLs1DYSrPZxwCsWOphU0V3j6NgqrBQXM2rHTU+udNjo
8Vm2cN4JsnGfCOFK8FrnM6SttHa/MyT1gkSO+SVqsmQbx1zwSNFIlmuQ1iRDxWEuGzb+I2IWG8Ew
VAJVbZjTpYF0nHud2JQQ3iQlRgzuXIr6IiVxh3RKfdjJ/KOPohvCo/QDo+nF5abv6sEPATzmT05S
NOfSaOsdNzJ+9JzXaEgzCeTYW5+mrMWhHB0yWyKhHUGpcfQaeGIYfw38x2xszjF9g4a5nTmVYZVn
4RfDOWW1FxouVBmh7B6PaI0rI1na+wHmILYkt3zWZiPfOi4medBjvB0VxpUjt2Vz1pUf79DRG2wS
yWExi5j5o5/735Byx8zFhAwgSFX7ZYR2OpQZBlackiRvSLnNfdmf6iJF32eJT6Me/Z8znw+0BHF2
wyaih1mTZQFKCX0z6slHwhx2pzmrSMP2qlOJtdrYxG6vjtTWxouVxMAXLMSGhearHyIaGvat8xmi
M8bHKjf8F9VzDw8+C1pL79yTuYgENVQ5h54HMt4tWbISli5fNYtUbLwztns/JRxJYjRcFHytdeid
EfZvbUTagSSHKBi7+Q0pg4H8qgbE7hhFf5/59XyI8+kD1HiBcMv38NdUkJav9uxE9yrPRagKd97P
nJRhV2vLNe9RcCFtbvZzu6DDGKXY9U43noyMYiDwLE7igvVa4CscR/DmA9C12AOWatj1Vduc4HRo
J3+gKxbt8uIauf42DoJdftuPr2uw+Os0x/jQlp5gYBQoe8ND+uzGVY8HNC1u+oSoAl1Co5+jpm8R
rFRTqNyIwMg5yrdI+o17MHLz+hyp37Ar4Pf1c3FVZrdPjeo2+W9FlWgCgfury+zw00jKKMzdRuMm
j8RBaEW1Khd++BXIjxEBBHCQOYIfEif13tUn85LNdhQ4rWE9pKn9QfSK/SIHpqjTUhWkYU3x2yxY
5KO9qy4RS+U9qUwKx7TGojlpnjPi9TZqtOwjXtOSp7X86Eqer0hN21ll7QnKbrERYMHQzevemUUe
RvHcf82NOn/sTX3a6U1ubGsrfTDj9rdq6ijtzLK6SNeernTn00MzGD5j3up9sNsIOlGcXAiexGAl
MNmqIh7Prs69nZEiN4RlbkeQh5fsRZfzclesA32VUOu3Wo2RYQ6WxJ8CbxDW3Wio6J1MsYbZXccK
dYjsnS+5cvTRdQ/Iit3AdQk8GiGnojbuTprBzxINTncakBgfoyF3Hs3Ynw+VIaM90I58hWQu9rto
/PlRGpm4UajZ3032jXeTzu6dItAc7xmIl5xEifVTI1IEKO5wjM26AW0bleCGfiTNIU7rh6YzfsSj
vy2boyBnQ645tQezq77P3OmncgEt7ssaYpDbNjvfbXzKTlB0F7+xtcdC4A+L83x4NS2uWq2Jqx88
kRODBKUdSqbcFw3Gm6VlRJSVZvzOG5+dJ9PNv6zImoKZoerey/3iGYgeB2sm5KbRl2fRkQ6iIV57
ZZ3vv1djR98yiuZjGtLqOEdm9k1ZvUcpRYJIYA3wZfH7lfIw98Y2l4iChr4pfko/40HobEvHLTAa
iB3QGPZ6qMG6w0PtmUvywXIVR44TowpOzFiEjgeyat+p1soDa7K020RRS183qPjdsmLW4WB2+w/y
jstqk+iTvFVOJR9yfkaCvykbAxs6ymU2rdEN7aox7kk70Y+piZMN+lNTkgBmJ8YVrqj5RphHeTcV
0F8C37A0xuSFlaiAzIbxqZ8qnEEmf2USwqy4I0GseNVqwzqWhsZkvm3pTFmU16xyPEm0WdJEz8lI
cvIGTwMC8SW3v6I+mUjay1f8oyeh17br2n2wM/fsWna6l6LHbN00ibelERXf7cIVyEojbZc3MS10
I+rQbjRzOxuLS7MgaZkyLLajK7tTEmtuutHxYuRnJx8xsNDC+99jf3koo0a8yJzeomQDf0YBxciG
1mrDNee7DMnsZoV8efU2JTwh3SJrbPcQ7D/tRB6HHsSZ3ktS3DQUBOTl5Kek1weovWjS8KyQuN8P
pymjYcq0c5WYz0oZgdWIedPGDSpU79THLeCDyK0PFrUXURKyDfpW0bkv02byldrO3rJX1rUuYZCl
BTdkJB75KY7C7t4txyV+wAozNODb3mmO4N3h466PwXszDkFG3C3AQrI9nMAjRQ9lXkzpeps9FwUJ
ewwbUdomJeUu51qXDQ4VOy24Ysa0Els9qcpQDRmbu9e8cB7rGWNQiVZx9p5BIIRpg0donA5j8YWo
yCHKYtw4qXMjvU8+0xkO+8SOmUZUkrvOGUkgRcW56VFkMQZqlrODQu7k97kDeiTbeXr8Y4yTL9OY
54uV5gd7Jt/dNJCizqiFwBoXr0wvkEgxWCQCB9Gj7817e4JOgVPijD2fXjGxyTS2f3jtWtMRULqt
LM+ngteDYm09Le6ERxa6ZgB09Qu1hh6QUliSI1iGCPimwMia+eDiOtDsmnmHYGKZWGJHEXVfrgee
XWR5EPnZvPUqw0LJQZ2n296nWefbNBNok9qw9NfMvQVKlSIrWwqUqXW07XMa7di+2dWwzRihlMQz
MAn6KSZY6p5x9WnjUySGGys3z0aa3aOd658UbSDqGPEplWVu1mdSGkbLXznfyXimP4EJaKERSgGg
B6mJBv4ReNXOGpHm5LFO5QvbrTAl0FX9yYKz4aH/EK19nvz4m+sdGsS2oILZe/nPCyY61CZnY4wA
WUJBKKlm3fq8eEO2tRPvhXjSW6MZ8UaplLJDuzeFue/l9KknmGMzfuoOBdfGdUJrnr45CDmoHXZT
AX4iKe8Q4KgkmTAmRKexUDeq1Tsw9PiUC4flXuR9NKk9bkko4FyPb0MF1MpLffTYkTjOsySo1ltt
D4QhCwt4caPtK+Sfm1wZ/sanjdlI1VhHbv7XLKqDiOnjdpjaS6bXN9awcSGOgEc29IlbNDdyQ5Pn
Bylbjo1NmA/Pl8kTWYbxgKkD/eXGUi5HkJIPZEDlhy7uTg64QIaHkU3FJFcTGmf2AFdQHka3ujh6
eZjNB6aPlP7jtKtRA6CqBs8+oqMiXJJhN7dlgR0ERSt7+NaFAjFW00HNbC1rnSnW5NoBA8CH0St2
bY7+jlULojt/IKEFgEzWHHGxIEQbb4up751Gg+TwOY4kJACC50L3f7qy2JtZ3m2K/KtWEUN7a8FL
WQn9UbVEK7rwZikrBxbBIEpegStYSAFEeqijvuJ5JkeKXuizED0fnYQnHMSMU3LoFRNRL8OwxYMS
LYzZ+uqUNM2WPNMPpV4NREqD79/jHkCJSdJNY9XB0Oe7pdiqVUFgPUXpxU/RHQwqRc4VYWM7rdmf
Y/NWG19eanxSoI+b1mhUiInmIa/M6Bjb01kWRM3UTb+cJ1TwbqQ/kMEBfoixKwf990qf7ulCjuU4
vrWTuujzmy/aG/xJ7stFuuHYUha0Zv6WrbIkWhUUbixckhYcomJp33HpTtqLJq7k47LXIPRI7896
SegOTsglKwKhd1u7vMx5dQRSfqjUEp8Vf25yhkMZzzs57DV1sZhSUQJZJ8+v9lHxwtRhk0cvzXg3
OJwn7vJkiJ45f7dL/f3AVLTuSN8nPUQxYpl0dzWdXlmogHE/Z80bBxEad/rDgaVGolhh3FLq0cka
t7MD73sxHxz7xUMDa4gPe/6ety8sW2j1aAa5DVo0g6jFzgT6V25NWMh7q2tBVxO3wLRDX0uFriKB
i4lbTxY+iSfg2LK3SWuNgLSAM24tF8WAPz231mxue+J/QsGuJijEiujwrV01iZvl9vO1aRVdiIiw
eHVf1uSeSnhnlujvCxq8nZ+q/GTVbBqoXlj1e8ZZRuNzXbd3TaYdVYP6lRk0v6zEL2kZuzZIXLlc
rEhtFzNmSd27h0SnCRXk9+uz90gMtBM62jzW/Ax0d7MTn9HJfatsM42ZlvUI5MvuWR+t+ED463xh
mGUVj2bRfXEBMftwqWOspL/gYtOhna7nOMbK+4gwiP3Y4rhdcsYeHLzsM96jOCbRC8X746i/uFp1
lxPyUowmn+LEdO7TxXeOmJ4Y4PZPkOXPWE4Y8JGG5SKv2C5R/N511nxxRyIJbMKI9eG9XtFOtoOe
RMqLEA+L4p4V+zzN50M7Tv4OA/oYGpP7nCxcNL55hlN1X9evI+JQvS2fc5hY7dBtBYFfm0o3TmNm
7caS/Vq1/BqZilWOMsbjwSaMascgPDtUS+zIDejAO5JdnWPe1dcU6Yrb1ttET241Y1yGLPGwYeP/
WAKxopOxJ76WQkxj3q6b9cHFWX5EdRcHkgZpo6+ZqG1LnTX7WXGNo3Mm7P5QDHNMFxI1B7+X6tHw
3fcsjdH4tJiCDZX695UbRafUzYOEdyGw3dq9+k15LFN5nyS7xizZlRred8mXbWxR6Ht9KaDmiBEE
olvhKdeK2xQluHPd5Gx5OfFTnr6N7TYcYpRM0cqXl9I6Am89Dk0fImpGymG1r0yyiWjDcifHZHnV
VnsuC4UimPxh2jUe1dLYhTqVhtd3dzFV9PPsVC53d0Zh6pa3KfM/y9HaG2K4jI6X7herepsL7Y7Z
wktuQ4a2p4NRe48kWljbbnU8av7AuN8+LYn3aFLn9S3L26I3N0lnpiE+jBfikh8k4S1wIDqLaXBK
FjPC1KvRroHE1oisfZh+S6ipiVLy1GGR+fdkjigZbS6vIafQ6nVQct6nuzSPLhodZhB8wvT5iiLm
xaN1hOWd71OTMiomhndHcw9XrLGP5SR8bAhWEqi6ecICRGSziynl1HZ5uffb5EfhsduD9FQZXIux
/rR4ybFa2MvLMnZQt/MAEh65wWXIzEdu9RgJtmvOnDojS4VSq5KTM2QnZm7RbpTDvB8aJFR+geos
tsy9xPmYOIo/M8vAcfrxmEpCcJZi0V/i0iN7bnTuBuRVYefUfrC2LEMSGTDBJ6acLF+D1Ft3cM0j
1266SWqRBn7fOPumGr/qnplF72T4+TEO7BYCeQKVG00Yw7e8ywvzPs3G7shLSzaq88pjp+ryFDcm
R1A99duoVz3KfNM9OEb3LUqWGjcm6IxRRclWa8vdpBlPfB4fVMrshsEWTiTSKsNmAZ6LhH0hsiSf
3p2CelKN80jrpprzWOjZT0dZ8ug1iTotODY2hO1ZjPRIoU4NNEJ2rtsh8ZDpTjnJeGwmuz1qDn5P
v0J4LXO11nqZAfMrQ78PKmJrTlMbVBL5A6ErjJBIXglVrP/Mp/SN5HPGElm2NwZECMIcURAqLd3i
vXqP2SE9CPqPrcd06kZqVRUyRyJiqikIcvB67WoiG94qOejbMps03N4EgPfqeXajj6LXtZ2lFkKE
XMxY6Bt4YQrDrd9WdCsI0SUdceopRSKcpo4YGbMXien00va1fVQ9A274KIycZ/0BwbN/B2TwXjqi
2iPQlD871+oPkyBfTTSxD2K61d6gGqNF0qtlb8l+ZhAasw4om28GMXv0PssdMaT3cyJu2iDWKS0v
ANGShHhqjkxDWWFkJsXf1Kgt8Rw/89rcJv5Qha4gUYO5NJUQIjc0C9QPJcX5gtyNY8QqPGQEYnRu
cWqJbekStu1T3GTCQ25A7l7YTt6CL9Kfn7tJpQcvL9sXobXXkpydb2xV1GGK0TwaarqWDu+hNLP9
gDz+SHQ9aQAqu/YV0pbITcE91qsLpyawrTTDsqvKY9LNxlaZY3qUSbaTUZmvY7CrjAp1D8zoM7Lb
IkQLwYnWLqINMOZTzddtuyX07eTrlznWPzvGCQnZHVqbkOuBy4E8AvZx1jKJTd+bGLF8+6nVYenK
opAHUsbM/wdP//84IfSaDPuvhVbnfvxMu7/orNYv+F1nhbfXMrHu/o5N9lbi1O8yK8sB/MHmfM2c
I49UN7ED/9Paq/+DMCrCsXTkv3+Ip1vZd8n/+i+BAgt/ve0Rv0AMgAPh7Z+O5offjfj/HS7E+AWn
+ZNhn3wmxshE9ukgUF0Kib8Z9ufcXZPvWDUZmG1Jo6Ylwk2b5pOlMJoZviRNVIIHxdtXsTBUzJ7p
Ymq9ARYVKd0IEP+hPAH5RF6+18mIUipNopOQc5+yRosaZCn+pPjUpRypgd0nBLCozIijK41/jh9y
nc2zzZbTDxVnM+O0SNdSjuneMLeQCKeT1JOFtefgGY8O+IEbg4yaNrEQaBl9q2Zm7PW9h0/EKPAM
1TTtG02HtReYLoZCRk9NdcSzxdFl1Eq/apHnUMO3RXJRaWkh2bEEFkBmaOlDKdylOo5iQZASZa2C
zICEbO31oy7Mizm915fubuly726SunYVfoz8wfGVlT1myJgZt7GND7GqjsOBa5CWz+bbJpMfvUIT
0CuMbfxr1UWWjcd1NTAjiHQe5pzZ1VPkRHH/k2xgzQ6LmIwubM/QB04euICYWlQ5bYi5IoIChAp1
k7sRraCXzKq+i7WZCac9IPVDgAuf4q4fksVDEoQhb3AMn/KPwSLRIDRAj1Xi9zgRYxPFG9VG9NCp
xuxDJs3dyYxdrzpwRNbnqWkq63vbYxIqR4L7+DV7oBVcP3vgmnPwlPEub1NGPk+RYRSXVmWkkKlp
mfmvgxox3XpmtUuWqf6BOIqMkEq4FioBMbLuVr8krfWdbcLHXouspeRtXO8QGdjWiXOteHMRQAwB
ovYlyGL2WDhVuRj7jBTUiHlQx1zJSENjnu6hz1On9qjNgTwQMkGwMuQnjrdqjbRp6bgyOal/k+lm
rCLEv358cDkLnAmkoug6F9RfRYqWTHwek6Xf1nGa7lbf516gImPPyTBgRNzhoLdLUdpv2HUiJpmg
KaAOqZyDPZr1ucqk+1i70tosXp1co8qoXtjN5VsMpdP2T2fSH5/9PyNXrb+5+HmJvFYXtitmfk83
xN+CW6xuphgp8n4b642WbrLMjPIHBlCex287y6dN5jsjlzXOL3WoRfsNc7s+nc1a5CzVmnYAXl7A
zfBba0EENSbjb07nxL/5k20GteZXB83PrSdBvCwG41KxNnGzTJ4TweK9SqrfnMy7mgxk7yQfxl2V
lMQSjW2fb2Ngzl/+bGePqCC7b+XgOw3m8QriI/hxEzkUo+1XBFPa1xxH8hHybXFXMoyhfW7Muqcl
4lsEhUpiXlgEBKQv80HnpitYM//3b+Mv2Pzff+VomVl4CBJD/4/EQDQq7jASP4yuNLVvJA4P75Sb
L3mSisMcF93RpgQOKoUmpsHTuwOL6X4Wet8+uNoIx3xIuxfUkBqCsmE+e0i3mJV0+W7WxPBvfuVr
ouDfXqqzgqBsTndzpVX99emkqElqFvD9dlGif8PjioE6q5ed7HWxx2bZ7HTuJ37xYvx3rN3/2yeD
DTGca+ZnDiTh9bX9Sb7rMwJlqdnytE22c6xy5R0MPOGsC+f62dMG484sBXyElCoaEkEX9lIOkEhI
eKIlQEPof0VlrF2sWZQhKmZxguiW/5s03TVy42/vkMcty5sD+ZX4R/1vnwkvq6ZSOkm/LTxEPYsq
WgYdbfRU9z33xzK3GfJj4hQwuTIPxbbRh9Fgwn1x83c/bsfDkDrWu2AsjVVOaHcq0trQ8Iby4KTe
fJjcot/HlcDpmURJvPn1KP5Hyvb/caWUxRH6r0upSz99ld/ZPsV/KafWL/q9nKJoEh4ZKTpzTx7q
X8/07/XUqj+3iNHjHwTVZHLztP9RT8F/NzzYzwQ2o/lCrcq3+6Oeskj0s9BZoIUnMoiT/D+qp6jR
/vpAQavkNdimQ5YS2nrj7w/UXNtJjKUIaEy7Uv96wJ/EraG9kIX60aAMYRUwlockQ4wy+0yp16VV
mOlZuU0MoGYDHI+wjZiQpsoTey5u79UXxXe7Xbr9Yowj/jJi0fy4+8Rt9Vm70SuLgQ9coUHSmO7O
s9PfuJqf9bliF5Ow8DYSpotCmTVZeReSxP2TO8c3V/N+WhZUqtaqm+O0NMz6Eoy9bAsc0oULtlUr
BLRJou8NMKOPzlDEMi1J+jSN6UyCHnywJV6HckZEejPGqW0Vk9Q9lALvFxoSfk5G3P+bvTNbjhvJ
tuyvtPU70gB3OIbHRiCCQQYHUeIg8gUmiSLmecbX94Iy6zYZVJGterzdZWVlsrJMeSACcBw/Z++1
8RwvOydE+Eo0gXkFX8/dQ12Zzt1mJA44ahO/7YoT+gW3lFiPYT50Z+RqXUcBKg4mdpqDWmmoTxI1
p2e9xkyX+Ers5L3xCDfnGi/rdDIw0bejKTtDVZbgWS63kxGwsaL0CkIylYsy/67iUZ7EHTT1Aq/p
LhFuwKsHpJK+SDyAdJi9uhraDWdxxAg51FvAO9/GjvzGYYy7FfzWnU1THh7aznmsWngSExLl76We
TDn2HFvtTZE3hyhZoJFSf625LreFng1eoeUzAoaOLEqhQ/GTIt0YGtl8MyJHUPbnI06BXYau/3Is
OeJ1ThJu4nkefRTVnyNzUpzn3NavCljIIhYXmWJXWsoGZz1kHFRbbb5RVXMnZ7G+D2eH/1kP3W6N
MHBGjwmznSmlugNHc6MP5JzSEGJ8Eg139PzgvxvzBfQLhBm0PC5FENf0QjhX803jAIigysfavI9p
g3omWzLayeG+GzFWmKL+QrcelEQ7XABjwBtVFOUWlyB3bzXvqgLj0PoJ0J9/C1YrRWCcq5oRYGLk
wOjr6JJillCAQHzHPmdtSZ1bWa7lrsKR1ltMYVNB0Z5Huc9OcED7DvYxnOlFucb3ZqA3mBXLlRYW
t+CxdikbuScmDY6sumc4FOy6wAJooBxscQMn4hIw0aYRhdjmkv7FWOl7R4JQaALzCS8b6u5ivMdg
aNJF0LXTqF1V7k5ChkfTPzQyvKmiKfiitHog0iKR9ByjEwfsO4EV4ky0vOAkcl9ksdZpWduU/lwl
mEwQfVs3w3vWVlN7qhcMq5y4eWhtfHMjrAuaV3awT/oZuHQ3nOlDP+2HTp7qGMP27ixPSCWkUcD9
da93zffOQn9rFGXvl+uPEEZyRGVXzwj0nUe9D384Q3078HL1sIRwcsk4dLR8Ji93F/fE6JmMR1T4
XjZklxVyvM1i8kWXrX3gxOWeDgIjyhSF1VlbCIA0uIT8RJWuJyfIDuVKT+NVtomw/ZGBIXTfsNL7
xmnImjdRrtjt+AWvyUMcj+iMq8V3xCBPNAmlH6lM6g3GnJ2yN4oTsy0ZCypn2bh5HQ2+ZeACc7Tu
UjXLFsqhuekWZptOUcm9iumE1RgIkVrpkm8tNT/PdqtIjShWv+eYIcjNUG0t7P6+YcyHXHanbSIa
HjULpWoWQSNK0fX2Q3yN9eggCAA5SbTY2BTfiAaZPtdhdhpQ66LmsMEtI2kldUC3sfl3l244f2+C
MQVXugB2UUHwRNOJaSynyzq2b0lc6TdhzVBJhEHnxT1848L+PgT5OfnEPKJlCMg9qcEcBPV9NgJL
KCBkFSl+37zWvy8hv3Jmk+nWZgA6goSns+kmlIL9fEhsTfnjOEDCDvg8mGpDyAX2T3AguqdnKTNS
OVxMYnoqZ41aLs48ObblqQxje2tjqvwPqo7/J/Fu8l233fnP79+K8rUdfv03/rHDWxDe/qv1I9Wv
/o6yAatZINAFx8Z/tX5MkmKFDlcT9tlRUqz8S4dUvFb0dJQYxP6Zw+6NBZ4cqr97PqRHrRnJfNiX
FTp7jVOGeWowxYy7BmtAGj5lvwit+Qpr1TVUpXbSpQ+5DcaVUUmT+P0vuCvxgw6eHJCvPWZndB1V
lt3G3Rh8B+hgI2bFHfgpCOzUJHAZZbGfF+iXw1SnEMka+vb4hdJzV7oER4VNvmAVaw2QviBPDexl
6eIO/J0Jhq3QMsbK191gfEaPo26LzE1uEpJWboJiYD8iOMD+UtojMjXA4dV5nvfjTT53MdHdJM74
CS+J874xOkZ5TUbTHiZb4BuEkTSIi2YExxJuzqZzMen7lurDy6hd7GpjW61122OKcfxGQ4Z4AvG1
qg7GMAVb15xmFFV9VhI9rnp2Vro96QMatadshH25dme2/IawT2o4Tgxwc53huIkiLd2IcNQf8VPL
C9uaynsZGZeZgky8JXYC7XsapDPDv96GB9J34U6gc/OJeKwFiaqCMzp1sTIQZhEtvWknXUe7OvCa
lSC/HlWmhyNs82HmDdMbUHBQZUrNYzaWyY0RFklHuoZWfytMGM+bEMcx7wIjG78MiQNft1X6ldRB
Z3Bx80pVR5aGtqxjuOlTBujBCbu7+hy3xfzokELC22Q1CTGcXhCX1thwtnmGFHjls4WfTFNYWEAM
ew1PSqtRx84vo4epLwOINuh4yKSbRnfeYH5BkVXSwt/3AHF+ZOWQMu9zg3o3u+QJ5cKxnuIIINPZ
Ao3PwNWpWT9FU5W3KARkR6tsqEOfXptWeJXb59+bua0g8bbT3OzbLmsvKoyCCONjM0oo5VwQZGGS
NtdxuyCl6YJYKl+BTnkWaV1WHrYqighzgKK0YaTX3pjVkn/JbFxovpYAQfEs9IlnzQosnnCFmifh
L47xn5/u/ptyRSy6zP/+DHiVH1FF1n/8721UuX/RahPsIca6ba6ntX+66evu9s8WKizAmBb0EYO0
el1fncj/Ou0ZbMNKN006dSuChIPan3TPf4VDvOyvkC6P2BAMMqdHTn7H/ZW4s5FFJo5iQ3HWhEcC
GtOdFsa69N1pNj4B/NaYLg5UZBdaMbnwFvsJFNGMpbjwtYpDGQYHWT1XGtWFp2tVcImyFJdNnfcM
qlbqTeJ1lGWUvFWwqto6gDdat6IC88KIipWCQQUgDcY2WjEMd/pcR4xEqzJBS06ta/qmW9HVs/Ra
v+5ILP1aLHiH6Bo7K0yLrsjkDUuIHgHEgkj3htGo7AAKJaJ+JA/4Ic9do/HF1IDRTpHVzqAX6sbY
IR60mDd1RtnvBLH2Z+jDkuAkr4GtbMa+WpazRjYQj8y5NVLmWAujWAD3BN63qJ7ljVumw2HqUgpw
M5QJf0aPZG/iEGr6GsXMNue0/bJfcjBCnDxmZNxAOEQKGTeSXwaDi9yUc7oAELObsxd33G+apb8a
t69+WpqkZLFbrtRJl2Y08vrlmAXYzPrEAroZuBU4gx6mIMnceT7urQApZMLm6AcK7gJAJftSb/XO
wmwSW5ZnjMjq+IuLT+9/pqPWgnQogCHqmMB0aDHYa3/j5fuaAGp8D6OLQxV05yV17eSX9UjzNpq6
M1EHzu6P1yMzwUYe6dB/pafyer0x0AeCrmrWmzjE9yS2PgQApvy8K9sfBgCRk/fXWz//y68cWJYO
+5VxGLWIkJIn+uX1MapMHeGajp+FXFqqheOZWY4JGskg++DS2EDeLsU2ImhMrv2atS34ojnZgi4H
X43ZV5vxZhaw0n7EY7V8FG78Zhm2HxC8/K+wOQjq6y/6Ypl47Agopwz3Q03ArY6Wegfxz/67IId3
HP5EWwhrpSxeNvbFUbgh4RUgGehgMb0TLMcd8nqddEQTFiOe23RB0GLUsSalkSQbjnI+wyYR17c9
Ghr1kJmagWbShg5GMYBiOkhqJJWbImpWJ35mKpSLSDmn6WoaQeZiT0Sn94BYNSY/Apg2E8LEqgQn
fmTAgZeMeljswctqP93EqvMLN5TasO+nxbonIw4k9tL13EApmyQ8xMKEO+cVTUvkz9KpXm5GZ1zy
h8gwKZQ2kbvM+c5SCWYbqjkk2zupyezLKDX2iG6AYOsnRMW5J3HbBuZ1wUE82uQj002QgxAWV1fk
EDYHurRQeDdKI4hQIJNiA1Zo69DKoNZGIDyfpYE2qU2YWlDgtEKtwXJGXoK8LawhvzQW9la/s/oE
I1XfMmY7oHGlORfkeapvQ93okt1gxxXdNeY7c3CeDzqnTFUPS3YZ4PS1bq08IHzLKbpEfQcGQxgM
hEWsNZHTtsVBL4vgK0A/jeH8Usb914lc1h8LKRLXKk1j8v/amgi0TwtA4+Qud6OkuZY4fIcb3UWb
sXfitIwvlrSoBq/NijzrN0E1Ah/lqC4QuphtMPd7zt9DfQ5MIUnvQlTiyedadHj5NrKJ4sulLzRx
WJKpn1HTk56KL8+p3asBWsvsE0reIMRCDVx66VQh21xiU32f0yy7GLVwxmE5VKvZRUtaoONhhj3P
S7rQ6fdQstDsLpZBQCUKSrRat6IB2Xaa5TrgXKPjHbWbqpqIOLNh4njbRn1pfhkWI5ruMhRfxbaF
m4ESL8+GZWPgIRuusnopwhU2WmfBV0ozaZ0ZNhkPGPtCo3jkt4jCbB91o22EFJpqEN9E2NtaRxbt
lNc/sFOKcYSkmBCLXDhujLLcSdy11C3TGIE7AGZQoZi055Y3JD874n6ahYnWHVQoZbKl5HNGn17U
mJ+BkrXBHc8QOBw3CmdK5ZGdiivvVrY0ySBeB7PD3nZ8eiRHiPKKXY0uRuwhJZYPM1YkrLN9OoZe
37n4g4m2AOaXtWFAXlwKEICHa67wUSM16s6cDlLQNqsYHm9NpuO0dgOHlulMOJ5eoEzZrkwCzIJc
MOYgpzWIpBvNhlwlLGF+1ExYu7SgYKjfg+OL/FzIKT2ZiplBIAkjpGYUUTTPnlWB4YejUQPgoL09
zHt81+qQdDGKnCKt3ccY00q1i5rGRsspRFLtkDra1qlFE4dYqqWHQwjYRBIzAh12xWg6mNnTwQ2v
BiJc1E1E10jbl3L1SWARKy6BX9gVu1JVpmQ3BuGNOXC99FM0XjEObxsUT0afyHy5mM2mQpVEPxSF
IIc/i5+YT57ZrNODhI5iDpOXk5bki5ejwRHufuLtwT5kkn5KnQ79QYT1GdEYNeATH71NxmDdiQF2
oc/FWHASj0VghB8NDY/eBKY0oNpJpSDnUFTI42kYG0lXDGkw+tGUQFTyHCsNiAcEY55ue0gq1d2U
ayPgD8CQ8YmuheKxW80y50VZD915nSq8PjUoEGfDWXZ2L6OkdofbP3oBcx5jWo573DB4LxLWdzQM
K4ogjOIGQ2k0FuaVO+k42HrscXKBQfP+UkfZb7yyWEvavBbX1z2l+NEri5qyYnsg4UZvhmIHxytH
JcZ0w8SodTcrN/5cSTrGsSPCywCn07ZEQoEoJKpO3/8k6zv4RdWxfhBOqetRAsK+MOTRRbu13srO
LmJfmLNt7XnhhN9NdkUSg2i3uecO3WHrg9vh7d1AMWCQNkhBZzlCJ6njZV2QMOc3NRMdt1GPs98V
7LHZhLz6/St7uwqlIpMoqP02R9Zjav8Ahi+q6LfSJx5MSO0hTWSXAKI/XmUddQlOGGtl+itD+0WN
U5dUP1keA5SPutVhYIrTUWvtH++vstaaL38lKfjLObAZjuLmZL3X35hsxQigL6MBVYN+UUSZMvLI
0LGWLu+JNVIHZEj898/0R/PV/6Yn8HUC+u9P4NdkYzSvBrDrP//PEZzAGIOmpYNujPmmWkez/wxg
9b+gadKiJIbGxHDlcEP+nyO54aDepLNJo9Hkuf+vI7kw/zJtfT1l6Nw89h8OYI/ueYkqbl2ZxirC
DNY5OkPYJruoUQWt3zaVeWHYeXIW6+L6xZfxm4L7zSI8uYremMkDzI5xLPrpOXRqjpKNP2aIs1Rj
qH1dz8GfbUyS71KtKet8mSyB4O/1LZ84rQYwSDR+Vwf6gR7tTaQafO6Dlu0YTxn79y9qPdC+eML+
Xg4lIl8dYZjO+gu93JNaMw6AGdHpIzQRZHuNaXBxmP2BsRw3CXyKM5X2jBZ7mCj/yco82zzcSBHX
ns7LlUvGGjNlB0MXRlLnoTUUJxLspTf29NvqZRh9ZZrzaaIwob+/8vGJc/2KbZZ10VFanKKO9uEB
okCQZ6zsMjr3mLGAz6l0tN9OF37QUHi7lKG4Y2DZcI+v98/ri4zDoM+GFh51SHd4U+rUUDWAo43q
5tl//6poC7z5LYkPs4h7JcFQRwpx9I3mnC7aNqbFlBE0gkkevM1ZLGx4D0ZkFVsKweYRt+UIXq2W
RoyBbexPM9Xnj1kdSLjm0Zh4SZaoC2KOgjthOVHpN3MaP4NtlsSoFfbXqU5L36wmfRcgvUIEzQuz
ISrcq5AmM1REePx1XjIoK0MwPBJ2HN8ECL2hU6dLT8xy0HUrDas1A6aTkVBwdOB9oRUAbpobpn4e
IWXAi78E3TlnTdJMzb5miGok2nKneKH/CJamJ0PUjbOW/1fwxh4i4T5TybvaxqqJW/Xrug2RNxdW
cLATw95YpT4/oLEMHsch6+67VgTPdhkOK1itKp5oW9XG6Zi0iuNfl+W3dJ1ReDscCyH+M9WLafne
zGo2b6OmRI5YMGDm1G2LxYLSZWoPiWPMPzCrGrGfqzExqHPz5DK2CExHdg4SwZs7RBnEAGth7ytn
INm9CNSEVGSCllssmKV91ZGz4pmE3aBsI0P1W0tZrfuBFek1Zb2lHXqXc5VfVN38o7KK8CdCiZqY
qaTuT/Smjr7qKomxP8UtlNtGWTdLJ0eq3cTOnsC106Gn8aVf4I6vL0UyL9vO1kNmqzGk4mWJoqum
c/WzvBJmD6YVr43XELReQLiiQbAZAeRania7cTfMPUOaGdTishkAyvZKansY+NalIdt2YuScuE9u
nrXXsa5D0dERbGCIzRr6oRFiEi8Evd7jtViSu4BJCi7QqgtcVGro57w2KeJvVZUSKZTjgDhA8gEx
Y8xDo0Mbq6Yr0Q42jh9MZls9JoZwDw6v9MOgtn0N/TGezXFanuY8Qeg+zQvGst7IEHMRoTI9gz0v
77Ixmb+1aPjuNb1ZcAXglMJX7jgtnl2jsr46ajVrYwIdSOuwB3HP8TvbSIJN8nWyb50OVeNwFIyH
76CV5OdGr1o/xuHw3HWIW8LRaE1ikwr9WvRGW5y//6ivmW5Hu7ZrrG87epTKQMN2NMOr+qWUmMta
f65RyLYuGBjnZHRvi1Dg4J22jO9QQ/B19JbXF1+q+scoD5BWAWdcKvd8yq+wlPpMo5zghnZNJrTd
1GZ/b/D/v476n2Jtwv77OurLt/4p/h//q/n2Pf72spz69a/9U06RUMt/IJ47giKXMvpf5RQJtRQz
9EQRmYp/TAD/GhKLvwz6OCQBIue2lXQ5Pf2jZ2PCQco6IjeYnLQd3T8bcPw6ibyoCjioU7ahj5MY
Dm00F0fHtHCG99mysXkZUCntBA1Q/jM2Xdjc+PDU2aTY6ESDTngjNKFDtJLdfLfQxzNOB3YXl8iT
PHtucmP+EjKCkzthdskesT7R6eB9IJ3qJJ7G9ogdldCGGjk6Fi3QVnWJt6kJnxREv1NKodtioYnX
OHpxIKuj0zdSBs19nPCoiyLWngKKms92VRg7PIsJCFPjgR4gOqm8wzQFBpHmUF3I9rRq0vDbJFae
a5hihont7DObNvFeQZemp2loIpbi0eBzAxPl6aNn0lRCPQNtdunQNNQjdV+Yn1RgET6iteamCuR4
jVKRyNu0D6FHygBDcGsOePwGNzLh6XSQQWnTpxz5uiVPTqs6X8xD0E62PAPyp8cMZBqQj2EkBlhj
01yhpAnS7oJmLPALzj8XiVYhf4oLW32FGxRPt0L1TXG6BEl2sOmI/gwiKzsxI/Q+fvRL/ZZh4bqd
ojJmezBcZiaktBIAtC+KOkh/MOpMec3kQ9pn+R2T4hmfYjAGuVWfgCIitWSgAAyZjFa8FSMCWkCV
DM9jNHEYBCGgO79kcAoerqH9xCmi4SOrFSh7lx8Mjt0WLj32T83PeXtU+sWUKyxRm3ChxXcZa8zP
I5SGRI/BoQ6FheAWuJaBtOsC4RMS+mXoGxKMezMAflTo/dPIW5QPzB10QW3SNqdj3btQJ1RSOufO
0gocUdYwBFsYutZ9AM4Ss5rl1ANVJNFgFHiO+63vFcSmUqXuwW7w455X5AgtZMM25BfvgmhFCg9T
D+EIpggvjB7SMOI28tU/WyYp5Bszl5b5oBT6brUE+eyhZh3ce9dNnRuHoujSIsW93+lRl17b1uQM
nylZCnU6BlXT3o2aY90Fi5s8RXohzau6HKrHCWM5TlIb+U4xxSsFZHKpvyeEiJ8c3orppq+0HIY3
+XnRbTvaKS5KXjf5BuzA+MMi6yYE2qZxCi8J2v3R1mtP0q5EFx2I1Fnw2FVAwTed0lr3jGTzBd2D
orqLjDY8LGIk+AjtPuxGe4pFvG0KDUuDVoTjlYPaDznaalheOBK6O4kO5LrKe3GrFG1MH7ng/FAg
q5r9oaBO3LQppv9hhDWqUqczzlBDz7TqmHviIRrkTR3PQQsKBBRWssYxbSl34tPYUI3uj1oV0rgP
R5hUC4Kq5ZvujM24bSRhgl6EcLU6i5K0bvdkJkXTpsvWirMIu+rKMQK99qdFS5cbZO+ML8uZe9Eb
jdowr3Ka7GAMZ2k/NVMBs01bPcqkHDcVDOMk7E4rCOZEG/Z5NPtRTQbJNk+tATemoEWK1sHNt11T
RsCiDCv6VqW5uS+NEaOhCnSM3UVnk3KD3pIBhwuyeDMagh8lwFZ1CCuTxz+xY/PnQoP1UyUmceaq
kZFxGdbJs+1AQ9qNGdhhr4Nv1UMvjvSYlgbs1DPAXpWPd6+x/Km1CfgCAVr6cxkWdytd7SsJhNRu
aOXKewZe6mEyelhlLpDncI18G2uvUkHbc6vY6YChP26xy5LhEG0lRFS4u+j2dnNt9iEFFpiShRjp
K9q47r3Gxlp5I7MyZxd1Jt58uwIE7NQGCcz52ooHc4H2zauTeslKbzIhz+0AtMWw6uNiBXQHWgiK
uyNTUHVLJOMDaW2hfQoRqiSnTvtl4WkZjhWINltELPMXYdjD11jLFfLNoYkW7GC5DjouXtMMIHWQ
g9qMG03XB+u8KrH2xmwetMByj9iH8THHJrqNRS1BufZCJ+dtwLVaVvjSPbjJiDM/2aOQqTl48Fnr
gcStseYbBaJAIqxpXRKGkBUGQptC596oG9GiCNFILNeYgxi9s40ldTQUS3vNzSh+ZWjUUtVNyglV
q/HN8lI0zskgQxy5xULH37uNwmHNrp7J+4EpiwfOF8RZ4kLP0hCImGPS/wyI14ADNIDzC6e+3/aR
LcdDriLicbxYptaUftLIfcWBVZlIJrdJS442zG0A3s0YTvW5mfBzolYyHhVK4vTLDKwAyo/TzyRz
Agb6wqnexmQNoqjzxhwQ3EYP8q65ThCC9ecBySzjPlGM4fZqattnhEntjTa5HYA4XEXosXFH/yTX
h555YFhttwGnXQMtlZN4ZAATLTeA1fMC1Zadjt6giVSd5Jzw7CuRyrg6hKZoyOSYdNIdwop5H0JY
Dov8BIgfARRprehO6pYPn3g8ga3lt6C51NchVxVki7mxlu6q4/iYeX0eoqyqknxsdzbFeMwwsS4W
6YUJm7EUEaW5hCSTn0doYk/hjTfj+QhJVm05Nw9qOdELQEeXjC0n+At6kUtSh5so3RH8azHfn0Ls
hyIexGPY4trHXLgg3pcNeuBLEGjp3hkhRnRckXvH1Kt02FLIMLuEyD6YZ5k+8H5Km1QbyOOkA11c
damBdsMZdXWlFzZx80vf5Z2XrPX+jxZ0V7lxUK89oFwOGxTuU3ipyDT+oiqM8zCI2DSbmQAjDm8i
gTXoGaIXjwbEzWrdcszysbT7eGVlwsCo1mRJb06YxJ7mWlgDQ66i4osxox+705iwzvpGG9JMnLFv
uOY2q62xQ25nuM2zCQ2muQOIVLjbMskHUCII0BQyix6q0qHJbFM/SQgJQ9nfpngwu4B2Tb6JeSLi
aZPVZi3PQlNPfqBNs6otcDUGahH34vxpyJEWP/bdkj0mTKkJkE0sPmiCxoPfNCtUtYV0J+PTWQ7I
e8MCChMQAaW6fEdlSDx9PvWQdToMYee9G1jLZ8NZQgJRZ2JHtktdupC+SA0Qj0Q+4bnKZ1V8grZv
PyaZqddbwidWZBF0d+kVhqiaLXMypqir9RHWMSZJ5IkS4fbw2GPZRmsMPxdMteP2A5F2GkK6IeW0
DQwyRGmfJTL7GnBv6xdMBmHEASTIotNEhIrZp1XxIrAWEgdgTg8dlyjr9SSmIGYMW+CsRrRq6yF3
8BRcGNMo7gsoO1eCVJsbB9/pjNbYkNCGakb5m9YCb37SGbyA9ZJquI1mmlWWA/HNqzNTcpBL3eZe
d7uqWvEmfe+jTrO1bUaYXnqVqqpLrwxDBXi908LdL/GstWezSzAkPvcpBtSk92cBoiDU+m0xbNC8
OI81rSvmntw01hdQu3nqgzdGbzmnc7+jmM1wAVZIknuNVkvSm+0zcKXptuoH42RghBLtyQ2rPi88
qvNOzi23aGyzdVpcwmkoIGvD+NSvA6ajV6AczOelSUZoXyDYr2qrinAjUD4COdB0xa0vzQ6dvslN
o8F1rTwnROnltzR9XMgEIzGuON4WIN8D5BULqJhrHhZ6S3hTSEuJnvIUidKOHBxYMsKMFC/bPAfh
XQ/S+lpqaXIouwGoVEjeULdJl9IBcZbq0zfV1DMoYrumbdFRMsIwazMrp7TG/nGOhjG60IwAiUHZ
NmiXyHTSeT+Uvf2JQh1oCEycXUKHVXmdxHWJhKLnoZEJbS+fQncA9TLa/X4Bpv3JGlbz8xyayR5p
DgyRPAosd2t3zfQ91RO3PM0JWMm8liFzzRAEcqqnq7EnEnHqjXw7gkUBUDixu38w7lkbCi8PhHTo
mCXRHmLPYoC3auteNWsbXvR1Aa13mkDweumiwi9JEdBqzCIMAblV4GumWP0kY2IvF97t4wef4Kj7
LvgEBIRhX1WGaVlMKl9/At6Y9ZLG7JYA8YLLVsvNXdDO7fOLg/qnv6/opajmeEC5LsOQGjQNXVtT
f9NDXWARpmhYsNZM9DJ9u26BmfdW7BJcA0HQc7WyR3ayTHwLlFM820aNYwVvhWXeIGmNqg+a1W+v
27TXM7ijsB7Z1rF9t0s0UA9mDGMJZOPOsDhHF8EcXr9/3b9bRTLFcUzJc4MO/fW3mxrE+dgRZbxy
yPjghGJSbQTFB77po244Xy7DQtdA7SVwJWOUe72KmhzOb4lDrhI8eFwwDGhBtYGnvU0I/i4/GDC8
vSbbRpzJ10ezBPXo0WrS4ajeBWNBbeTy0MxonbZ6gN3rgzvzaJTMVTm6KUxGGIpRljweZDA66Hnz
8GwEiNNBdGiK0jGYQcjosiq2tC/jj4ZER53+dUn6+7gBGGFYkoPn6y/ShS7BW44UVAIE2ucmtuQn
BaX7oEe9daMvY/6DnX/a6Br36Qf34zoQerUTrHutIWhDMbdZb5fXS6emMQlA4vkmNV1enSnniudJ
rXp3OgTsXh2zpok5XLcMH/yeb+4evmRGiTZfs8KIvaYEvtqDLL1yrdmklZBmzDAwGGt0i9q8p0kf
JuLx/SfCWG/5owtlEGfye4LcWIebr5eDgUKYhOFQ4AyS107nTrwYkmyeb9VAcu+G9W0SfSN159QO
NHGFnesyrtL46/sf5M3txYSKbdcw5OpgxQX7+nPMrZ4Iqal8k3QMfryxAHnrGySuhhugwRak78z6
8J7+za9ssc9LYaxbIbPB14vGAbIbePpsg51Sd3mJvMqA1ukq4hALfSCpJXSWlbLfkDdw+f4Fv/md
lS51ZoKIXily3ux42MXXY3CUb7IBCZ6uFqZQsea0z8TccI55f7Gjb1euvol1VkbopcVy7tFNNbdW
r0/QQYnBbstD35M4BEbPeshIF4LOTnPwgwWPdqV1QV5ebLX0fLnC4wUrN+kiQWAkmTI2LdFEDX72
8X7+5rIsYds8o2tHGMTMm53WIYe4gku1AedVbRsiNgiBbSOcd6NI9pY+ffTiPLphaFWz4C+X9aqa
to43WysHITMEFQCXUIpH+Hnp/cTmR9NEYa2nFUSKNA/q+z/e0Z3CoqhcOHYYiF+pTY53BCYcDYOc
VdmojU9Al2csvf1TJqzpgx/tNwsRS45mmP/yTjGP9oJojo1KNBh0Zx4LIMjhvCHSmFgikf7pcHod
FeN55IzBgqs3/fWTN+rjrMecBABaVIn/66IyylPfXS/v/a/vjdqdtVBNUFYwOMVFf6xoyAJUt620
ok0luSKjIjmXnufYDRdJTUjQWbDY4bUs2+ByyTlvecz7OjKJp3xZCeSZlV2gsszG7fsf6+2XvXqE
MGkYOnhg61dC3AtpUdENTpW0RKGIhbNdQMwvkVl9snXXP/35UpI7h3MyRcKbLztesmgqCEPYGPVw
a/fj7ZD3tzp//vNlKF55dxnGysY4un3gj5qk02Ae74yEwa+RZVszcUCqdE32H3x5+PvwCUjuVG6i
17dP3GOMGVJ8Z2NLHFoUL8El3oJpE69/ev+q3j7yJl7F1UKITQDJ2dFSdFmytAHMtKHKSvY0nHm+
4dnhbk/ZYxhxhBcKc8qP91c9OonwzFP+83JAMMINYh+/mfAAakEiW7zyWbRiuDlwXo6q76/ctuM+
jaLxfokbdA0OEx2UzfkHlfJv7k6b+9PhaCCx/xz/lpyYRwd2w/r+HyrxydYz8Vhma22QWzkf6P2r
fbsal4ogCFeC67Lu0cs/z7Oqx32jeXUz32q5Ru/b6m7/L/aCtwsx7bOprPAS8BZcfVUviysyppyQ
FHm6ncv060lgdvYfPQkYWAHorOW4Qxbz0ZMAPnmKV7/lprYWQnj4je7qqR+YXPGnP/3qLOpyk2+P
y3lbwoxd54TSqPjq2uRsfbZzPT77T55tboRV2oY6jh3bPvriMqWogGtGpY4ZlQeark+5NItDEnVP
71/Pm8IBiAkeYKSqYFAovY++OhVpiHQ72h2JaSR7U42D//HV/GYRwHQAfKi1nbeLdHY+x2XiBF4m
iwJueNQ+80SZuz++FGc9xaM2YYsCU/T6ZsvHEt1cO5EzP8jwmvdLcai7/qMz7dtb2l6/L4HoVrJR
/AJjvXiPUN/GOD+7wCMVQEjf5NoAppoJ5bMLGewjsfdvl0MdiQyRUgRrzuuLCjAQBDZjIZYb59sM
CcppTSTYZWbZ0/b97+93S6EhppLkMK3ePKyyXsiYDNgVSOYNyE9w4/Kgpxzcyzp2PvIZvbklaD+A
gyKLTEJIeHPWxMTjIpzBMpEEurnTOP9t9Yib7/1LerMKVaOJHoKNgfuBZOzX3562pM1gsowXr7db
S9vVr2YQ9u+v8uaLYxW+tFXvyOuYd9brVfoqGTSrSQMv5NA+7vvV68ApPbc/U0ua9QftjjdFOKuh
42ATouCndDx6Yqdeto4VAkohyj2+k5KobCz59efZAKceJFb4Adbqd98hhiEkJbwpqOuO1tOTxKmZ
qrver76yZgEWmwgA2r//Hf5mFa5LcjmCT/umZgo42sC0KMGVZ1oww0ufOA46wVTP/4Cu/q3D7e1K
DjsdNm9ULSZn/iOVE6Ya1LwxhjOR1z0e+kl0JVAZYha89y9JvSlluCXWysylQ8V+cXxftOE4Fihe
122PvXtw0+kiDsDT5AgSzqtWwgkex6q8qlzmnUj4ZYbNbk6QeDTgWsitTwlpYUoCXoAQVe2gz3l/
jsSh1T2yYiEV2nN/2XeDelSlJbGXR1l7aRv5che5M70DGp/z7f8m7zyWJTeyLftFKIMW04gAQlwt
UnECy2QmoaUDcId/fS8ky7p5I9m8xjd9VRMaRUYEhPvxc/Ze23cn4IsDkShVEgxIuJjdugXQRkoc
nLEeh/+88ofsXAknSk8MMT8NqXTKS5N62RfhYQ9O7O2U9UHhHrqnsS6cHRMc+GoeAeAfpO7DjIS6
JnWxP5nO4wA9Tx8EmobbSFk4kUM3S8vY7RyA4dyY6IdeFPQh1nJpE5buqxPIki68n0AX/QaghHIn
DGaaPv98O/7mvtN24EhO746N9fq9EXUosMsE0W7OqGFFZbRMn959jn99O8OfeykjRhq9qHTfrgUp
l8P0bbYHN+xoJzm1Su/baKaGlEZ6b629Pv+7n4WlmIMWuqoNuorT9eoDu5HwiwDvMMqRSvyhIlxH
dbu8pzi+vnh8Cgsp/VU6ZHTLr0XAZWigVkXxsSOrnVK8oMzS+JVf/vm3XC+kfEqEzIzeIwsBLbmr
5TqtC3sWuZnuSOvobvACZsRH1CkngAbp7jsHjb/5SZzQeEEp/SmEr8uFquznoutmYzdLw911DdtC
xvTyz0XgX8kV/zcCbn52Nv9BzLh8rb99Hb+/ETJuzdD/Em6c/6Br4DwUOggPGQxR//7pC7HM/9Av
obfGyIbDGq/y//WFhJtlhD5KCElzE0H6rOz/FTIG7n+gMtJ2pGzfDrH8ef8CdPz2sIj3iTbCn/H0
vBHbN3z7jhuGmnUlTCuGGiUfLEarehcYmDt2GHuj8NYahixMZpGh0+4Ks55ujaWxgk///LJcQTH/
/Boh5QY1FD7A8PqM0HI+ERHiyHgF3UaMkFJuROJFBMNgYX/7rdCajEw8m/XGFIUgNo9RscalX3nr
CXF6+sAKFrhnuHYw0wkbJFGuGhHpYKldkOwHbps9vvOd3750cArsrQPDEoKNjPt4jQEgmTVC/945
BAdBWjaddj0WaTABcTX7myVDuT+RAvGMxLGMDZAJZ2g3NMQG17rJFl/AnUePTYhSGr63W1/N6P78
alt3yKG2ovd33RGfmYJHlmE5zPCt5iZYfbWL1qyMVe4siZg0QSGFc26FLQ7asKwTC+J4qC08ZO/U
Ddsq9/9GBP/9IpybWQqZJlGJv328KjkMqzXkbuxqcu92bpO2P1bEAo/QHSXpTXRhGRWiggDum77T
GXhbsvz3s3+SSGgWmlR9bz97TAtthWnA/WH8aNJ4UdAnC8QLSbWEW2RP71Vo7gfUAO88Gdus9+pX
04DB18KplzbMNetSzCMz8rB3YjLSgdSjFBp2BmXcSYRlALdENiO4O8J4Rzm7z3LGTbTOqnkKqvTd
/sjVlGa7DJvxjFEiHWC2a3+7TH895OkQhSNgrdjujckkDhT38KG0HOLpO7MLKFumtisvY7np67Sv
6q+9pS2HLKAh+/rOhfn1ltDboK/PkZMmCh3xt99FQrPWaSWiOBxc7AbuQiIhTcf0jqQdtHrSr9Mv
Bd3IfYby8r6AbfJhMYrhlZk+lO8WlwflW/9ldJVxq8rCO6x08E+ESqTvLEi/Prc/10VGO4xamOlf
LYtTQYhSYcooNtZ8xthjkj41+Kq/ncbszq7T+t6dXfdlpbX+zuHh13eXQyStSaY66MtxFF49tt1A
3Ps4COSE2jQTlDgrEbJzZJQ7RKDmF9Rf9ify1vQfVZSrk+rC/Ea5aFSqMJge/vl+XbkoeHb4BpyW
tmcIJwX+57f3ay6z0lRrppKhKCB2VoPyeVU7lrXbCWvyc9tE7XqxWaEf9OqG9jlaBrw5U6FCgMah
pZ9EPSBubMlGWz4h5Tp0beYZiRh1SZbQJhBOHHO1bg2P/nrc2Y2ajqLtAuCcQV1HpF+ooX1nTfr1
jYDdwh7D20lvAPn+1aJU1o7vFVa1JK43TRBs5HwiUbUmGEIWhwXjbuJUzornxS5/V8tCmKyllvfW
6O1D3qwRfAm6iVvrgJ2Jv3h7aVmSs8LvFIwgv1dgLaYBlfFilsTdTQBSm9o9/uubyeaKRGQbZKCU
uPZNOvOoemuN5kS5q/xiOl2XVFPtvtroOsPDQKjKHjKtuh10199GvWdeViaLF8+egidQsd+FreqP
i4ZAvq52+RGNaRYHi3eTW2tX7/NGNCekN9myy72GOOjC4OTAUe49x/Nm/Li6cvwOENpUVSwkuEDf
XjnQJ+4aVumSTMI1Yeq55hT73Sw+u+j5bjprISkkmjcBWdafes5jiCW74EWK/mnDJJDZk827OrX9
Z5dtL/YKT+6GyiHlqnLoqbCCvrMf/LSIvr3XIeZGVAG807Tmf8K2/7IEz8gAAGCMEoXwuFGIa+bC
pEI/eGu9QvTNSeDlhTnPnt3AH5bE8AI4sLuNAZwN8FN0uRq3Yaqb1y70pwcbRsRhMpxmG4Hp9ZPu
FBwo3aoHZFQfArKZzsuY3hlOWWLeDNhiyXNf7hXxqe/UQL8+xNtrtKERNv0IN+TtrbCZHkAKt5Yk
nc31lnPoHC/O0j1Qya1AQ93ynWf418+LzK2Oc0348nDFrvYPyDiYSXAFJqjy2s/OZHyn6MDFMYzy
m5kV746i/+bzaPLSXNncv9v9e/v7xn5pJty9BHsKz/0Q5l71A8FIcON5pJiFcvDeWXCtX2pKnE3+
JiTzAYzhcL66oEHFgDFDQJn0Y+ftZyfITCCpzYssqgFv3xLcGzn7zjAbS0w8LXLseW6RakedaT3O
wZS94noz99Ok/Hf2pV/fOr4ZYxbsB5RyvFhvL4WcGJaTT6mSqHaqYwqA8GOW5vC7a3++VxNRog1T
2x/TtDQ7x27FO33Jv/t4GtRUclSzvPtXy2VHIkiO4nxNNLlRHwDCoeWOrKPhNuEUT2JyDvCNv4eC
bNK8NIJ3frz19jS/bYQ8A2i6MNGb9A6uH7wwJM7YCz1JLh01C0yVyHsdAYQj6l1xhAC3fiVUIHic
0PAXRACeRzNYHpwVY8++DB2MuHOfGju/rEnkntvswz+v7b9cnc0Sv0mrNmQHwI6tnPnLAkN4diEb
E4yuTylwIizEfuiyLr/F6DR8lp7zO0IVoqF5q5K2FuY7rY5fSxbURvx/w0+YHFWv691CDJ12IuEk
ZTHaxjMCwO6DZF4n70vBWwWzt/MtxoF+P8UIo8nQQqY4gtTLCSZTJWPJf1v6b/Inhq7E+qABA1X3
9npkKbbgpmpd1glJcsoyGQ2BY910p4xKfgms6XY2Wvf8r28CY2VkeyFyJB6G7Rn6y03At5aqCN5N
gt/C4aAXLdYfaIP0cW384Oji/Pk9iFrrBMecv9cZdv9eYbMtR2/2GTrAW28AFRQqQi7A22+gcunb
+eL78L0des0Ey+gS/RmRxefVNgFzQmVvkPzPQ36o+Fduc2Pp5KMzWYs4tOXQbg9v2nTvvLs/hWDX
38vfCBSUOXwr7+p2FP5qT4jygyStBlLX8UYs3j4K5lbuJ3PRecygjfy1lQsDLb/zG5D0ixAIZgvc
Cgo5lbWfFuLETpHV6Shpq5XTg7MYZnDode69ANUuC1wzM7ILIW0SwIi7V+8JbH9dBTxSBeh9IErC
U/zLCGbsmtrqrYl+SCXK9LR1S+pdiNXS2eeMhp1d2mYwcXJHTDDRohAOYdcGBClXrlfF6zqt01EW
mXiwWv7LfW8GTn9w1nUo33kSfl0PbHZHRq2sWtifr8//QedPdQEpMzFo/pCnsnrnaTY/DXYd3dnF
Wp+wKgE367vj6ttF8s/vwS+bJgUOBZoPyIeuF0ynt0+hS5RxCsgyIEvRMZ6rNlse/ZyYtcri8GCO
6fBO8/Mqq4TFmQ9kXWZrQKXjIjl4+4E0GIRv5WQ85EE7f+sNRx1rzrwgaaElpI7hdjGpUvLEngri
P4vMuFJVd7ZrFiK4YM19p4Pq4BG6cONgqDky4R2MuK3phjSZDj/noMJ2chXUVysJlP98taztPPf2
5UAqgYKSZjEvCD/i7bfPsWcY5lyYScsTfu+MUfRq4ce9QTqdfWwUZ95aGWj90mKdbskCSgEWA3Du
VR/QPYIPmgx+lbXv1KxXaT7bRXXY9PhfgKSameZ2l/+ymmEsNLteOzpJR5zOBwIqxbob7LT/QLBL
2n1SLmlaZ7xnfY6pePG7uJlH/3bSTnCZPAyNO/gImEXFTBZftMJ/T2RDMu2NhM9lQl8oFu+2t2X+
P/niqOBZaDceLrOLt1+cJ4FYJfxBiRWqIIe+3Egkxtj2HtvAT7+00zCt2A/rlvahM4dWXFqW/G0W
LfNutmpn3nmE8OR7aM5454wgC05zqhC2K8ag+Gat2XvKA9cw3/viv67e7FaMJZCTbrVfcLV/yH4K
gElbOikGk/A1pBnTV5yiD1aNBADn3ZQ0WWj85o7CeMrsXGCEwaAiTdXel4R8vTMq/Slte/tcImBm
uhgh3oA5es29mZyFUwc1f+IH+FOy1Fl2s62KS+d74i4Vft8ckEteGA1Flw7y7j1GsOaOvzgHZOy+
Myj+m6UXDTlvB2LNbdh5vaOvdQdfWigqnKI71k66VhAre/lskF+7tSHsGwfXejJNgwkpZ5w/qEqR
feCKJdYwu3HOj/qxYyxJAOdSv1O2/80KxAkI6BOKA3a5X5XQbZsFoznoZEwXw73raF8DPU6L/tFQ
I56BGuJY8MlYoS56NujzBIOqo37D2E8BVDeN0SW5CjrrjnY9veTU83v/EKYh8fXYdvPmou3W6Q49
eVj9AcdZ3iW1LigzwcD9N4fy/ztT/rsbz2BhqyZpjrAAXC2nRAhWpJ4tVtK2WFiLHNKSyHC6qjIz
0t1I4M6dg9HuLJfs1eCaPDpj6Z8YuIojyV3eO+vjT1XI1XO4QaQp4pBf8XOuKn+fu5fPnAyS3G/0
uTTb9r6duBsH5uFk1k+OFU8rubRtZLtxqtaJjpIwH8NGEbA3LOZpmuTQYAoMAk4mGZ6+LndGE2E2
wSa6aCBN1s5svAbeAhO1ycvfBntIuqycvhWdKr/UTeB//NdrPkdYhoLsW7xe1vVxYiyr1ahGP0rQ
elgPuVU5d/6YjUnU1tVX0C3lLquGPrbNYmWwkUY/ikx+40b0By3W/HkyK/udiuFvtiF6YogwWOG2
zth1j6IkZZM4O50mpDSNtwQq9re44CZA/q4+2NDyjn5dz2R7Wdk968J6UBRxO2O0/Bhliv+AU/Q9
SvB2Z9/eeb4S4tsNC0WH7HoFWoQzYJgI0gTDuv9pLTH6Myjq7qjplzg3OuODu/m+//ne/M3ztqnr
PSKzKFXRTW/L9F82vsorlxlVg8vDk7lHGp/2aSJx8lgKDMlW3jQ3qOm6z0jNyptemP4f0qm+5t6i
yx0er+6It3+8M2oiHHa2A4fcJlfciNAOVNrCo9pGkTh2zWLFRmnUZw2+/LVb7PKVjeZWGHp8T51k
/Wwa/PU6btqa7UVGno0qhUbN1S+qR3vbEs1YFMOIVRfvqz5MjA1eS0z16mCA6sG+wUQiO7AI99XB
me3orJoJeYRLvgEJotU06J1uHNl/bG1M8sBFNj6SEotp368m8vKdaS5q/E1ZtYoXxhFH3a4jPIPS
drND1fqvXpWvWEItn9FLW33slNntsjlf9gM5PlDfcc/38RzVVO+lg5Vul/KaVDs4YMNM7ebKx2q2
IH2seSALzNqu+s1rQ7K0cL1ZdDWrtL4AV8pkjNDeGvY+jkbsP4OhD0iyjAgyi9dREPhuTaKNa8r7
gDivcb96TvrEpcMpXZZj9WOcSZAmnVDNnFwXMu5v4KH16clehBwBxE4CtFJgzNWZCqF6opEz/lEA
0Y12Kz/ugJsTNBbjARnuB6vWcdGJ4d7Nl9Ikwkl0zr5ThlD7WUbEGUPkHSyc30bNWcFZIVil0/A5
Td0eDzrTW05LhuxIZScgrAW60bHZN+sYcdTwZ0IcQCufRa2nMYHaW+2wdgZubC6jg9p3NcyL1TFj
iytk3P4hz8KBvLEBe+AR8WdvHZ1K1M9cPJbDkaBVfUirzNzzNlYEYnR+8L0Z2qZ873TySwOeB5Ll
HGU05TpH1mvKeD/4Y5uzpMeNVViX0iTtxAhG3hdrKAjVJitjt6q6Tyw2cVDnTnXm/Gi9c1z/pdfG
B9hbs20bfHNsvlY/mqRzw53TabyW/XTG95pd2tIzY6i399ksW4KC/BcIOwXdVODZYHO90xpExpGh
SBRn04qgaS7Ej39ef65PT39+K2ocEnCYTVxLuqA/C6ARWRqPayN/1CCm92oOxsdlzmoCYusu+efP
+6V2YYXjpMYGSwKUyadenT/6agEDNy5BHEYqui1lWl1GM6+/hMti7wtv4N3I3BYqdpOdhW6KFhD6
sh2zrELt/MryGFvAK/nor2Pz7EV2+eI1vZD7PvDvzGZmjRgqHeyiRTLUMYVlvrdzcYWuNgqXwpBU
IGoNpJGUX1eVc+Qqr7fnOo17wnL8uHODMTwPWPfrfThOM8nLa56Tm8uCdjRrR78MPH9k+MzajMAi
WfJOZaGQxwpJanewFg61W2RB96UQpSRZKmjOU95WRMW0wvyawSUij7AluwUj1NjivTL76ePYujcG
OrPmmAbSyy+DEGO7h0eeq6e8Cbti19kzsjHdB+3n3NeShW8SfXukeUfWGXrLojwJmU0CuIBKcX/P
S6fPWVi302OUYpfcl03oXbbzdXSwzdHyYjL7uuVc6aX51vdl0Sdg4Csdp5wkvgXz0NYnJUqnOpDD
TOFI1NosSKG2tHspdWrDDAzHFQ46rTGywrhfNO3G7ywQ9fRKE2b8lo+tz52cIXonbH1Wc2l1267M
0hnrHcLGAesQOgT9hDhyiNhatPzqIu2zE1eVJDd29P3kcfa3ARNKlzY7IxTP1B6xLJqAeiogz8HO
ruddT4pwseP6e/1uqSEen6y+qNtLUEfueleOzewQDab7I/af9M62WdpXs9fbtbaf0y6iIFqFg/2F
3Dz3dxag8BHB6Uy2Y1kQkqdaI2LeWNpJYzbOib7Y8OI6U2uc0o5YYdzmXkVKNI3aB6zNxHE7XgWH
ZUaeXR7yyrS/hIURPYoyC0qSgTpo92xFyCzBw4PVMSQsHl179aOBSX6kaF9IHmvlRFa4w2/sJC7U
EwQDD5pWFxhjDBXAV7EwCH5O+KeI1r2cxvBuLl1dvwQkBd5T5wf5ReE6OAbWmEEpMeyhibWqxfCK
2n4Lzg26djkOLhtTvHa58b0qObueM489k0Bs4fqxT+jyBwgE0ZJEA6FThDjao0joltcKyxkme8a1
xXjTQTLq4npFgsx5vgLHTfRdVJi7wo/k8OgsBQFDTrG2H0g0mOpbFXIRDkFambA6zXI+Nhz0iXgb
3RC0fAmp4HZZKqKO4fbPIBnpR6cJuXIh/l/d189ApYrl4LTgkTxQW+2jsCafnT8kmwDqvGW3B55G
Ap/lHGR3LYYTnE5aFc/t3BQEJc4Iam9t4ej+xdC9L0k8FKY8F2PgWDtby9WA4g5HEvHiHDAeU8i0
b/UaEFfOC04E9eT0qj5qu6rzowUd6yBp6Dc/gEHUxc6UZu4Celx8hin8+8MpWupI7S3wXM7eLgZr
3qGi9tzYCPtqYwi5ln7g0esJ2pTuWuzgjY3kXg9rkPjhiJBKWGF/aox0YFHn1MIhT0a/SdsVpHZa
aNQBro233EjBnL2a1XmuDMPbpWERvYwtY+RHFpQFmvRkqeyw6G0UI5mCvtbSHtm9QiEA5MxBtV8s
9k18ZyTgECBDKZtY7kjWmF5zp9rDTpAuQZiir/e1XVtk4rhr9NKI2bUuLVSQl0kU8rs3zni0gXA1
0R5EnyMSW9ZNfkIay5TNoPsocNzo8Ytr97W375e6HeJF9BY5j1bdAR1KM2OkqIwseTbtEm6PlGPx
sZJz+EMia/voVmM77D0DggmIBmQBNwOBDS4AGxl6cba2LSXzvIh27xZONAOYaMpvaQd8ItY47j76
jHvHI+INqennGVoflsxww2PdBU0eW3U2VY85T8y0n13gmU9Bzg9NELtQMSobV3ZcBkrdDFFV/16S
RgDGKuq8EqmDp90nc+qnCxkfVHy1S7ws07ZR+He5W+a/GU2FiseeC9aJzss3wFNvjVM8eH59GkUW
YL2uZ151OtkSwtAymdPeq8PpyRzm6YMWJBfsxVKBa4sI9uzjiX6BjWdJuH9wdb32puGAZceCIukj
FBRj2KNF07dSArNznFHQbtZLWMdOME3m2TB0TRFc5KP/nHmRkR5gYkr7qBSv/lFRES/kPKrswwyl
CPgKUzvn7GepOhtlWc/nah66F0EfwNo5/kQmqyoMsFgNaq4qqQ1LLrss0uBNhoAEB5Z6Yde7gXyh
2KOXNu3HJffHHT2kKdg14FDJkvM671BVxpCdigm0KXGzc2ge3Bbi2SEXmXtxRrtpLwbV6d6LmpFr
3+p+OpKe4hLh0Jv2axV0onhJsfSE55lkyPHS5bOeThCCJiq2aX5Fat7fMH7OntaKdzRe/dJ6rCBt
fF6moFPHyjTX+W7thHoJHJHnsSDcQYMb0tIH0BTY5a4SLkts7mrf2PNb4CPWQyGDw1SNObVf2Y1I
ogYTZUYJ2uuS+wExR0IW9icgMulIAEBUODc8ByKNO6+eniWGbL33g4B0SVR45MXXSllBbCmnD5+Y
HaguAVsW/cjLkOsS2gMtSvrDvYDa4upiX+YWf4qHzv2sFk/d6GUBUBtuq9du1Bm7IFEihLeY6wit
VjYFzbdopvcN0GYgOl1iMkjKKky7ZOJvOad6cUnIjMbSupB6NXQxAZv1R7jSdXkj6Xuv5zEM6nVf
EVzTHCST6Usx1dQ6Ye0C5wMkhPoDJuG4j4A7EmTBZb2vEBeG+6BxbIofSqyblSRE9t4ywDqka+2Z
+7HxrZvONzSjz0woddv3IbNZXQMTJDUFYkykaDBf0kqxEbZMQqgKChpejtD+M7Kjadn7BPdFr02d
S/O+YWyW38zZ7H9Duxb1jLyh+O3I22hLehGkJe5be5i+wmMjQM+bHT6NU77+EhhN0MfLAlloH3Za
eAdXSxBdjqNrALa4Mp7L1dek5WlDfZ9VYH6Fm/WU8bbwvYbZIt7Z0DSYZqdejj5hHGArOtN5Sldt
z/uty42kjwmUdWcARip2flYZd3Zr0C8PIgWhbVGR2ZyqpWqWRLkdjKQirIMDkLU1BYMRhpcpmA3j
VLY118a0muxDQfd1R3+zmk8SV3p2J7IWyYFNV6vZW30XFWTKoGo505NR567L7OlZqxYvX6AH90fQ
5spKqPkM80kb48Y2y1I/TRonn57ciEFUvFSCJ5WSguqIFBbKYbKDyoiTugYhkw9TdGFfdacDMtWm
PSiUsMsJeFuwJKwavohHGFbrHh1/Ye8DMH/hKZUrtlpgf+7TMDhy3PH9jdPkQaPcDyzk5O5KSXu9
7t2eiLA+dM/Bz0yRwhgNBoLhZJzmMdTTVxqf5l3nQ/GBbdZBzoClILrHrCF240iKUM5Y03IqcweQ
ull2Tl+0HKtzIwI9bCh9DOtiogEhRO4d0971m9hgLFqe+YF++tzNpU0ATJ/qu0GuoApduGcjsj7L
MI/Valt/0HRy5EX1tWnsXbM34qV2GzsOJsWAEihS+9EtYI2e2sLyG97RwvlaceqY9wLrC8o3Vevx
HignlWUHuHU4uaIaw0M6wCM68LJ3QdxF2b4hU9tZG6fY5SSSf82sJvhQR2ErD1A/fXNnu6A2H6NW
sKYzRxMZoT4q+FKROxU+9n1bjkmfVqxD2MFzspeH2c8+m4zKspMn2/xhmht7uGEFpw8T5La6l1iD
qosD2At1GyNCvQ/UIMukghTmkZ2uZ3mLEzvsbx1Nm+NB4i6qz0WTFWlsM2l4zIeBCiPviWDfzWrs
mGsXYS5v82h285sBa1qJHBp907ETs0+BIQrjMHQra2rhOM0zjzyKlgJJLJortw44hBWD2yVWt9Y3
ls1B87CA3wtiN+jlrW2lHCLYgy3rLpMkdG/xPOHXKe86L05Xs/tOFGr20/HUn8kOIeyyLmmhn0yz
8p4HZ7C7U+4iGIs5sKTWKW/zpgXtbmbkOtcKi7ILCFvuVOBXEnJBqb+ZRQXWUhZ5dkFvGk171Zdc
QmNgy4aSF057E4UTDFanNYy4YAQcSzIAqHdI5vuRuQuDL1Ub0rkvDd/B862bb46SnEqV7EOEUiSf
gZY0muGHGqnfzl1Rz93Ry4n52asBp9hOdl3Rx4aRZk0SGUtLz9BdZwjw0CV2rhgA65KYI4znpgX5
d6n0pov1Gnd83d4GqPaNN8NhkVn/kXnl8GLxRBcHT8PnhguopMPaDFhzX2ccxXAxFaXYVZZbeHCy
nek4YUAuYmDs7qu0rOwPWY1FdTPMQyUYNzrOZaqDxo9Nt++Li1FGUiZDUHvkKYYoQHxWLvtQBxyt
bnmf58dMtmGYAI9tv1olAYfHvoCAd8PaOz1JjhJ+PJWN931opWVkB1M75ku0uM1NMZGgRp+b6NcZ
xDIDSCysXyNPm/cFnj1v1xCYm2QdtuzXaELrdwjhEG7JjRwVYjr6ovvDV1hOYwFDcDxC7MzqeA5d
/bpkc7+cmSiRT9b7ow+k3xoJg0IGKxLLGjjPjllBdpSPxwrgWgSoLikynodDGrb51znoB28fWuMY
HZTNf+NUNj+acOAcmQmw6O/FbBQfZ6i4ANqzXr3Qt8ufx6Ezf+epqKo4p0Jqd9JLsVBRyk/5fdYP
RO2M3lJ/F1YuTmTu1M5u9Q3qg2DNuxV3rhTqiaiAgHgAu5sQSUPWg0cFx5XQcESNBJJRwAW3uW7t
8DZoB75ORwR9tC/siJ7BGDAT2fu2zDZ1CmXqgwOTmGCvaS0XKo/V8g4wjL1nwBWzOmgwx6wTxbD5
aCMSAZpHqqDqFsacMd/mgeGfIuo4+85Z52Cmem6i4tEgFtw+EFK3KFCntnwezIKGgeNmYj12bC3B
B6Y87RhHqBExZmRGNAH8U4Pz0FcrmMByJjvcNNKoOPHGRF8cdKBxipycTYCiRZ8j4Jl00G0DwvGQ
woz4kGcD5YBdZz0lZhNccAyC3DcJF3chQwozjSmvre7i5iORgyMKEpYnBnmnMFB6A3bTBXIAU7r3
otOE3RHdzPy3Kx0tE1dEOWbF3PwqpyA09jOVzgXlkSnhz3a1u6fpUNxubalsZ8nCWuMhhKH9HBF1
ENeWL1Gr9Darvhf0gsQ0M126o27GlImUzoDyu7klb9IAeCu2QgCeSd6CZylQt9B/xfyyyGDPvxia
O/R+xch+WAEMLmt6z4LkhHWozj10w/rG6yOTPnnUznSc8WY+jSI1QsDN0juPMhjJfE4JnMhJ/KqT
gYk/qQSMAoaHvMOz+RoNsxHdO3UQFYhZyoBmOwJstslQfiEDmt2KIouyoWXoS6TRnHGwyWA37uY+
SNvH0KBiPo8Q7+xzsLq12Btry54yWCIfTkpva6ZRD11L+cGB+RxWs0eSgd8I8yNJZGqNJ0npEy9W
3+ukL2GC7kRfpV+x7LIOqobzFDMHlPekPqflC5uM75+YPdvzicfKnLGv0Da7MbzCMR+4ysE3wJo+
ORlpChZmHHrwkZbC8XFotLZ+byy68vvaXPXylPZpkcet16r2VNaFdwyqzinPWpETAUx2qi+l21Zw
RRmcwBrVlvpcyEiOcKiVYB+sM6QDUc7Tuu+tPNrLlu7BYQ7Rvxxgf46ftJ8XROE5/GSyYwfWhs7r
ObzOKGvzZEQkx97kqXm6n2aN6h1hzXSQdmcUdypYpEW9mIfDORg5Dj+0tVl9JBSr/OoslQe80XHN
7MKCq6P9GIFWOBdYLKgecdw+RWlPpjTTIWvXVbXxYJszbmvdWmP9DAVbvvSGLkUMfbY6dw3r/2Es
Rqs6kA1nR7s+BWc5tHN9N1dNyrMVqvrWbEZO7Omw9O5lg+N8mRiVFrs+l+63iFZfFjfkePV3rkM7
JAESBjgnNznb70xdadp09CXVTRQpVz/1VYQePWgxqOyJtE0/yyYoxxueSOi1BLkuwRdHjM1na80Z
Rba8nO5DYZSa1MppneXZyrrursqNJvw4TnaJxMPPx0vdVr1FOTjAAY8WQRPQ97Nl5tLT2zmKpcf0
okRX/1gCP8AU5YblH5zou/ZIpgbeTE+tDF9bjOLfFpLlYOF7VnifR/yxO76aHR6By/J9gNJjlLdr
z3hC++eOR3pGRcxoOqVcg/pj3lnaDNdDYWdU4E5gOFiVi8CiLs5wDtfDbMeZbErzVPYlU8FlCerH
vPdAZStaxaDHKZepdPUccXBqlxsS4aFG1mAI2cnWKJ0SXNGD3Bn8onW/5TVy1B7QhcHhlILstCJo
fiCx0eewnq1vdAURsNRpiPmMQPmDwUlr3ZWdaAmkqSqb89JapI867+0v5aj8/OCjZOwPahYGpHWY
mYqjPa4OqixDiEtuEo506H3xB01uGTxFTqHGxAulMT47bEt+PCIMaZNRA/JmdUwxhdONiNyLOWu7
3orcUO0jI4Tx6rRSbblRY2YcjIKzzY57Lc8gWaP8EHRhj7J80tRtimP6i1jpZBD+OKjmAgjVvJuc
rniRDlFuOxGuJQedjgD1Sf8fzs5rx24kS9ev0uh7NuiDBKYHGJrt0qeURrohZFL03gTJp5+PKsw5
yi2dzFNTQAMlVWdybzIYsda/fqPo+07vnDwQOKlUwWIVCqhhQ1p9YMY5/SP9THIbN6LUvaZ31s4D
wBBXhHKl7YnBtN3vEkOt5HXjdqK7VsViWV4xLhPNjNbmw5dRyRNGkpix7+sEjnjRqMrn0ua9gWop
4z21YTWAhTTNFazUxT1GEFIzagVlsXbuRFpy0BfEvvDOD5O5oRXCIex+Wq19C9FaYImco78Z1noh
nFLMi/0EetmUYWtggh/kadm2B75x1ngL3MU+jFBYTaeWAC7lQxYZ6noadG1MD2mRkz8gsinDSNtR
0es7ae8ol2lPfuzOkhIPZqKY4vUCr/L2xWisiRp783yghsDVfq8stY41rEJqjX7TtIl6pKIcwFFX
vbuR1EvaQZa6gLquuVTfLqBn/7nt4cxcy8KQBZkYdfNs5pn4Cg9YT/ykGhJ1bxOg8TEyuvgOt1sS
tdRO7WkWujxbLpB3DtW+jw0CLjpOc69VG2hbZGAkqq+V1bhcWtR5T6tqcyhJwrL1oLdqUgNjNNaJ
N/SJmQcmiNknl7zmJ1HNGzk+AnvC+9xl8Stav4Q5dfDXOi+Tr2o9xp+jKeuXg6PICPaNXabfAffG
oylHTew6NVpYmi5Oq17iZuMHhEKx5lHqYasueTKAvYnuwJqIy27DQPEhNlurO+qZJp5aHEi+52k3
dMe+sWoJy6NUMzysk8bexynYOMOnwZgPbZ5LcVG7G+4JJCyTK4v4c1wQ5kyjJ8b7oLY/M6slYZdu
0Sw97OtGbZdXeeXcN3CQDBo7MU8vtr6FV+hp7BqBJk2Iqhnrz7hdW2oQH+9xcG+Kt97cZbYorvp8
Yt7HODj/UrsJJ4m1JDjYzqbYF6nEljRZjc7wNinInlvAZVotoqXXrQ7ooGtcBAkZPi+YPPBIiutE
2Li7r8ygP08zSopblEHYlikCq+gLSscxsFu22s7EUH/XgqtJyzPaKLIPVjKV3xu9t5JAwRps+L7U
wwihR5ZYoK9dPKk+9Cj6+KUqSUuh7c/dqwSg6i6qcrthJga/w3cZezyZ5LAul5FERHeYKa0CDibO
AQmyZuJf0TmPfaSNTagaWXFwM/w8TmQiMM43iE7CN70wRz3Is04tsPFcyZyQ0DGbnWVV9nqRpS72
7j54uBlBTurkIa0ZjgUSmvt3uudsCRaSEn64zkL/1ChjXwQk1S3qh2plzWxWCowMFtdtDnjxCPuy
6vATYGYKQO+LIq9d3yxyRQ+Samnv+6riNS2rFNyUDEvHCesh090gSyM988dkbmLyOnIWbuQY5bhX
Um6Ap0WTRAULO1qEaokHuVLGLr9AtSvFY5vuAmvJDGOflSo8UxWWpAiymnG3T6yNkT1L7CZ1OszY
iB6Yt9U3sEMGC4eMbsgvxqkxVB9PauJYMPxzb5CJ2ZQYsa0rvhzibgz5i97LUAl/c5AuuV6yzuYh
11rlSbZsV16DZaAM2Jnxc+eWs5WBJeMRLWFw3McJM2bSviLjqBTSqn2Eoobt49xBVspQdgROL/0g
99wlDpklIieFIwBtHa8VQWlA2nHTH6NpJqeqMBeAzd7O4bXIMR2h+pqLbQdghUrGWAgKPDkhaT0G
q92BxU3a3JZ+Z6UpnUVX1neoG7WS8O11El9mze4/tmx4zxRMYxqiGGx1BkSDcZXoVt37hTOvj0vS
OtoJ/m+SM0KYjAzmK/4noYERdX90xiYpg6HJHe1ATHH9DViBe9Ukw/Y6DTm5e4WeNnKPzZmz7xMm
cb5adIW7H+At0z7VKYbecR/Nj30p6m9Rb0nmpwwpBVk7IjpI+MSdX9HU4YTuiC4LDOmYF1PbrExe
FfAxjzhhSfkm+sTe87aP5gXFKbo60oftFzqfFkc1Z6ktGoxCOicEV1BGojpjviaI/wKDzmKoL0RA
ZCFTJGeDQXXtpqBaXHzYmmyPqZ1AKgBU7q5UuNpq2EgtTrzCbZZdQixA4uF5ltyVpUbgnKiLPDnK
ukguVZFOyaWVut3LnJvEGE9ToRQn6rUCmAL5/S5n/x13VZlgflJO4DUgaYxNg2TFr+YmESq8pJrv
ae8FlFVz5xTM/JgZpN0l40JwwWqJ9B9ZnBt8HlHM1oeiw4R8hy8ydAXDLInlTkem58S6gVf7nbJE
amDToxpeujgAL5pdGLRQuBSE7Thzx8vZik793Khx2Le2+jmtyAOHPi7n6T2q2h94D/h6bmoP/AXR
dp7pPeJcpUXTRtIIIjCkHgwlGAjROBF4M6EXrOPvsRrNTKY10e8AOrTdjLmOR/VlnBYbD7NErvpp
JCjlkNcdpuzTkDw0vLOU7XH8SVMLKzT72sVmPSr6h7eJJ9uHe8VKw3YC21xXx08ICop9RtooygVX
XqYjuxq5p1foenpMhHAZ40zGsehJs9UqfMHIsSW+6O1L/3Qren1tE5YIbZTGNFhgH/yaEcdQanXM
vF53k6X3N6MFJS0aMMD0qgIj7J3NiTXDBmfane37yJFR0Nn2Yu9LIQ1jh5gBy4ZUL+3+0DUVKTey
JHHco6mGEif73GTbobROLzjo4rtelvJjJnS5Xmtp5hAEGWcyp3RvICzPWjRGzC+wh6W8A5ILzaKZ
ul0yRY7j6Qx7GKgwlLHCLprL5jompu8ptUhX2bXtmh5nZYIOvrSDfEgRYxskJQ7fDehLPgBu9QTp
dbxlsNGFqkNyBzSWCQv+uB8EuZFQSYeG3oxbzUOy0zsKk7X9kmSR7QTqwNTNQ7WQfVnnVa8XjxJb
qZ4BmVGC96alCD+x6vw7weLw0bXFUG/HKYLmwrg2m+6TuJvWvWZCs2KHjurPeJujMO5rqXyGqQKb
XMWteAS6NiUmlbzYANhGHmm7cmrbT5mNh8V7DPuNyvTbY8fMVd8MITYZ4+vHboLtLqUhkHMWyrBj
j3W8HPkRqTvsBMZQaIEU6/S1c/NPk92mL2ZUil0Vr1e2KRgvl+Z0I1M+89ur8TfqLUrwzcgJ0T9x
PALO/euPlQCR6ECF8w7SSYP9lFQf3SQb9iZmLB9qRvX7ltXgASiQZzGNkfFo2TLyDUi6vq4nU+7p
sjTeocedk2/5ULwa3COykVQVK5HXH2rQm3ZUEeXvlKKJT51bj1t/0GbHhE3Rk7SaRwuGzXuqg+3N
e/2ILKR7xAvoqF83c8LXl7XFQOFkMrzqG0DstOupPHOzu4Y7D30EfTMTM3rmD0pbpKfWnJ74NdVN
4VTrIcZPf9cpmntr5Wofrl1OrfT2o/rTp8POg73WRkivni8gLL7jnKmntmOHvZF51RMUS2zGVaMX
4/QO8f03VSXVHm5ONhquvzz6z4jvCUPlxBhjNm1lML+OfWvGqG2XPhyIPv2uL9RqbVrrYWo2y1VF
cm7gFI1gGh2t4d/92gKbIuSdsCRVgS3F64cyZEMjTTWZd1Eqh3synksv6VPX9Z12zb6/fa3fjwWi
DxgmqtAyERufb81gkSNsimTdGaKhHRfQQb1qMpgB1haNVc9093l06PNHioF3rv0b9xJGPh7ZP4mQ
KPXF2f7Qz07ElIk1P2KLeU9gkxo4+lQantMXfaiRGJO8s6B0/Xy9o50HwdaRWKFyIDnk9a1taFwU
J9WjEEEeVBUHQyM84ye1DgejpKY30nE6jkS5TJD9SCb0h0qr98BWNPa0ROqxckwqEgmkN35VlTwn
r0tZwSNzCgHWC5i/EUZUiYRIFzR7qTl0/clapxbTBDJcrHe+kHZ+DzcnfmYQmEjC8WbRnKn/hhxb
Y4NcV8oRYX2l31krr0Kl+JHtHxPT2JKfWqeFVVku7GmlSCoYYi4YRrcJYjl+LW80JsDfNlavxlEx
Ps8izt6Jh/3Th9wKD/SJ/A9u9+u7zlE/lyVj7f1YY9y/W4p0XB7UWiGiUh1mrT8hdhuHL2+v7N9e
6M0bnQtioojzjYPa4vVVoSupnYnDz76px/YI3tNQmZnWPTVaFK4MyK8MO5oO3cKwhBSDrWGUeEQf
GD6/J+/7KUb+dZ/F2xXjKvaXTSaK3OesAooVPa1Vxk37SFOh09WwAS/qvtevSExcxWVj62V6sdLz
5de8EZG2R3GXiWNH74R2WDC08FxU8EaActGdLiG4/kyCrjvtYmoILfCXoudv1K5nG1fy3rpmnkIw
lm04fXuUeOO1ZPwlanLQ+ya6dFMIGx7BzoDFzayn3VUJqUGccpN97pRpuR5dWiuwWtBLUB1vNSV+
CCl4nM5YwVBijwaUmOJE0mNdQrbvny2sY5ZPhGqq2U3dEVoH/rusF82UuvaFYXamca0PEJdSK1Pt
y5ilVvjmmKC/I7CTxhj6rf0g0HRHgXTJrL6FykayIqAlSogO4ev+neVxvhXYHLfqJtBAwk9JfL7L
LsVQgTLO6h6hgRrhKeA2qQfaiawsVgUOVkaL1s9vLdWZEDolhgIBsHCk70bpWFyosyPh+LRqN71T
CpyfeuzDuiGwXdqsH6DLn9UnyDpVzNbiZb8WQxIMQ9wgRM15W+NNmfqO0o+D9GxLxGwD7QmGIrQ2
1B/i7Nwj404pe3vYLFMT0W6EL62+ieo2/1EaSrOEBiIIqFsZbLC70e3lozs6qXMagQXjm2VCgLIn
bdZSP5M+R789W5CL7kDdkmu3hEbnx248mRc5HCTtU62QK/aR5Kq2CFvK5Dlsmr5TQ4s0OyOwpEq5
3y94H11FNSg7wpWfN7zG9Ot6VaN48slaS7NQzDIu9lEuFT3mx6xcexzTeF4OfU+E4YPQoHuTmIaB
sGdiYKId3Nyt9qaChC3YxqHPrhY5L0MdgaLEmsC4LgaVo7CrhkUJ8WUrP+tlrO1VzY7sU0FcXecj
yopUv83RKSGsx8GE2t/ob6BsdxbjcmqrPQOwkpS6ZBltxk/x2IejoUzRQ8+Qfm+Dthe+tZT1t9lQ
p2oH56hz4CE37Ue30xGgtISy/WhqQtqa1ZXFN84OEJ/SNcbymeGM3vpDkmoflznNIrLAKqN7anIr
Psa0T+XRHK3p3qgbm8IkiuroaIho/m6ws7LF10jifSMfx4+OUbnyKBkWGgFT6f55O7LI64ZRmvhW
JrXOq83EKTzbKYwfWqETWFanw/JSwZr8YOCwL77nuQP9XElam3jcMYoIKzNA34lO7rWM0QOL5XIB
kMz9qpez7QkHLWkIvaZoIVxF484UZcU4tZvBFRn50MVA9RkVX3dSFbe0vNzCrIya8GUyjlSDw5Q7
jl7FyeK9TcO6+qo2Vp+cGfTXE+Wkg2fZTfSZA3Ktt7ItUbJ9PQsr1DOoNod4zhb9EbEsCmN9HaaT
qXXpUUzK6oTw+Bx00ympZWBsWeMcCtyNysBKnP5lzibGjKUW00e2uDcoHoQ3pg0Q1QZ50XIAJbs5
xmXLU+h/6wO4hKgukrGJLyReie0JZF0gwEpFMnu1kaRfh6zKGqTFEs83TUuJTMo7rWZmMa1i9dmz
eQxJZZlQh6el0gOmlfGtnkJ2B9chLi5QDMkIkWDSpfENuy8/qFCbLU8jsffCmXITuUBrWy9rpgPv
o0Qhs07W0XJT8uNZULOtOjcg4xBf4lW5nWvRfaH7x+gaZIqcv6zsv5r5auk7yih6HYHC3G9Mcy58
oo4aItzxX8TiaNJc0pCJBfVkEulxmHVGerK1XMtDAjOg1yll9dG1s+VIynPyHQ5Je7RzJ2UKrJNo
tmsM/FGOlcETxLCkgGOJLsZpAoU+lgh5sybVkPmgcZnqlsspPVUQfwerb2DmoIel+MZL4TQpbfII
HDt2V/HQzPeqVgg8LMtGu4TCqXTBMoi2ugS4xB9SrEJE91JfE/cim/rMCmCysEidbtU/VZoKotan
CAY9ADVudwVNEQ2ZFqtz0FHGziERVjMjK5zpyOImu/pWIW1uOSwz0BbEtUwfIHWBdCDZQZfgFRZp
PQy61xRikRuzC5GmLHciMvvLqkkXGeJymRog0Up1B0u/fTYByYRXr5Z1n+J03PmGE9cX66aW91RK
BCMQOVwRr51z+SSZ/tcnx5nMoIL6/1yO9UrU7ULsYFA1WTwTfe4UzzjvqbMP+mLG/soopvSRaWV4
OLlJyFsBJCAbHS8ZrUo/EWpXTwe3bNNPiBaRzERuLNu9XqzNY5zBA8SkTczsfMwQK1ZFwdrm1zsP
Mk3TmDFQlD3VHbZC+JtZcxGuMH12azaTEivKvEVRp7tqtKuSLF1hV+rZcjeYZeeGUWGbt1UTM+Ko
iC2470mC0YNOrTY6CFkvhEwywRm8EhOaFPxeN781OXV7OJWraI6aOazP0k4oQ4yelZri3mU/FRDw
oZdAUcoCIHxUiPpAQlcySR0zxqVZYr/ODX23REChvja7VqjwF7UvGgEBN1Gt9htxQdRIc51i7AFJ
XtzJHBtjv8LG/3NZik74I5ZEbD+OC7FxkBaakiVbH1acvEpvNjv9A3Vblfn2BBJxxBls46+76JP8
1erqYE6YHQJfEVvvzaqpEM+uq6K4YNY0P2YzM1L28XlO7q24z793ctXuCrVuk4Nd4bjJhqWQyhjP
kWY9acxVyKHscAU64begoKO0Y44jZmpPWl6hyp/g79UhA047UBdGPXGhzc1TR0j1FHROBQudbYoZ
s4kHIX4ei2uut22lxjvFhajkr6uapodloFQilDzV1J3SGCXNKVMAfV9MyPqkMTv2LjGHxN5ltea0
ftLr9QsKtx7+S9Fwn5O2HvG4loXtQEEUIZKl09Lht4CackQJturpvGHYdfvNYfSKYTmGGdK3l9kS
h8k2IvNj0zvGDL96nLTbWV8d+yGyWXo+Wl8ONaybwLZccqE9QSIbdlFZFN/rGeIdFN/TvO+oHno2
cqRZnguJjTsyAH2KZlzj22Lq1Gu3h+8TcGvHz8ZCvktBqLMyiV3KLsHPSM3F8y5WirATM1pQddbV
ntO07aLjlJKWfZGUpvagycUtj8D26L2A64dvObysCq1FG6l3jlqaoRhJJQzgHiUdlC8tqzytaZ8G
K83NMKkgr+00AjRLBt4YX8FnxbU/pzpmeFbE8X3OrvwNrneWchMxu9gTsZN9ha5bpbslncdHgSH2
N7Lx3PlAotccJmRvfclpFNddm5b1i4gdSH1kNjB2aWL4VkgU6nIkpr5aKjanHCxMylSocDw4u9Bd
kJ7tTwg5R+zn2/lCbM7fQa+tkzwoSocNz0ALTE+Mgde1XmDP84A9b8TEVplbsRvG2v4w5FkZ72xi
L2avsI2en1fd4kGsi+w5ftz1cqpJw9hh/lMdC9zYI168kac2kAOPRMYibzvCO9JXHQQOu2g10UjO
qYO0z5l1qM5KNmRY8TbDst4h3mswGew7swimdDbLoMvLhem67WYZM+3a/D53cet4S9ro5j6bc9Gx
zntA/VUVcDkHh3Xgxs0HrSRMF/rZ2D9MzUJCeiwsk7zaDSFKeM9SP14ahuBlNswKaUozUeur287t
jpXCGxTj535R5usyXTLOab9gaIXSQJvVybpRGCpL30kX7XqFQMfWs2rNHJCgnSaX1VCNnWcXa/TZ
mmLrpWU7sbxJZlZ9US2Tfov4jQEPYuchty+UyqjmIGvaOTs5KdaeQV6yWV/ig9GQoc70swk5D1Iz
1KVmYjAPD8iBJzfNoUt2u7hSmLxfzcY0mBgWp5b9waxjBYFPgnnnySHHnSRvWmnII4mz5caqEMl2
etZZl1TJ60KSiWrCvslq51mJ50Rlc4L44FUYwTiHJM4TFL9LuiqUG5j/hIsCm7fyBOMa9zqJ6CMC
TddWx59l3q5kBdvkIDtGNDohVfWwHijQSZEPknpE54/VgxZkOpyGEH5kowQTabBUMirilOcG4oi1
K6a61Ti2SKgNet0crrCQVspTCaD5ZVVHHRh4bNNvkc2zJkksGYfLWoMWe9GWRmHfYHFkTz96K5qm
MIe2Px2rbDXvlCw1rT0VVc+uD6FtHr0FxkcZUtq4n7TErA5zkqqOx28x0TT1mNzcpn3iMIKY9EoN
BaBFGWaKgprNtLIhvkzN2M3uC1sm6s5m95qO0ini5KNAfLnJH4lEC9M8U8ubdIVFclW2s13sUIPE
8lmb4oZ2vF+cpILzjNWPKJJo2jPEq+P7Ajts5ADtZGgjQx+7X3a2XUYZjMK5cBjNJhoyS6iXhMfa
LdwUiPuKvMWPlYQwxLf1XTz00NYF/nbSNySzq8tYgpc+mYlZ30F2RNu+JlADKC/T8lld4tT9e6Gm
Ns5aVPqwVzRH2IaLa8ZrNKeKUwt6QDzuIajV15g+fG4Q7EmPmbEaNOn8nhnvBpz9ithssTkmyDMQ
AV6imnmGjLs034VclnGfLfn02BPd43MSZPcyGcYd04po9N1KPuMrM15R776nE//T5QEAMBMDOgKp
PPu6IznOaky80l5NJaSlsVawtOhNs3uQZtI/ulof/yiGGr5UnfaXiqH8eBseOb/+NrEBH4G8zY1A
qL6hJ7/YcgCfLl2HOGoPXFMTKGIroDDUY0dIT0OIa0cbktg+bRw8OPTUlm3w9gc4hyU2FIT5DMWO
BipNmu3rD9BQTaiYui/Yg8Eeh2Idn5S0UZ9I0elJuR6nTxZn8TvI+29WCdtVgYKwB7MZV1Lmv75q
jBRP76IEa3klf2Rik54mWQ2+DjU1DdQMUUOcOc5FpmGmQeSEe4+VRPkO/vPbrcf1zvpploBlMeEv
23//5dY7jkQczJPZJ5Sh9cmyMXG7UOU4SR/Dw3a9aHGKqu6T1uy+l26s3mChMvS7t2//T+D41/VP
UYWJCVYFzGF5+9SzO4EPS1UTipIeRFPNdpgmpviqdo1cv3dWK6d7WCu68DvQFGuTxA0/dArxdFfg
zTRcDVmvFVcFKS3KLQnvdf9DDk2B5je1RXwRmyJfD1QAy+RN7oDhy9SsRRhFjZjZuxPoSGZis98q
3TKGeQsrxldIrVcv1tkZoZe3SS13jana0SHDu6p8QG1h1s9bkJN+7WQjOgsricb4AATc4HNh40Z1
KMQoTZ8Y4nHcjaR1FCjGERh6s2JWqkQfbNVPzN0XLRxHvfyOUlQdPNnBGfQbfMI+gr5rdDuYpBQX
eTlH1jsg+W9zyS2wDWQeYg5WOJYwzu64CnN2EblESIaLczBDjNlFNXk4Vqunjxk8kEurqOfTWJe1
V1Nc32Aeb+3zZhudjwv5rWpTH95eBdpvywClM/M38qkM4qTBBs72gWFtqljBdm7n9g62ThJhmXIa
Knhxj8NCriL61gkhJOTJ1o8Nd63CUVAYXXfAZbwiFdagjzOBFN0RVtui7iHvaK1nTmAe35FS948O
Kvn4sETgRSGZR+0nQaoDFM95tp6b0XJsSlfRPil9V2SnOYP2W+CL2+7iUl2jA9nQheqNrY7x66xX
cDOwxYDwUkYLpWEM6hcW6ZYCK8d8EheoM2R1AvywzDuCiuZmV5iYyX5wBmKxiDGCqcAMp07MHbp2
qXiDkjmXOXaHZoBzvfWkt2tXwO5t5w6sfIyqT40mSMNYBnOk0cWvo9vVGeiJR052RIc8gTz52jBY
UC40fchuF+pUcaL7Yd6Nz/SahcucdeONrXcVAGLVdvdmBjMf0YI2LUcb3x/7cdSwyYqVzIA7BT3D
foh5UI9yqo0vvWKNzUU/g76ESYI9G7xXPUp21cp0BVp0Dxk30et13RWwy9JrOXSS/rhfnY/mZC6W
nzfxet/zYlV+jWeIHWSUBsmujBRANWGVMqWdG10kwxmqBLgMzMIYE7rTtTVlbh3gygBgjh1kF/IU
1ihAUrjku95yxi9NEZvEcuCwcpq1GCbsmGT9bpyXzPYp4vgKyZjYEJgk9pzwA8zec6NSU8IeF/n0
ZspwtDnVaskyt+ATTb6Im1p+w94Urr7HAsCKGXPVASce5mCKcRl37ta+ar3CtWK72ENadZbbJu/V
xksV0T/TkVEHw3yBCNfnejLfxL3b2vfaWBcnuEwadHHHLhJUOum4h/NUa7tIy+NkXymzZhGjOPGl
Uzzh0mv8C6JnlO1Ynru5Y3Y4MGA+VXZa9ELMH/KnYpHwxSQmjae+mEV/WpQOJpNiV/KxzPtReADB
6vjOIXY+bcPPkLLX2rJutqwU42zGicF5o5KzGmOmhRdePLvd3doR6kI1sx4rFtrfHONu16NM2Dy8
eB4kvb8+r6hFx3HSuZ5RKsYH7Iq/YdsD7RTCydfE6uTXt/ek32a4XA9nbMclJwLaAoXh6+uR8tUU
eMIgfhMWMhnRzTdJ7O46ZI+fshIjGTyspuJidKfac1NpakSl6/OeUbvzSbfjL7lQK/pj22SMK3CU
xSo6c/wqkmkUuBDlfMqh+jJvpuoyQQWNvDQ1n97+DudT9+0r8A103WHyojnq2a5KexYlY47JXjzj
8oLEQNsJZFCBLVYg11jH/0wFBbwc0SLs3760vo09fz3YoeNsGY24rXGuY712Nowltwpa5BjZuypF
YAN7MccPt5cVgrFItUb3utIn1EOwjWG69nYM1UOR2fo8D601BvqA6bdPzYiRU0+LjS7PGPUDPSaC
Bty21m92YbPW7BVcAmEnPYyPmsdNdo41wmWOW025alLh4pID/DR5b3+739Y+MwDuLaQRtiDS1M7O
UNJ9o7iqpwYx8pIFNnDPjzjDvlUjSxpFlKZk75SpxjaNe307MRbEsx4SGgUjJfPr1RhjLYjbUNzu
5aICekcx6TLOWGJKh9CSg8DsZHohQCPKvR53tu5l1FVGkBjct1AdUvK6zVpFVYIZh8tYx+7Kx6ov
zAECQopSgHYM2bFIDBRNK7PqR6Uc54dYb9P4CJMIrD6tCYunKVYPiPdKWlYzG445FI5vDc1hKLfh
Mbtv//jzVv+teLKb5qX6MHQvL8PVl+Y/th/9VjdkRsXJ8J+v/9j/9ef4pQ6+DF9e/YF5APOju/Gl
W+5f+rHgR/9yz9z+n/+///EfLz9/y8elefn3P7/VYzVsvy1O6+p1Thhvw/87WuyhSoeX7//4r+7L
13+EZdp9GV763378r5gxy/4XDqloJ6nQsV/GuvN/YsYs7V9UcDQsvNZEf8C6/D8xY7r9L5Vaenvr
Xdoad/NI63F6TP79T13/FzQc2g9MgIWFnbn7d2LGXr/jG9OT9GsN2h3vOZlU58waBpWroBXXA1ms
kLfJOQp1u65uf7k5t38t8n/g73NbI5rp//3P143KX1eBaO9unAaDtJqzFtkxZGo0HWx9XbUwYULA
9VlBentIBjW91IQg6XiC7b4OifFYyKx+5/Lbu/x/37yfl6cD4x98tznxxNnlcWQt68he2MYJgmMg
ptabHtAIjK5x3tlWzvrC/7mWaeGhxwMnUun1W24w59F1ZcahsHV3MPI+uhlQPfQBH5HnvsxqJOqi
T71Jqcjj0dNPb9/pPzxPbjSkRZ4m/3J+pHdTp1hFqfBVYYvCDnYVnAi48NtXeb15/vUlLYfHSdfN
Ceuefckc0tTq0AcFqpKkl1gCVp+BWAqPKaV5qeKS9O3t650xdH5ekBdHpd21HQiQ5zkKbtPW2gjn
hjnchNmTNZQA0BYB7ril1V0wsKuNvp3DCh11HefPtfycqqD4TaU1D+98lq0qOltNfBbwDs0m1do6
X019unBSJ7EZlMCptIwiYM5+E5V2EEcT7M91Xfw66q8sPvPRwfSKCEj7M9TiOMBPvPXf/jh/WNuv
Ps1ZgcC8XMVvGMjS2hxDVqv/AvtBPakEuL7HifvD2qJyIz3TxStD5z1+vbTxbxlkPCPIl0aPC2mb
f8A2U3+HZvLH78NdgQXB3mifp6IVYmFeXxF67fLKnojxNSjcsuSA/rN5ZxW/d6mz+saMBme2M9MI
VIRefiwSF+fB5mpgfha+/ZD+eOd+xpSwz7qARq/vnIGvBaCpYwQYEnVhLdT2QmJx/reXggMSBha5
FYoUbtv3/QUOygF3zEY4SNqRFx6rcl2OU16Ux2gc+//FpTZX4q3bNymfti/8y6USHlNUYQWCqWo5
PCI0UQ6rU+qPKF66d5jHv987QiZYcRxRW5rR+V7DJChjAq02wSJFs0/qbmLEAR/o7Sck+MCvX2oI
jAZ19s8zgkPi9RdabOaWRq01wUZSf7F7I7tEhOv6qt2rewkj9mumT9E7oMnvC/D1Rbed5pe7iKVR
W4pINoEdac6jo7Q4K2WqGDytcN9jsf1+G7dHRbPHMsSJ82ex/8u16radTQtiOk8sooUm+RCW9hC9
A039fjAgfcTHhtVH1wVZ+PU3MjSnKKPJIrQEI6qD0TfiAFJvegYpOHupKdY7ERN/eGzgn1uyC1gR
OQ1nW5JFr5wYnYYurMdTZhOiSz8Sc3Mxb/l3bWaPoRthRPP2YvnDc7PZ/7mJeMvTyZ5tHKJOALDK
ZAxyF0Il8/XyVNT4ODiZ1r3zBf9wQ21MJrcGcIstds5uaIJR+hwjkQuYQE03tdWNH9Q1dYK6YV5o
Jgj/3/lufzhqf4LK4EKkU/Igz75cH+f9TM/QBbmaGR4YflVzyLUWcRfSEF6Utviz2XA3vjTCxO0T
H9fhztVke5e6rfMe2X672tl7SQG81WyQ3FFznO2c6VDB6y8GlJBkCzjejBakCoHJ8gUWUIzwMltg
wS2zrUEFyrTs71mdb4UHhr/MMHgIW0F3bjqOq4auMcjpArLioh3eQri1yn5gTqd9GTM3ObajfC95
5LflZdMPMEra9j3Y7uewhYQuug4Do0tdqyAaTUyt8xqLk6WuXt5eyL8/bC5FCg34B9+Njfzs9jaD
ETsww8YAml+HA4fQoz0adBc+8WDAXm+l+d/sncdy5FiapV+lrTezGZRBi0VvALg73amDjCCDGxgZ
AlpdaDx9f2BmT5GgD90id2M2VWWRlSpAABdX/P8554OIBFmdbrNuedQLrb096B3xr0Md+5//NEfu
myIDx3EO5tz9ay70mylqKIjL7lSp8RFhGa4lWfUXI1OiezjwyYlF5cNntcisOflwglqGubqaeWcw
P4Fk5NBa5DLaiBhbZkUT+msQkd6JiMB+/PzWPsy+XA/QLfVxKilA0lafsSkR3EK3qPNF5Dg/0nGm
TN4Kaf/5VVbJ2YxWLkPQAxQ4wNaGun6dSR/A1jUGbouElnOlcaBYlGmZ+a0Uq8oByqIgkpOs4WQk
32SqIQ9bKeiQobLbm1xKw9odu1C/mO023nz+sx17AobO1tGk2+NY9uqJm2rWU83U+JCpNB16TRux
n2enRMrLeH03XYDpYf/D/7iEqayrOnEXSGFmzI0/pTH8G/jP6UU8p2HgVzVRCZokJ5cNU6qvloGE
s9dxpBODeNWceX0HOD4tujLUeiB+rXYSlK2QRQdwuwghUTeUpwMfM3WJtFI1zrusJp4E0FriyhTP
HxmjhBcPXb6x04ZM3VkoZ5VsnLJVHH0shsL0CWpgIea9X5ZDtVSttOj4svABVhudHM+c/ZTcWrh6
o/RMjmUKSr2cHaZCns8GEiH0EzvGDys1b8ZkqeZcarJzXO8/RGYbROQtQzNR6uuKp0FG+ZTuyR91
fs8SSK5WmpUTn/kKX768DJiNBOtxmNDQKa9JFWYnj1JYZoMPbvoBt1pRtpd2IPmFRPa4Jnmwivaa
SW04ItQC12mR7jXrZ99QzxwIqwxbogDnE1Caj09Co6JLsYXAGQtA+epLiMhiiGRhEq8stO4iHRr1
qqmU+mbW2UKQoSOurcmqXj7//D5OeAzJxQHEHok8tvWWZcKC/KoU8AvaMufT77TZ6CNpJSxt+Ykd
xJH7Y8k0oLFpJka5NRGSlGVaKSQK+Qb6wlstT7qNVhTFXQr76ywgQvxipktw+Pz+jqxkrBsA4HBH
LguItjyAN4sHBA9CdW2e6hJ7SiOrSA7h3DRnaDNGEo4gI59pbUCBNAJjkdG6f8qcbrrCTjmfmIU/
LmP8ADpbJ5YYXBnrWkVYoZ5u03j2ZdEFXsSZmRixsvk+iEw9camPkypNf/YmmOOWZ/36UN7cNBKt
ZWeGlor+bvAzL4L4W9Fp3z9/tB8vouOslJemLugx21ne99uLEIRKYVwmL2NWlF8SkJ4fqBtPWb8/
DlCuwlFAlvFayGz13l9lmCIx0ryc0D/SODUbvVKowtNoqZqMWOWYEJ0/XpGWZRILrbksGGh4Vle0
56ns5Ba1pK1QERc14bDDSUzSsafH7LOcuXASf4BPDmhzOq3K+NoBl/hKYtTenOTp9s/fERt2xaHB
rCJCWm3a5w47Aeq5yc9ILN/mTWKewwgfTwy3I++Ipp0lM5EslRlr9Y2lnUxUrmWzW1RHlXDb2twv
uelfdD2KfDQ22ok14+OXBMKY6jRlRn0plK92TWPagRaiPezndiwdNDRwjos+s8CjSM/oT4+ufD/4
mlHSyHQN0XS9Hw5N1lKDbqTOlwLMVAkJSIkc/pbl5IbRcwp1fmRUcLha1ErMVssC9f5iuESEWU92
i7i+djg4tTqOHWg6n4+KI89v+ZYWy65O52HtX6d/R52Str+f6OGvPIh1djzEwjEb7f7JhehHcEil
SvtqanwzRUidEJpSAb/uyZD7Ug9F6DHw5ws0HScmo2O3hKOR/hSLuUmd8P2Dw+HcI9knVRAFSnWj
lYa2kXBl3Y3VqJ1Yx14bcu83k0uB+9/XWu3kZsDGoW1x9q4rK7zoRYXUX7PmePSY/4JbDclpghIl
CkyfEGscFRan8nYHrZXdnzaRz+ERV5w3mFHKfvYmEjhbDyg37IOxEGNxP0hF9Quvp0r4HmJjkqfn
Mj0FOf/YkTDptpvsuBhvdHjW6GryH5EiSGVPmFAoI/3QmstubNvHic7YhpB3Z2MFgUQuoT5LgBvi
AJiOXv2Dobg8TLJQANzT7nr/3rqJU+2kit7H/lbvQpXNbiWb3Y4aknHiUkdmqWWzx3bHXmb2NdR2
aiuU38zkSI3q9LLAOh8AV5CqC6LtByJ8tNo8MU8dvSJ9BdIGYW7BZHx/c/gYTR1qQO/r1E72sWZ2
ZwI2D8GoXaBcamkV3Xz+vR2ZPsjnII9BZqdE9249fcBH4oVPA9G4ZenbzkSwGto1//OrHLktRK20
kZZkBdqRq+m+zXS0UejN/RqdkZ8MWXeoids6w9whrsko7E5c79hIZQ4mqIgaq8XTXH3c6OYTkwDd
ERk/rkzcD912DtVi2ydJeT9hf3mGc5ZIvk1D8TYGyPpid+x/Tnz3K6f8cmjgDLkU6lkJqD0Zy9N/
M5vJvZU2QoyjPyHcIvdMj7qLUc+iaw0bwfmkRqpXmqXptglhzYM068TiqnTxpbDz8YjWexu6x2VY
jAaF3TYieNHuTpwhjkyDS/9J5hQh2wopPe9/xInzipyi9PUrewIFUxA/jhlrUG7IIRt+fD4Mjg02
Bjdfr6OxqbVXo9sZQkmW83z05UgEm6isalxlRrj9B1fhu8V+b8s4zVZDepAQiqgISKkcg3TLmqQ8
VE5/CkK7/C6rKZ2JEBUhJy+D3vrqucWzkg0V/HO/mabiJoPMbnn06DmOJ9Yw7sBtEYUOn2Pw6KY4
J1pbHw9GjCt2GewvUBsa6yPKSDrQCIFl9KlSzPupivOLDOW2F84B3Dci2d1OqfSXz5/r0ZFi0TmV
KSbiZF/+/pvBXJO20JdOOfp5mz6IzlY9edGQLOCQzedXOjpO3lxpNV00lChRgHOloi/gCk1JdglV
YjixTTt+PzonWYNIAnO9mmEUR2SsCO7HiCviwDtcx3E7965lZfLjP7gj2+Y7YzzS8lyNliQlV0ca
mI/SISWMAtmsK9AHnrijY89tqXtSq1jK7euNZ22RfakbzejrpMpuSNTtXKS605+vURys/n2V1feV
KnJTKxpeoZwj2F1XGr0/BprpVpNj7atQyU+mJy2z9fpb05Y6KwOPgI116wLT0CQnYTswFLrBD2E5
JK6EzfvQwz56GISjHEbNFo9jJWdfyQ6XLoK2i8/1fLJN//MXeaQ6sNTkdL4BmwKhuWZPYwbUHElv
Bp/IffILpTHekKn4MCqW2EVm8bvXQJgSDABipZldc4zD7WTHJ17B0RdNxQfJNhtla52fgJQukkfC
q33h1NWZ0SutW9bNKVPAq9B6/dxpTinmstmitL0atVal26VV8sgbEVrnM0khtyl7zyvWysb2VRL0
DihRLSy9afEi2WQxB4plPxKEWj9PPXWdE+vpsS/27c+zWtX1KrUGaGbDwk2e3Q5PpU9TotqUKlix
z9/zsScMZx7ZOFs/lAqrM1yasq2gnzH4pJ4hyQ+IUs+rNDwx0R1bRFgUlsIip0XD0d5PqaIb7N7A
V4ifTJc7NwbBBIZ+aSDd6nJKhG0PAOlCxp+nuVqQlOk/GEc0a4jHWbLJWE7eX5/Ga2jN5PX4ZeTk
h5pwCK9Kc/Hl82d57LUxxcpLGQ8jrO28vwpp9lVhBOHogxdS9pRuBPl0WmrfTPOY9yce6dGLIYPj
uK8Rs7IuT/Z9EjYDnQsfnnayxS8kExNuqfvIVocTT+/o92EiBmOPx3/0dZtJraO0a22KMUKboueM
BM7Yt8iUuJ96hwr9oBovA5U1Eg5SZ4zcEN11vZ9bhVRUtSF1uSFiPz6xBhzbGjBAFo2DRZl+nV9W
p7U8YlIfqKzI2lmOLRHSXWvdzBibz8zSKF1dz437z9/wsf39ssnVl/KUQjDU+zcMlC7GMcgEPZGt
im+nuemkkrRa0/iutNK3zy927NPEnYYwjT0eDarV7kDFhTnKE98+LWz1oNV2SxC30Z14jsduiQfI
7IcRj73W6tOcCohUFJNYc8qofchVI70Pyjb0sN0uzgK5/yd3pUFvpq1hofdbxvWb3VWvpIaVx7w3
DecTCLv8hswQcff5ozu6elnYrGgfojj4kIoV61PGUYMWSWin4Z0Dj9HLK1zWiZJLG9WOFNIO5uZQ
4Kt+CiTd2ZAvjkFCHpR/8njRdeA1d+gcr4u0tCz7pEQ15WuhFFKUFdBU4c1Gm5wsYBzNcp5+/fze
jw4b2pqEQyJnVNZE4ho0KzAAZ/SHwXF8Q0t1qNhxsv38KsemH+4IbSE2IdyAqyUTQp9qwwgZ/QBT
yRXBEM6B5lS7l0lNOzH9HFs8cEFglEKusmhv34+YTOgmATDp5NuhNlyl5FMQ3dxiAiZgf5MzCvah
FA+PhRpo/+BRUn+Wlxoxe5B1jFUlWw1VaokdoDbG3+Ky0rw8L/QTJ9NjL4wCD8U5zoro3Vdf4Jwl
ZtxnGrNrE5V+7gyk9EHMcP7JImhbCKNxwPHanOXnePPlVexoCrMCkk5mgbJxBmfamVN1ylt6/G7+
fZXV9x2GJSnCIVeRzVbZkMSQbQhJEP/gYEizmAMAyilezWpurAkeUoROwcGAa3nZwfjA4dYpFLtl
R5g+wGnJD+RsOKEtOlpvwdiBe5MtE5KL1VgkvT1s5SU/YOh0jI1GUVs38DuarywBuOmI5t43SG93
8HkJWHUiTsxz/fT5p3d0coM0zkaDkzEm3tWeTZ+VplRGvr1sCNRtpjj9Drhr9Zw0Qbyb5kL/Kauz
9r1QncaDsAvRBKyJcRNmyfwPdo9vf5LVviopTLMCGsFBzKy6c6WI1G3iiPrEyz4ypBDtswJSu6Gb
st694e/QcaiXnIhw8ES4asAdQiarlBNv98h1lrTHRUxD9Z/t8OoDyRW1yptWIZ6qyS/GBAu2oKF2
4pktu8DVYYPm+uI9Zg9BI3J1lUSN6iKMloDeOlJvOwIIt46qkCKkFipkkkkcCPUhGx2ntDcD2zgF
GT+ycXp3/dUHCvewFoYWKUDOyHCSenP6kedpsRPoss6yKSR1SkXnsvt80B5ZL5AnUejFVbBItVZX
FZGI0igMFVxgnXyTc3bdWIWY7qzhlLv+6JWoQ7LLp+nGgHn/Fkk5mMPMnpFigU85r/UON31aS3ey
1p5amY4MGBRKxAgsPXQbtej7S8VDUg0BxHPKngCKRwvAuFpGgf/5ozuyQ7M5bCNsQZqB4Hb1kdnC
CITASu6HtYWCzDGb6MEB3jLtekPrnYsQvHBxYs09ootii/bmoquzzJKNabbwMP1A1OK3nHfdda+r
8IpjJ+i9MteLndYN+UbH+Ik/wx6VnROY+jc1ls5twNRlTD5RSPrnj88fxtFHToLvIiJd5r/VzzUU
/ZyUFMOheHLdLIXRJJLhVKYowcQfvlKOFMh+OC+iSuDI+v7VylY3OFJDebqQZms4s6a5fpw11YWN
/V2bIPlltkh3Rm/Thywwzd+XFjhV4noiB8k17uWrUKJx5ZGDqElngLZa474DtRReMwUVlyNxSAMn
+17HJVgDsTnUuRO1hBGR8bQPCWGrtrEQVoiTL4yrbZnWzlMwVlDTAK6VBu7pyThHojFOEOA7QLlT
S5jdRR5FEzpPaATjEru6OHnJ+U93eYB8zbf4usG4ixG1jpxQ9iAPJmwQFDWK6Y5AbpyNMoDSJPBO
hxnoTEF4MRnV/HUo54QKaDFz/dGuYROSjDaEG1hBQXtIh6ki4Bo/S0GziEgnfhdSWInyhl3sy106
hKCyglz1IVSX34WYcTUWhhYX2wZaNRT6KjGsTSOKwHF1aWpncv9wQENkjULuJpoCa0soD/nZEer5
A3ne9uDroaYlGxGRW3LeaTVoQHpb8+wmCCE8uQPXAN1ISmNPUGiQ3BIOEknypjmmHoE1ev1tMf4o
uySpeVRKStYS4PH5VjWGSSAnh/PmcsaU6m3UxaRv88+SoEB0Q/ygUiXCk6X19WVZS9WjYUDwcFVL
HMDXzQG/W1yVXjZE2l1BzSnFXTDV0kHq2TURRdXNZ5VOcCbEwMnBeUhcJiV16CT9eaZ2mJrjvmm+
NAb5xr5ipzQPwpZO/i7rzDTx8iCwLiDcCB5VMOO9beJRflBD+Hl0TVPtCkgZWXJOxDqzp2KXwM9p
1Ub1zDHK6guC9nN1m2OqgEZKOs+5Q/4P0MwomyPqFjjbPBgrZJX2tlx116pVSN+Cqu8fxZR2qWcN
Stad211hvkwM4WcTZs+1UAro1fmc0/eXB8gDkpDNbdonw72s5w5QU4yaB8hX+GtQOCmtB+ysbRfS
Rj6SOGeH9pXcNo50NsROOH7vbLs1XPLzNNLZWwJg+DXLEz/rZe33WOhEV0sQbna9JKTfpMcNuoux
KRm2Q10whOUim74wZWbOZoZM82DkBTFwRUiVy6OcGz1BmLL3hM7kv8pGxDeDMvbJdRBa+kMa10lL
cjO5HUQvRhGh2bDfSO20c3TSudOSxEC+Wdbsc2tBA2VQxh6KXhYpEpUhKJfENCn1bQJcMw+gtvhp
kDEGzJLojsoNrKp/agHLVmd1i6l3YyWh8RDBgul3BIUEqkf/TrtOoyUtj4DRCGCXaUqbNnNmMtX0
ia8UolXebfTUqcg5ElAWGMyzc52GmWS7UsAPEpOQHIJGq0iSlJxJ+Sk4Vl0Vjta/ENkhEQQ6QIFx
DTvVH2K8FKFrE08+MASSOPVHxD9ig1JNsfeOlLayHzvESG4LBwas1zRzfKPycYceBMWy8/oAo4dn
B+OC30myYk9GAAiMuCo0ZSMEWZ0uvlzgZNlYg+9RQ2iPtx1IeEI4orjT/VpOi8ofbD73SzA7g+HF
s3BM15Yi0fHz93AC6kaLyHlKzOJRHeTGcbs+L5Pd5Ai+TlWOyHBXmz5Iz/jSifMi0qMjkawQeHji
ImiR1TlacTuOtnEnRUOtbmvcvjnqApNorzlK48HPCXEu3AAF9OQ2i/7bxSMh3RI7mg47wiKnkFhS
AOKHnGxrBehZDcad7FejIXvRlUYpUJoXRIrFKN0CaiHg0W1ljbi6r+WYLnnS2RioTeT976LG7YiB
Xff7Ji6uKFo6d4QvJveGKiTqoLXTbMzYhNNYZ4kbwuFkYpFqT9SW+nWKFOJJTacRXwFVkrVA5KBU
nNipfZDjktJDaDFCXMgAeL3XxVqSS21YgY5OWkV4x+Mi11UJJjeFGgUNlRg2tRA15Kn0J8sUML0E
fEaJHNp1wHF5Vdd8fV3y/8gMfRn/ECWY2/a98/nVzfxvW/T/c5Zpk/Pj/90y/f1X/qt455Fe/vm/
PdI6Tmi6eYgllyrXq3B9+NW0//WfuvIv+tvsWhCuLF79xXRY4KXBCL3slv72RCvqv9gg83ZRH2Gy
R4DxP87wm78OK5jK/3KK//3nb83KqrmUe94eapCnLH6b1003x+IPtQU8pkZspCY8OSmSdloSiepm
TvUIqGLYklLtZtmYI5kJ60ZaILNhTu6Ilc/XBMdm4d60pjR10YhKJKJqJAC7cTK3OEfUnL0eicb5
90ntaT3X7AgeWIms73aZzrEnBWn5YGtYW90OThIhnUlN+P3gdSwx9lPba+SzuIGwdfYTbKMLwNpO
Ok38JoS49V8VMyzTbZjVkVYR3SIS6XeawcATnt5HCu4dmXkqZQZfSFBkjMTIfcC9KJLtwWgsU9hE
Sadt66aILlq5k4bLbIgLQDeZrBJHm01J7hrabDc3hkwsxp7FOdIKd5qFMbFdqNPy2W4BV3t2ZGoh
sDnojiQCWlKaucJKDdYE3AiRuktA7wQXROi1ARMVehL0kUNnPLMZtOV7GMMG0opUaOBpyYEn9TY6
TwSJk9+IAa77p2kkx+YrHJFR8Sox5hPM5iKAu+WguU98x0GkmnvWZGrTFThPNbp15sB5gi0wwiMf
yz66HDHlQvIcaIEkwtcM+FEGzg8ELiooviLAWwzbvsr1HeLDuvGDsCKMUmgqU0jnlwNTupS5SSXC
/I51KdEnXoxllbOcuOqMWbX/Lcdsa6ONM0+dyua0qKLoK/DC3KSikkQA4PxQyxGLub3Rjlp7AYU3
5c9K5ub0h9pn/XhmVEmhsu1tCb89S0xbxL/rTpfUOw4jxW6OLUEUt+SkXwO5ap/RISWeEWVy4TtF
G0iuHCTZeZ11VbJnCyvyS4v6OIzpwjIecWoI7QwdgFkdioHg6jNoN1PgEf/L+t852S2cRRwDulPf
Vl0Ho9wkQS4iAMRUbjVJa/et2sPWsvPuq1oNzmMr59VLYibXqqisBzlMpAmJv6bflprIf6jsi2pP
1zodO5nciUetjpERkdOUPVbyKN/VIbYMkFzOdzQ/4WUYslvzjUphj18bTsm2BczgEEt3WtXPHDPK
7Jz8d7N1ySZqnwZjrG4zULdPqi4SaAAR5kZ3aen6SjZrW3uwSXeRhtzLBzU+TwtZ2jaS7GlFVew5
eKChaerYtQlcd/mafyPGh/TRq4bfzPJ9n7XNxu5U88Ikq8PLdVV8Ce3iS/+6Vc708XdZgcedIHFu
yiLQPT4OsHIJp4W7Jm9AVzsj2WskM9fV6JKCDqcdGK5sngNV0yIvbYMkPdQGaSfncaxAb7DF0Nrb
3gma9CqTlTHZaCbS9UfGQTL8XExjhI03QyBf9X0O1jA3Qsn8TnbHxOudRngZxBQZhtdHc1D4xUwm
wNU8Bs0M/hnY9rUjQZraABquI1Kk0+g3hHKzZ89lVl96s3duxjEWL7aStpYbpaYVkXjZqi2/U1x+
hQwrzF2icgbwgA73DCYnL4qNIOtb3qhpO1d+OemJirWljVqI3UrbkPIjq4+D0gsMfIpWC05UlT7x
lSepRXIU0RLPeROlS17WUCZnUjWHkLpNK8i3+YzjcklDHqL+QTNre9yFaV+qHhieJLqoq6VhGIyi
mVtXBLWZ/bIGQilv9Kquqi0MWiHks7kWYJscjd6W59S1mp2Los15OmQEs8fUevKaTlTH1ud7BB3s
rh0sZnjr8Kiuih0RMmkaRIQYk88oRV5BIlaJN0u0f1hHeL0OrgPK7TSjsPi+P98bbPpnS+uhO+ZK
/QLxeXpRRHTKi7kUgN4ui8tV2MJBwqDHDgVoVSCa8aESOioCd+wd7QxjB2nlZVZ8gdtI0DjRWZeQ
Y4ovbzYJR1bjD0Xq5aropTBzUe2nsbeqXWRD4di8IXjOOSXFVhq1ikZT2G5AfyWbTk/iHbUVKUVL
4dQbmbZG5hKKaJ3o9K1LKMuPQSWGEj2tcBQkq0cMid1KNNJdqRuEDwBOwwuWWgAC9iT2n9/xx0FD
nW9RimGWUqiQrW7YZt6MCZYlUy4snHtjhrw2N9OpVt7H+6EqTCgWAhGaXva6DldYedLPTRm4psP3
0Dhq40dhEVxM7Vj98VeA8BjvPtpOyuuI796PznkyOBmaReAaFHvOoXv8jMhV/8MWHlEr2MuWwBxU
EYvG7/1FMtOQW2CT8CmkgM1PqAcBQGFsjWqatadwY0dekbm0mPmyTZzJawlBQjmxD1E9LRrVRwkG
qj+HaXxiHBx5Q+YSk6YvY4Cm3eqOKqPWpFgHdzuTkRy5ctfB+Ej7AvhWUWJi9P942HG5JcfzVSS2
VtZDUWTYI+53U7PptqpoydqXCNv8/CrLD/12DiGABz2YiQNNdxBdrS0dFo06/GG6A7odlkfTR+m5
2fFxC6nvDmUh//zjy3EsQLvqIJJFFbT6lqzW1uKqgZQAGD1+GOG8nEuZo56LzimvtGnSTzR3Pk6R
uB9k0sToqS1nmVVHLZyHRK6byXIp9kF2acNnCr+VS6T/1WQKAkb7/MQVP44Sroi7kQWfaQ4dwvtx
H8YhrOiCK5J/ANHZov7HEuF4Qk5PRc0cvbll0sC/iMBqrYs29KLpESJYLrvvEcIrhArYC929ZYty
GypJ/NVqBqpcn7/CYzfI4OcrWKTYaFXe36AwQZ9PBgmI9IH6nVTFzUat0hoOYdbsPr/Ux8+ajAVm
d36lGs+LfH8pK2QCZNMbuKRkd+ekQC77zOYUHXb9CSwrCUoftKv8gS9htSkoyMUjgzJnzGd99JKK
VMIFkRebdsr669wAp/j5XR29HpQomR4IC/h6HgFpkOHgqwPXsbDXRTqVfjB60yPhfmXn6laYn3iM
H8cJewMCz1CJsHCTyfz+MYKzhoBgwvBUaHBQXzHZequRld7r6jgcBGgTkDVmPfxpL3BZAlBxoHLl
PpF7Lg/ijSSgHXuFGGBS3esh1+8zsng9sLHlbSGM9seE+OdOKin5f/50P44ZFbKQjvWOBQ5h6Wp4
6rEzWVIDCqaNEY+7TSZrLyql2xOz88evQEUfRq+ecgQNI3V1bxl7L7JdVMc1pUjb4+T5yRxU7hJn
DE7c0NEr8UoWpxApDGsLfQ8rfaoF4oNSVprvHKdF5epzg3esV7pTgs2PY5O9MYUQAo1ldjwfJPFm
KDrFpAhaBtkCjzE9qbF+DKHW7ChhnPAIf3xVtMHRwKvIXLATrj1IYD1EMEtgyDus7p48BqUvGaVz
4vl9qDhqGN0J/jS4IwQ+Hwh+cCTGLCosSBHBDKC4MwencrtJ7SbflMrC8frJ5pkmvRU9Sj1IIcrG
DWFwmhRZ1Xbi8zCWoA09d7uwkE/ZwY4+hGVLgVFpCf1YfZwGJ82g0bhrqzJrzww6eTuZwakUmY9T
AIhZvFes9oi2mHvef4o2neSIbEsbHGkqXZQ4bW9Cmd6RYjfV3WS19WNMvfaE2//jreHrItGDOQDd
M/f3/qKDZAUdgQ+wSHmsuwiAmt8A+Doxuy3T89sdDKZuAu9Z5JH/8n2sTQE6R982GTrTFQo8GQ8s
FEUomNN17YtANaSrqE5IwTOwWppurFXpr88nnA+fDHZYJJTs1RDELcKd93dpzU2ct2bF9atcXHTh
TNlCF8p4NgKmpHndxqeMHR9mBK7HJ0oOJZtolHiruQeQXhVHTPNubYGr+KqDjKMxWRIUsp+VZHDO
Pr/BD6+RbjgUGgfPwKuUU31/g2qltcggTUBl7aD6ToDiB1fJHy9Sy1WYUdnE42xDkvr+KpkYehsv
oEHXPW0I9imVnZHqAGlKVYF/l1c/68A4FTr78TCLLxHhOHMeOyOyGFZXhQEe0CUPwVuDenELZXyM
TeVb4VhXdtTcG3n/ogeRp1v9fVSaf+zIIDZ02XZTHGKLSiDN6gNp27kdlCkzSLI3xEbS5XkfhUnn
EUM+3pg1ZTSrbpPbuumGHXiD5qzzDNiIP//o/bJ/RG+8/Bjs6AiKXAugEqUs6N/NuZdYBeS2lvwk
auF/qGZ5vYpJPOpyvlWRW63uFT7ZNFexk3sGtFEvriOi3eZUOTHZr+Y5HDWcKniT5FIC1+VP34+i
uFARbKuD8Jy5d8JtEZjOc9vERBmncSc62cV8W9hbsycT/4RwbvVVLpfGu7Xsdl55nGtlkKGGlR3N
SBU00ve+sGj0KtxAc1S3EokD7Z8dRrkayxrybSSXeOQ/eCJNqmMYGs3Wa0M6EClPPaK4m4AUM62B
6OvPh8jrSHwzyXI5pCqIVbFrICyjQvH+uY7KHIhYqXoPe4KEQETpQai4pmisYdfLIJMOXULTD4UK
QSr3CDFUdUNWui3tTCeT6itdOLSwMdr1vfks4EpZvt43be1baqjc92aZw9Gyq9ExbzP2O/3esKrB
OCSpUjlb0vhIonVbdsrlY5AAhXt+vb3/3wP8T7wbb970Esv8d9zy1XNO3PJV+R/5c/G/mv/Ingtm
jb+SmPc//+uvf++vXqBm0Msj+Zjpf0m9ez2v/NUL1PR/ES3AjIFggd0FGtT/0wvUlH9x2iB9QKWZ
v5RkmFj/7g3ytyg5kPRNAA7fKVv1P2kOQrVg6L0Zmkt8PT8Tx0QWQ8boOssz6wc6/ga6cIJK90l8
UQvtCtjAS1mpsxupGZNAfMPa/7UL7APFyAPekssqcTM9PceAZ7qzLH+3KsXyJBMdhDb+CulPTHl4
oXuWbM5+aQdbJX5uWvWJRjyh3zGg0m7KKo+u/sKOgAlpGDQfEdqoev0MjUxVz5I7J7lu0p1Af6C7
U7UN7I1ZeuXBqZBi7wz7UNs31y39Esu6hE8WRReYW7pdrW9yDRnIJgBeo4B4cqV2OyWu21ibKaFL
AYkQnNtG1v2qu3HS27gDkfglSODZb8GeG4G/9DpTChA7Nb0SztbR99lddpf4aFwQovyuv2ryl/rS
kN089PiV3AQCyi+ybbY1HqTAn2o3f7KnXXVHgQT9wb2keCQ01zDU4l+R8qW4A357X2dXpfSN3gJa
D5BqdOdcCQDjTJZPdVknO1nYdNW8Rhp3QRh7VTy4UT77+2y8wG53Zna3pYSUbVt31vnCQCsyD4+x
q+zIqmxVAqC87nH6IT1JT9MP+fWP8usfl1+j5/b3X79Gz+oPADY//ue//e/kmdbvTv/R/9Z/GMw+
kNNUZqrpqm+2wbR1dnV6oS7wSwdosKG6Wocp7ADf8Cm7AnEhU99Ty++1Sio0gcKu+pg965rXd4AE
7/H3fxnlfdpuaJm6ilfuo3kz5v4Q7hyBve2a+EXF2A6RjzrGLK9F7Y3zNcoWnGj8Xpay49eO9mF5
bYsziw7KTEvOzYneAv2+jaQNfpzvo2f3SM0zV0Oie6j5txep7t3oQTDtHNd56j392hUb/jn7udQ3
xeRaT7tcnCUVXb1ro0rdCPizvAuhQlqeCSct86cb7jMKPEieaevr9+Xg6vfTTfQSyABibmCYW8Vh
RDh3HpCKexZ1umc3S7Lrl1D6ETbXuXmh7rNuG+7418vo2zh+GbUnozjcmPI2kR4ZqqHOdE4ooRK2
PnEPHsuCZ0/llsQvstfIiLEkv+v3aYq/yYv1c2EIVxtvou5Mg0Y1e7bl19Km4IZLY2u5bX2J5MWT
7NQFcQhG5FILLquLjLCOrX4o2wv79smg9uqgNY4851q0hyjaAF0l9mZS7xvpBryFly91e8DE8g3t
vuF3dB9fXfpbGLQH+/e2Hv1SuhqeLyXXiF0qrQ4MUw/iShzdVo3f615zRUJHQ88RpuKFQGdwL133
0YbfUZ02Rrhpps2osjQFh0yFW/s7iB8WsHE6IV29GDy9fUa8s2lofuuytlMNju6S4RqkvRF47tZx
4YlYxu0mnYFLzaAwKvELNG5/bA4iuUjbiyLs3Cq9cDigBrRH+dmcdlPdyM9sV+G2qt8c0Odf8vo3
GBOq316egcNk4/FlZm8QVeSyzG5lM8Fcq/oBMNJZ8TMuz1X2tF7be0WMdLF1PKSk/Ln98xqtAj8a
bxQc+F7xM43WjqdYT2kweZH1yxmkhzbZZsZZVu0nDcL1xsogl4b3kfKg2wZ3uivkbVp8K+Rvcrap
iGe4sp/VhNJy1BAh6anzYcjONRXSrr3hKO4W2y67kad72vx6te3Di+7SehiYDxW3vM1vHbA+sjvp
aPKW/1Ncd5fN5etf5q/99XdkplfdZa6alwmtK//+n9F4za/yknSYZtgzMc7n88M00ImAOCMvjTmf
uJ/RtW9q/coIPGV6YdhjO5bGlybLaT9fGbBtJvVBkjeEi8cd31RNyISM8A3lRia/KOB62epZQvJC
WN6VxLkPIGKxb5D5OQb8GNrb9nTARhFVe2F8zTfBsBlsP6U8nMxdzGRtPjb/zd2ZLcdtpVv6VfwC
cGAeLhtI5MzkJJKSbhCkJALY2Bg35o5+9/7Slsuy+5SrfeJcnDoRjopwyRSpFIZ/r3+tb+k8Vxne
mgc+1QqJbODCIPyBg7d688OE77wJShopzcgf6jHsgl2tMJ+GLK6D5qOc3K3cVBgivSYcszB4dc/i
bZjoO1eR3d5k9cVNn2veiQnbsWrPbOh5+NK266VZYMxEzhrN5scKjHjPGSAdNRa3c5z73DtYE3xz
jZfCvOs9n38nMN6+okXF1dHhps37F9uhCZ6EW9A7WwyysaiTLUiH99ShfIt2HxPZRNDPHRBrLMwn
CnneeJt/EpKVw6zNoY05BWvPhtn8juqNmCLZSLeXcF3v9Zq1ezpSQ2/Ry2FEg20cVOXGmmxO0tXB
5/gbSwOSWnfxNL1P6dlXL4U20TMODS3XM9Iid5oFyzEz7Dxke72xl/w+dyo71vwgnvMVWZ4Yemio
8WQGt+X8aFBABvk2Lkwbp2cLHNNjSdCk9GeN61ZDqdXmz44xXgphnGdH3npyfi6l+9Ws7HNq32bV
f2I0/Xcznl1hLSx2/rn1bFczb/70OLx9zVXf5V/6H0fP71/9j+GTHeV1zw3uhEPH98HT+RlBAlHZ
QitAe/1x8LR+ZvfiMqei+LGr8+3fB0+KOqCXMcnC33L+ztDJkfH/GTp5mllAI/lf6DRXF9yP0nbe
tBpo/kCP2iRYqQp17UgG5L5Bhx5GX26FCVXRM14oRrjrbObudIiX2rtBcbXjulcnp3T3JUl0mhFu
Nc091qN9Qas4+VPxDCn1omfr0zi7M69B7yg5/4+d2hvFyC1svi16euxs/aG2CSxpVKVFhJG/lmy4
SoBwoWW8u36aG6Eqp52UstnVQrx5ReF+w2utrn4o03iaq2DYOU6LTZQT3XH0vT6ahGEd5oxdiC7d
4bkvgPlYppw/60tiEooom4gmHv+ewve3Qr2mRVPfQkxhsmjcL42ez5tMOARWOlUe02AatxUO5Vt8
r9neFgofAFW9DJt96h+weUlY1Z37MC/FY6o79RfMzFfzNhEpjX7LSy8GZ4sdp4LSSzYFemybjGFR
+c5er7yXtuQxuAyBT5hYm6IGu1C0OB0eFL25w0N/oCWO27bsh0i6Gi/DjjbOTh+MT45M4q7mP+L0
eixKld5TLXboW6pASp6r7A2ipC52wVgysQ8nUVJFXrqHq7PaK05qKk6+oE7Tokq+fFZ9f6h9C9Nc
xUGfxltnveR5GzYL05ZIsueF5tnary+ZzfsmoGmZvl/15qTetjKHO/7uP83NGk9NGhn+Rzx/W7qH
w9yuDqvcKYYhzXv0yiBCJ4dsTnMJfygb944I3LORaWCZ5uGuahcK7YTLR2yNXq9CA3vcF2WtDqXa
zKiG3aiDYVbFs3U1DVHud4HDcOhWSattpX+eAa89JUvzSCOavp8TIW5BdVkaHZaJ+GaPJ5WJLXcb
XVcYOzRzLTBDOI8jTiGu4C9doeQdw42zV0N+FDAbi4QfsWxHjSgj2yVrXLaFAZXBMqqvXAhatHqz
seHHKramnjSnUspbmXgY4kzOPap1znNnlgfLXvBu6fYaea1i49int/a6ViFlxBUT/PQRVduL/r4Y
8O/2xIUoSJnOlbb/zx+6H4bq7aeDup701Y/P29+/9rv31/kZJZZ01tVdc5XuObr/+th1UALwGl1V
J9RnwAE8W797f+lHukrvuKpIUBLAs38/719/yQIzAHqfnxA7g/t3Hr1XQfaH0z5ZKfLg140tjC0S
+L8Iuj/sFA2z5PZwsPZ7eh8VA72DU519FFbxVg5ZtwuIrm4JovzwQd39+tv/6EA2/qTt/fJdcVjB
pmBRY+Js/uPjnv8jdxeRORuj6euwpxYDoQAXPQ3Yx9HOL0tH1XvlWjtRyjsyjl6kSo5URZc90b3I
/KYzZemVsLd//1r9n2le/35V/qV69b/ehp9uBsVE9btw9fvX/eNqhhzHlEAmHV8VIOAfrmaakll0
IilRVcGi6ver2fkZrC4tA9Yvi43rtPCbemXyS/w2kGp5U3HPYX/7k5X9r6ztfxavuLAgxlw3c+QB
EcX/zLzVBgoyrgTfTdunR2thsl5EsskSC1oxL+nYyUQRT072eG341lZ32o9Y7bBHF1vbySiZW41l
P6fuoVq5H6jurP8TT8P/mVcYu1YwXhbr52udog+Q9S9n1v/9ED/GD8/x5v/89EIS4lvHAIsz9w8X
33/4W/5jkMXJqls8Hq+9AxgHfrsO0Ve5/ozrY5WTD5SGH1RU62em4QAUAV+F7H7dLf6mopo/Y6xj
BMZI9cvz1v471+GvRqgfnqv/0Wfx40BLaYjVSQpQo7QEsdg5zj416PWFSrHu8z4ndDWN2Q5K2Y0j
tXthj8+c1Ghq5Ujm2OKoW1kRdkO1gyl+GWjC9FguD4G6FK2Sn31/TqJRs2GastsOTTM1dwy3LxZM
ijCnpv64GIyrfrfYt3oR5LHI13fppJ8I41H4ufrTWZMJ52EobLosH6aGs25JxOJ+6Bdig2NtHxoD
QTboOfktBHaBk2QYeoKcw/RYd+1DZzIdZ7NBfGHI591C3uFa3kl3GXyjevbirkJZKH17G4zVSyGy
5s7OEd4cmhdCgqkfatt6zbr8UpXug54RC3B06LOtj1lcZJfa8i5rnT8Tar4XmnFm3XeT5eaOHMYa
Xwtjzw7OgohINdgt0ayRYwrGWi+g3HQw40rpN1ZTvpMPSKIuFUZkz+a5HNbzsurQXWxWZuXoD+Gk
699UJl9V4l7SbFaIzprGr2sFfvDO2c79xGio/INsHNh1RHLPVcMR3RjRb1Rxspq0iJIqeCwSeagD
/3Yw03VX9vX8rVPtOx46FWVOet3CLgeKuzeqAB1c+a9NMh+SgmyIucHmLViph5x/4inxbqtcvg9L
xwq6GXpmVEquTa9rbt0VF9ogkWeEkN7GynTkEJX26mAuOsnUTrMvVYdkygKp29l8hOGgbCQAfd7X
yvAeJ+PNA1sYDZnKj0uePWapuTJhV2UTOqBvCPkl4UB4+CXP16cy80irAnIGmJTEbTXXdwsu9nPf
TdMdfcOkG7VJO66V+qRUFuxKgOa+J7+MldVu8Z2HfWYmse2M3pEZXnDmmKuTMpazp+nVThvnJ9UD
ocKB79sRIWFUk4E2bz1sTLkPvPK2EOoDm6qYzkz0xiEU3Tt5hy0Eu0hYYIhJ+MOqsqKhyuKxycMs
bQ410ni3fG4XIyyGFjXSjdRS3fc0Sne4VMayObWpGVX6p5HTTiDm2OnKmK7SaCbnA2EfFqzDzRHc
zb7ced2dns27qT+KAC/4pRj8ULrYHa1nO3duKih7ia8j1GsGXaO+GcLCj3XSxtUIjOLpv3A2+UPh
6H+ThtG/nJ7DbzLNh/LHUeOKZ/n14e7+jHrrY1v4TVv4PjCbP18NktgKeOYz+BLo+seIce0avRZw
AAHwQTBTwvKPR7sd/ExiAK47G2V807Aa/86j/U/rMUYcj+JSzJNIIq6FzfdPo6stZok+4YSFs+jo
jxV62fAySPuUjF2/Ndd/Zdr8hVLzw6vk1++IgwM6Fitqxq4/fke2Y/UkGMfCoTWfbKN4zbMlFJr4
oJLh0QyGe78ZULMn6yUYnC+61T2IvHlbylbhOra23eB8yxwH8buK3FZ9rK1FUrrkprGt/H/BZAHP
8cfzBGMcGA/cCFhpaMPhiPLHHxa2QeLqSWJCLp3WyEI+D5XbFpcsD9hI83dabV07E/ve780PnV2s
90XOUi/rpp1Y1ycqoLAVp1UXjlaSk+rrFDsNgACuaaoLUaJPTk42W1jo58pqrc/+ENx3VBxS2Fmz
e8rM4+rfprnfx21hbdU0o2T3nhWPQzo+AQ+mR9Irl02d5HsmBTHG1BS/zWZ/mUfbC7VyTVHVDQJz
RoW43rGFZOP2QOLLjobOItgWoPd05pyeYeh5G8gFqBZe/blc2TKM67XHWWU856srizJzhHHfEom/
Ryx2AcdUPEWqxtoPq09QevVQuQY9Jqt08YBgb5OyzcZNJRbrW1JoxTdV22I7pCCtenOdQ2fQYp0W
PTY7+aPyO7nNyuolI8F2oInl42o3jw4x9zols69mWRA0ysVODHqx89p1PbPzDQ4E35+NOSWrNQek
WmY+ID1IO/gyprYbOpaeOtDOGN36GIztU7qU+sM6NlNcriPBJm3UboJFPwpRVC+BPYhdslg7/g6D
fVvXw22qIyzJsXJuqEo9lJn4SqStvJNBkp+dCrVogzcm2+U5u8mizIqdaPLduEyMN32rOwcnSPyc
JHliE6SQ0BUgHTy2wHZiKkdJymUi7gUSc46DkI2LH3IX2k95Ue7AfQaHYDVfqwBaAm31EOmrYI4g
LpaxIa07h7EjHvqVuJgirQ4UrUaqI/M+FnUb102DG7pw6FYhT3gjF3pYKz95F26Wfk1n51UtvYzG
EbQB6bes3zduWd+vhDI3Zcrco12xFcI36k3rdVaUGjavvDFLoWN7Xyqo+q+mrz1PmbRuLZUX5zUz
1M5sNOuUGemrR1fUx9ZV+mOxUKWb6R6DV+okatNYqX2D4QUQnhegEzkimwhaNdWxS5pLgNjzuZ0T
by8QBcPKT/EEll5x0Aj1b7TFIKXXQdLoGvc2Q4z80Oee4MNxykPZVZSCtbW4JEnfbAsZOG9eTiBC
axcHJMfcbe05u6sd2ceew1JUlEGwxyySPrX6/FDrq+AmTeW265e9rJM9qIQgbNwO/itxOFA0jYzT
NNt3XTnHfjslD9Jmg+4MjbND3q8vmh6sBIW96dOwJva9XAwWD11WApkYs2Rn5k0ZesG9qtRwwgYD
TMVZphs7AFseIlQRN/aSXT8w6uMtHd7k7Ny6RldF9BjEhGVqhqvlJp+8J3uxvtqWss+YbBhqan+I
nUKH0mCKvr8fy4SdsNZsLXLHO92dfBZNXtsirpkqVrmdb4phbr+OsxZEaWe7n5JEPZdLn++XrMo3
EF+CUDlN7kYpVIln6oFeV7NsLgY7xL3XuS+C6P1TC9LiXllDcmEYS294DOVRPSojLkhaxop8x23V
B3XU1Yt556+z/3nRKrEj5TzcX2N+5yavUAVFMV47rdoocZ0lNvOiiCjQM3DUghSbSoU2XffvSdYa
IUW+6a1jw6Syc2+IqGeoP7ZN9nkp2XyXQ//QL7qxyzhwnErGtHDQ9Ns+nT5opv0yO/qzUwylG01J
k94URK73hd2ZbmSK0XhQlj4fHWkaB8cXirZAbf5mzJV3IhyT7BsjGaYQD0jnhVVTBlUI/9SAwtFy
JY4wkL0+S5aNRyXf3vIa7mtVIvuEyLN73aqWXcvMb4bEhHMnrJe2uW1aBxyJNbcEL9tm+OT1nZFv
ZTLYbAuyDNYJ6Aj9Q73UM59sV73bzVDu1960Yt1IPHH2UmPXewmM3lx+NfvF3OStX59sirr2c3AF
QgVe4rFLS+stsaQExi1QFrhlBiTl3uqOsHiudnu33yR16tz4lmjuk04Wt7aUyz6dbe2QUktr0Ylg
fllRrBkt/SH5oDxWbRybRoPIaDNdknbOjv2qqnuciUbMZX0gVgaZoVCNFepOt2w1vV43Q4bTLcWX
VsclnstNGaywRTInuMPl3V4/MYlHDBBoEzhhmTluaAU1idrMFDdFEyTvbW2Pd12CO3trVNgvuGu2
RN5XPBhimlgkLsT76mLI6HheZXCG3vw+4fR/rjuwLBrv+dd+9NhtD/bUkDpbB9bcWdFcmsFtwLmL
cuPVRik3azmWt41I7DcNJDBYjmndz/b4aLZVcswWbzil7HbiBkZA3ATDt6xM5UXNZR1jrTO2SpKZ
8KgkRnTs75RpB1vllC9dVxfh7NYsVTXi7vslr/QoZfmyqWZf3EhdTzdLNbo8Jjigho4MdBwwMK8K
1qDspKHSbKwGaNt1LfrJwWIkHUwRg8TAU7a3GWyUCwmfngrh5OzzBrphOhBhMwOgCeXIi3LgHbeR
nZweG69stlqfT8BiCBVekqB46Et7jrghkrPWB9aLxewRNWtV3Tp+a++XwdmzOyK9Lnqqn+Je07N9
PXn+uZWWcShsI3kfvHkKobPXJ01l3R7xvtvXpnjPSYMecsetTy09uc+54iLlka3N+GAUrJruqItm
nB9yvZNO5Kd6fwTI6e9JNg5plFiZjGSl7O26ZmKzKne+sVutDakNN6FzGmFWr8FWlvPd4qgKKpeh
vE2vpzddBo/BlybdcO44brUro8guBt5qjWPzSnKdy9Q57QZOU/ORlphk3651vVf2lJyyOenO6TiL
F+ieK9klsvAFr79TN859EbbBMG/9thNHkCvNmy3z5DSRw/umzRBJWSqldWyW9XQzpYu7s5yse7Dd
6b6fhmxTVXBNlFEdRhim0UoLzA5ADFSzpExDZ3L0jVWY/d7n8RMP6dUCKWpxqg3NuiUU70Z+b9ln
2/XhxwZLv1sd7y5PjCCSM2so2y++OXabbGmv0vdeVu0LEnXbYYDFlULyiaDecQMaS70ZrGmhQ7Ct
9iNUpIsxy5didPJzZicPa9V5H6YSiwSPl+poj+bXqp7qo7L70HVK65k9YX+fjuteZnzbWu++dsiO
9QpzOhmnIiz0ghE+E/eeNtpx3ozD/eAPihfb6vsX3qTieRx4eZLHr3k6tu2px3MldJb0VSDcb/Bw
mxuYEeZznqfBi98npFHFEkSAy8DZQllw7+iMm+4mi+ZIoIwz0Au2FYTjp2EMq1w0JycQKqxz8ZEm
TwZIc5IbYBQQbSzZXYwlZSjUpODZXd8lRvnBVprCUVfp4cyZGb6cczRJ9j4WjXvTSiWRZLq49zR5
tqzl4zVSGvaYVw/CGMZt3eHdC/Rx6zTeI0+6PCq9PIgdjzfZmIn3phvWDSe9r8XgvpZJ/2Gpm/uV
89iNLPwvjWu9wgMC43ZVpYzUvCn88kPDoH0s8+wjvAIIwvxk0JCMYqNPeCICTTJNllx8k1LptmjH
CXNj0kaO0TSRlM6wzxM8F+VCqqIWJipYOze3a7k+djUO5zS7LhrVjJsiNfi87Dv+JuFjLN1NI/Xm
oTHxAMEx1W/tocGVVCdfNRdwU6PmNRoZN8nE8G2XTMUO6Iio5QUWCiJxMDIAWWSVaj7AVMjOhZto
O8eFcmK4mFba8aArVd5Ih6JzbJgqXKmgCi2F02QcffNOzyWCkJ3Z26kfJX6gHqXRm7aimfytBPXw
MM3NV7R5M0ygznF08qJeF7i+nIAFtWsdgT/oFwJn6IHlasVe6n32Gk1B7M3nW7tkATnJfpsKfz1V
jY0jGmJYdsZmv6kmYBeW6thPSo1SG8+4l2D1/Bpgkmdr9rnprPIuy7H/GL2ZXnWr/qhmb/Cxfsj6
pb8SKqp8PRfz7H8N+vplldWb3q7wplsOOaHlleDeTB0YVnGdfT1LPprs/oHF+SYX6ux0+6rp/OGw
DDR61myAN4vsR+BqkDjwAKbDfmiDfTBo+6Vqaiv09IEoEoyJhkuPY+aa9O9poTsx1lsex0BT8mjt
8ZWZo7ZgLNU/tQorzDwfxtL32bjn86dpGoPbOTODL1qxrpu+o5S7ZkKCFif10MDzsp2Lutzljv2g
SnxjdmPdd0XwVnX6o+yz9GjX3A35ylGyX7zHPBP93sSx8XGu3HzXciyfS/epD/wafkv+Gf7FctGv
TzovkDLMRDLvQN4OcVnaPk44xLIlZNSvz0FpHPylkZG4wkUCs/4Kv658LFL8Yapy9J2dFrdUebtA
Q/BZUHJdHKbyym/I+cnaITjyM31yl2fIosu2MupbDuzmQ+chgrmywhA2Lw9O7ZVbX3jqU20WnJT9
1N0NSZHt9B7ZDSgIx80Z/24fGPDEVs5L/HzjVp+uH5PPDQsgQmzMvMf9IPkDxAi0x6Ysyi0XUOyy
odkFMyOwPp8nU4qt4ixO0dhDAHToBnINr6wA0CAAh6fak3s77flLh/ZFES6n11UP+tDnubgikD9a
daY9M3MP59FylwNkouSLByEscn3ansg5b1a4Di9dQeNz0c1hU8Nx9QKcUjVndOJzU3ME+dJgprMa
/UnlY7NLpK7dUGljHvrRUFuvw78vOct+W62l+bJandh2ov0eyf9bnvoPdck/fwnV+v/bLe2+1VfD
uvrzb/XfUUZkR/PPl/Bhrar89Sd28D/tv3Xrt7TmsPP6B1WRr/9VVTQCXE6ErOm8upZvWVe+x6+L
eIOVEY1JrOhZUJLEdvia74t42/nZJNHEgulab8lyEcHr+8rIRo4kpXZ15aPNmVdP/t9YXZLa+aN0
hgXAwsYPooDtNVnRPzdEzQObBY5B4hfVaw3z2ebFkJTSvzH0lYc8ypH6dJ3xinDF7uKw31lx95Vt
OrNDZ1MhtgLxc93Y5JteKaYxnhSLFbFJoEw7UGC7TsTzOnkp4B8OOvHs91THOqZs/UPjyolC9hFR
CLNsCYFodhFcLo4+V8kmUIv+rtMtJflS0pTxMEp5Dcho8lljimTYcFl8RJUjPDtMkGOPntnzVM3Z
Ez9jCcxfOuqicaoPgQGu03cepylz+eM5zMgAeubykMhmmOLE8SgmrlPT2Bv5COuqrQL96C+wS2/6
gBqAXWmq7uSPk6WFOMNoJfCG7pTbMnjUy8C4yZdEbnAs8tta1JldpiERl3yxZAv7bkRRALlVkuoZ
1nbXF7oZ89MXH5M07U6yrDUtbN1FwWUsJlgo+gqqBPAKbCtMqoK1F3VJ7yrjMXKSNp/7pi20QMdP
mgf5xppk58ftqKDHrLbSkzPh93zERaUDWW11xsnE7TIUxibIP0/032Gh7r3glmWfkzESTA7ciFGm
N5pQ7metK32os141fqkL3fui2c26RFQ4M/w5wSxRWHJvnybCD0LLL5EERplkT55mYQSfvGr2NqNe
FJfSL/uLMhU5B9MfZxl5WcJVlvn9NFKxYJhnt2iSzyZtvkuYV7n5bHYarnzRNASTFtntS9eDUsWH
zz5qpWfbDY3Szp+AJfDS475onoRXpm9V5k4yHJKabHBblutL6Xe8AkrIYvCjF/uXb63rVxBwhfPO
0HXnbh1znMN1g1sEzVR6tNNfD1Un1x1MGXK+6LzYT1zjJKDApWHT5UgC1ItjZ76qcI/jal8BWt5A
8mAJxEEyr4sDqDb0IFFOF89dizeYqwi8rltLDH2pcV4pIzPBQbrJYx906ZXTqZQRogAjW8jOsKDW
asNE5Kp3ZcYdJsqbvtJ4/vdeb3O5NtNnlZL9i1bQrGtkVyVZfLBx2aMWXDmoQ774X3Ixai8+Sj9T
/CDmeyrZjbth1m0GAmFS/RaY3HRbFnzLrgIf0GxKD21lY4FmRrZIhLUesSIYz07rEWspRtV/8M3E
HqPOXkD2d0vlsdgEItyF2uLVAnctw1CUtlSC3wXTPGPcZ677qrMRLiKq4Ne7AnPjSz5L80uQlN03
9PDWiEVT8sEtBUrbNH0sHWP6CA+veLBg4oKtVnAy0ZOzZtrVY+HroQkD9yEZ8TZBhDMUfl9nxtE7
G4tbko3wuyASld7j7jeS6n5yF5uKhHTVI68n1WsNzYum+vVLpjxSNQNwPHAJht54Yd1U2gYpatxB
++PE3tN1dewBYZgbvwWUPzWF/Qk+YZPFkNyMget58hxezV2wmWUJlwwq8/LUCUrGYuHDut9gEF3s
rb8MyKFKM6o3uZQG0yTHoDADyzbGsz1wdIfT56u46djNnpwkMJ67gTEU1/p1iE84KD2XFrVZoZsU
qbNhje6evRqNlOn0ergWazF94T0BFNRBoGLPrZvNSQvWuou4CcCVUV9J64HGMfVF1ZzEMLTn+L97
BlcSBZQb12coOCivwWzNTqTNV1CnwIVSXsq0q75gxRHUqE7TcD8HLdphwdH+wfRaFthzYekRRj5Q
p8TEeBus/Wq2hFtWDIu5Crri6PFpzJHXJEKj1wSHTFjpKxqb34h6iQJEJJ7pqavtR46SY9TOblOH
VJ3rz1gmpLejrMi195WV+o+aLLogLN1GOlsNpuWFCwtDpYsVs7lv84SeTk+pvMN6mhrvaDSmJOxU
OuJxbVYpj1DKNO0JuZz/POOFRYus1tI+Qatq75/SwEmJeDVGoMUDL+3PweRZGDAnJMyw8Lze22oE
1C66W6wPdc3f6QaI5UBUzHPnt6Gq5IsLg2/Y13XinRLbkD3HNTV86bN8uh213m1PFJqmaJLBbcZp
YIw7LSNHlLOaLzbJkGX/Isj6J4sd73Vc0z44eBzUYEP+zLuyq4kds59z3u0FySAtzQ68t72N5vVp
bIrKAZUcVKdFIMH+F66M4YX+G7NY/9JbxHL5FV7wH8ZAvuC7cwinDw40ICo8irFl/u5gM62fKYJj
ALPp/saNeW2p+j4GOi6/ZGIN4or7LZr5fQxk82xy1vAJX2JIggXxtxxsBOWtP86BbHjBUPFdmDmv
Brs/z4HjbMHagrSwMRKzQAwCjb015hae+rDyvkdbC5FuSDyyTOsGzT84Mr0dpza/BtLWKw8z93aV
XX1u9ZU3dbBm0Vo7fSQWjf0YL2GzMclb8QfBH6Lfk4ha9iXvqUcWn14sJyT1bOyObVEyYgptCJXO
S3hmJkEAGbQNcBZ19Ktut4x9+t7UFEhXg61vbAydB9doedNY24D6Eij3eTPgMmazVno8rjPPKe9n
JKk9RoxPja3YiwrCfYPixiMUV8mVpcNkA5rI9LOXmGKfWikhQq/fVlP3KTe89g6CqTrw1oZw71UZ
T0R1okHns3R6sjk+2aLaex94+8XOqNdf2cB2e99qH2XWA3INghtTjvz42fIJNOVjYxuvfV2QSAv8
02QkH4Ujp41mj+XFrHMNo0g2nOhph7lH9Ue29Vnu7GqKXDJeZCucxYyNyNi14tnwOZgua1l/XWzN
3U5i6vaZY3s7FOOz0WjZptTKIeKIi9RJCP3YodyEpnSXD3jqFvYLnn8oSw2LCZL9QXMHpjjgqQ3x
K5ialNPMT21hfw2KvEP8U/U26Dr3uDZJs0/W4NXR1ttKEe+x7MLcjpXGxEqTBgmaTo+12blKCRPV
j2ttxb3R3c3WWNxobK5RRa5ce0sGh6WtWX8q4UVsFIN9vg4Hix0LSTk0wrGGvN0UhFvTGmtY2+en
vDM+Bxkhw0bLN7XN25DyoOtLqtys4GM/LDTZ3DGedp8NXa5RnrZyn01tckpbwK9Qz7MJXYywYu++
CsPe2GQ5F0M7p/St2EA/i4IhYAbY6zTqPGVgzA33nBGuSKvyxWULzFUEVBazgL3uRWc8zaoiiUon
SltmWohUzvBp70esirdllWM2gmmyp7IcjqIjq1sMPKQ46wF7XkgeOuCOs9VzP0vHZx1U60eZT+0p
05LxQzOsh4Q7hbimXUV86qeO4xRJQyNq1xYpdsCCx+ozUw2E9RY5noOrf4tea30RGpeexg4Qt9ag
YhxqzRb0vkCKbxfooabWnw19to7Kaenfo5LHi2uDY1qJV43+uutykgCWmCcb08OY31B/Rq6/VwSh
wbB9nYrlEpR9PAi2f7lVbyDoGzQnm+NGd4ROJSbHJOmu5ZNdG7zV67T72DepuCubpiWRBtt4Kpo8
Ssasg5M8zLtiHZCXh2Ek2Of0852Nzu0pc3hcwdaSxNVqFWOE+GgmilQg6hXZkqMEdcCeYkl27Btq
orE+qV2Cvs6RlvCaeWUKLTlNuwzxmbhfSoRkFP3R8l49t/VO49iiwOdUQJiswG+6bui5lKBwbT2b
4W0wuiIM3FW7B+o8hP0oeLIgaUfZNBM/yd0nl3t6VRnnPtPfBUWZHNKR5FmFzQ8Kw4Nbk8oUCZnJ
MnCqDXseb7sA19tVAjdHrjQRF34SHNsk4ZTopoZzqZtEezAzngPEcJK7mhyRR2UAw10d+bmrXUQW
vDeojWWD72zMi89OB/VnHedw4cFwo3sTEQ4PUKlIRmxlLB/Jn5Cvw3xROaE9XntaSpfJz6n6fTYT
Xx3b8vJ/OTqP5cZxLQw/EavATG4lUllybocNy+72EIwAc3j6++lup6vGKokEzvljDpBNxnPX3GTg
lm+mPwbYhPDtzglptRAo95AxX8c48/XetjsWGiLi94KbQ2+I8S7iEZcOo7XjpxtZOrGT22C94+KT
hl0rRaRwO2JPT7pvZPXE1FZxIc2HKiS2exnwYK+vBSd+2vqnmeICuIMtrVWxM/hcRsvdKQOrhYBy
lsF2xONP7+oP4SHkQfl87OySkIw9ONatnINHqiRPRAVtmnHgZcSBWgRt3CyLsdcmR/gwYojqh88q
Mx768X1y5AtM3rbMlydnIEYWLrwE68XjS+jlZg5xA/iY2ieoN6Pesg+wOgxsOLmGV/gZ8+C6gIBv
XNmjl5ENvmNf2uKBFnn7wvBJSG8JR4x/fOijZa4mpm1VHhdO3FedBv8or67gwty3RM/T3qUEoYVi
YjisJ7o7FrcZzyPZeWRbIfTrhfyPhys4hG5eWJHb6OxmGKKKAZLzTdI7tLrw8hjvTq6TKC/a5MEs
R1zFHZ+8m2FtWb7OS91fLcnGh2tySg9lX2RXq1lKrJ6BW+3lAuvnT03wrFWQfhv0EP7xgoz7p8n9
fu+0tDMCEvnZdbbN4hQCj15X/B4ffW4f5n6xfySi1W3a5d5PWxBq0kH47mkI5+K3Z4Mel95yD9w2
nMeF4OLRNNAcmrpsXidibG6LL/RD1+UcFBJMmzfQq/eFrhoet/t/A/b5Ve1ER3XoHUmdhJPrCUd/
LHL3wzI6IFfPhf8LxpMkMehToUiNVDrfpRP0QHsl4oa2xa/VCVQWvbH+XdfZLzmUqHyY5VBdkMmA
lXDY75QdvKhkkVtST3+SOu03a40JukJaC1q/msc00M3OVyHRP55X/YyjDK88WF8K/GXDT5QCVmCO
PDZZWWZosoNnWQ3+jbxMc7t0q3cYRXZLAvlZJVZ/xEX2WbvVoZyx0RLjRtZNy3o2LYV4nairPPZF
WB6Gpa5x5c3qvaqUuy25ivnRZXM1JjqXN9TzJEz7U0AYhYBV11xiGoPzDtK6Z7+VaUxL3UrWbtXu
pxUX1uDphzysq01fpIKchGHycGbhRM8BPnIXjrivFDsOrH8BXFQhW0395TsbE/VZhxmiHR3Mp4QE
rTIKSMveos1NI6J908MQumVs2cEToddyh6cQ+63bSUj5cD1aZZ3tB3Oq/lSmNW7dnjtrnKogzsY2
ibpGV2QylFEmTkxr7bVL2XqRaQykcbhXoydRg0yZNwBUImjcl0ZVX2jZXspC4Bz2d/TCPJYdkKP0
ksfUTLIjPyLokuPIyDQrQgGwrK9r4b4PLL/Vki17EonzvwGqGRCBoT4R2T8+qi548BYFJV3QiLKt
sv4nX5PptnYmlsUJhDJ2dVBvS5k+9u1YvPuG477ZlTIfPI2uiOQmotO1IEU7S9Vrybd4CVMcfJkL
LKVGH5H9uKD6I/ao2Lohhks8gVE/JvO/AqnvuQmMnb1CoveynDZ5Uv1NbTyloDkbN9Q7v5huLbE9
99RC794vlnkHKI9u42r97M/r0SmWD4W5nUxYyQzgxJ0XUHvinKw8+Mjm+X1yNSJ3cQPXYJSbU/RI
I9VGgkk3WBzaeodwv0g1HiqskLnnxlRdoWBrhqdpWJnUqu7kZuHJXCjDIeszmsZs3NM59RxoLy7c
EkmkgZj7rxj8qJOCoPgFyI7Glq/KCL4GlRxlqfnlA/U2BtV/wWLtEiRwm5q3lfyhm61zSPjOuNbj
vLeD/gSxGEuVUt6jXsig5aYwPYQQJomH1nM6pdXvOJVehCVgPjXD4F50geRxlV5+7gzM9B11VJzw
9JdkCQJtWmk2RuozGvmyuxopZSwoDx78VHwaHVfvXFlwMQ7ohuKs4yNl5UGlznudtTQXm5xia0jh
15ipU0F+ZLU2hBy4yyONNiDq5dHXWUypHtkUskujIl/KK6iDfUBAbj5qePAD2rriccbQP6TTjYqb
S9F598MRncVT7zo3uECaaafZ2ifoF3mQakzBpp0+V9UkvqmjKndrkdNRK4ZfWxpNDBCbIAqlncxs
B4ubwZ8e0CoucZiTHhKurv0AkXezA5Cdsq9AwXLz289K0huGUv7mWUa6wSzynxrpyUx/0bHxeXfG
8R0HXP0Wmno3ITb0armn03ELA7vhVkAbUZjTFlhxviG8+ufRthHbdtvf6pWr1BZZsQGFhX1zPVJo
FLPWqMKt0OStNPDsdCYH8Ni6cc8uXa2nrFa/yYBUZF0W6xra6VtngbsnDtkjQ/eT50t/qobSjk29
tPvMLK5Wn6ffYU4KHbr4Ll+3ymkTutiJtShBCr+BjrqzO7bZbgzWuLCzKWbstLZjUcqHufN3k19B
EXDvVYeldQ6dq66ev04vy9I+eYEuiYZonhRmLpnKD7/sr0BQhDik2Q9WLnq40iyejPBg4IfhfrvX
UOGmbbmCr8HIwMB5lJ2lDRIUdL0XiUpQq5aXl6Rjagubet07o8n5lwf2e9LOIqoc5X2Tp9J/IqOJ
7L6IVtuI8jH02cMp0cNUIrX7p6rI22HzOTiTfSgB9uuhDQ+0AFh7GgvG7RQ6pNbcxWdT+jY2dI3N
wfJkldmP5yR1LKqg2Huj/h4V4hDE24FbfPcTPhQ92/5rVlhi57qM0J3mLEoIc3AGnNZmVs0XQDFv
0xTlo8FBmSTC31i9fTCN77EyED8gt5gc75BZ+jRXxqML4P5NqiygrJWXx8CZmGQNXsA0ddEeUN95
yCbXfsUwhcrCbcl5s/tzS0UpFEbTbxttii2E1l+q8o6231RnGsnzm7OSmRL6xQAKPLBVW+1LWLDN
oGYlB9XXX8GUhIdgDLwDaDR5E31YcpWYHK7h+mgb1Ruksx+PjobM8UcolvJkZ80fUD3MHcbYHsAo
ALQz9rjziqoydpjvaWNanQbMcWZZhoMNNoGoGJQr540MrpLoZrNj/rKMY08j2LtT+vXF8JEztR24
W+9XvN2Iq3QEjopthTqZu5WKpbQ0kfXUlSUfM01ITGNmKpokM0fv1uNFcc//hkuVI78S+cYT2XKp
XO+t8Wt9wOpf/STKbF8Lw7Ni2tzq3xYcGY/rUu/82SG6x0ro27Ar2IBkqCIyDRMOHbvYKa8uPmiV
Cj+1XQ3f0JBAlJn7m1sD3ExQwsQov9kBot6jX8jmk1UAIybFXZFVDVDwXDtqkvok7qFBSWkXMWqW
9aeQ2tg3hjdvXfSICa1Uhn7mpxmjrgyJc0kyuRWLN4/bYWioWKlH/wWdNxg3wv2nKVf2c2/7WRu1
xlwdqBJijRpmgnco3tjiGR0eqdrTjyzgwYXA8wl5ee+fZwNiHY6B4MBgAAbJZxPxOXleg0LsaEid
xgS/L7vS97JjkBnidQzM7JqUVgJw4hfX3MoioPue+rK8OxH6jFOsNarxoxn5Gfo5XI6OUOK4CPcl
K5u99oL/3B5FJPIEzaszcbLWszOdh9p6sFrE0u6IOwCFEjK/jVhISdAg/j+O3+g9I0xNeiWaPb81
8+dBrh+2qK7pNDQ3UeogtlXBg5nedRGqN4nSbLHTmTnXP2GGVUuqQlKz2c9d+TKX848ujHWL7DB9
KTvCo1DKkLIUpsmnaViKEJgE5MBirb6v83x0aVRxVasFoK8DdJmTyb8tGLoiq0g/rSxAMpf5oxWx
4FxDYGSU4oaN8B/d0mcylN0h9fqRA0rztTnZp1PpfpMl4idxF7xkfDtn5k2gMwdVeq/LF8S4n8bU
XsIkISHNHauoGS28cN5yMuq7dbbz75Fdo+mwU6XraakC/zBS9vEeFAYskDObSGPwn83HZipTMsJQ
3m2SPM0iE61zNC+AFv0oggP5D+W7PZjyUMP78Y2Z67nl2T4nwPP04jnIGnNpvwelIO1LOymnXMK5
3Kww1UEnvIjSiCw2XJ10G51Yl0msIw/hutxc+pfY6Wr5pFRTncRK6r6TYoCR6GDQDoV0Aqqp/wWb
oc6AQpETbkjrkAz06ubGdPZy29iLxjIfloq4UsbQBt2XbdP9oeY5edW1+g95ZgBFwJxAh1KxYoiU
7r5dLXo6lpQYuQL+sBCdcWxNdt7/Q8wbD5/K1jLSejt3iY6X0GSRxGmIHibbF7WLOj/rcWQSGLtL
Wg+/Ig6KnGzdRvjM20XpbLG6ZbwFen6BUUsvHe10uwHT2nG1IBA1e8inR9Vc2dvroa1le64mGqMY
fQkTM2+F9MtX7XbsSzoDOdETaSFuyeA5+/Y18Rr7bDkJt+fciVPfL/M1K7PlQS0MkiyhFi6Fvopy
K002KMAPSIj7hZQAf+cmPj9wNX4Ly/9H2sVnKTMmXBSBlWg+sVwYBx2iFfbnSqDSNoEkuqSjWGcc
mi1lsEiWHfk1W/c4aELxsihZT+mkIsQJ5BDM+Wo+ObM6zk23Uqk6B5T6heGe7GDFpNc8hRlBfn3/
0Hj1VayaAm8mYaJcYqfpmYhAWcLGsDi29BB71fCHR5rdUbpExxk9WU/ig8XsRF1D3KGv5rQZ9wqa
5j/gC+Bg46WuKHRVc5P+Szx+CLQGu1oSs7SuLX2TnODvtEmc+tF5Fi7S7dop/pOSwQ/gvP5TSfhM
5x555K14ghp7Jt4qT3bJVDzXSQrphAH33WvRdPYW0oAtVYs+/kQqZE35qUFSJu08GwFSv+qkjPws
DL7IsAz/owdhBzayRXtmYdPwkHbL7kxHRMtar8eb15vePWepOtltCyntXgKcLngdB2PbDMvLspp9
vKTLh9O6MmKz+M9sO3JhRLLPtF9eysXaSGMK9hPg8yHL6+Y8w8vGo5anxV+G60IMzgG5M2cKAd7n
IvQ/fW9K/llgm1Oyvpng4a+pVxLClSF2PmNKIIMNd2iJP2HTFT5XyZKZu8Zdtorxl7SdET1lm4T8
M/w+SbY25bTLpRtE0QLXksPHGmwgNfT77EFkK0dOu5h2d8XAoHbdSCr+poRMBoMrBrOJFz3K6oe2
UyK7VHUvFxnUYFPOBn3p8cdX/w5BI4LdZmO27hPbNdgKpoTYsrUp9T+vD52bIna2OCVBng+4PLPg
0xwR2W44ItXfOWzDIGqsNvvp83o+WV06Ycg2MebNOIBjXdT9n4WAbljZ+aunwwm1Q/guoIzv4tFc
ngLDRki3bhiT0HyKDpgNsvsiWE1eap9sSGe2xR4TmOBd7cNbmnbVy1QX8ryiNenRxNO8ZshERGNC
LJ9tOCuLDilau0Et/mNosuZhTZVnofucyzD3jvjp6UrPcZ5Ru/JEicGZrpkvLUkWS4L1hHAO+47t
7xf/X+/wKs14mXqx/A5ZXr1rokIvvZOc+F+1J3uo/Z3uSWfzlrrZh4sFgbNij1nvZqNQ6mC76BRF
YDd9TaH71Jtjflw1kv90mdLnEI+1C0u1cQ1OIaNe6XfDqb1JNOxuAtNlMX9xuE45cu0uLohSbAun
PI0Fi56J/nZo8pFucnuJzaTM97MFqVFWYNs5lTiRi1DHbDwgN/lkziL8S0jT/N0tBkKglesPtt4d
4WpyHAg1b5w19WuABiQZnqpheYSp5tSw76NK4d0W/M6xoyZe4kmVE5OctbezVR67NH9ju3njGbW2
LXESyhafd8uzT3zfEKzHtg6fajnZ/4F5Nfxiriki0fACyboo4wF9vUT/1L4G1JkdbSH+pdMCYoSv
vdhMdn5QGObjMhE4GHx9y2f311m5jBtjsB9a+BzHw3E0aQH0nKyCmWDhgR7wWn+Bt2PVIy+dR7ug
zI9hZNNZaBO8QcLRFKZ7GFoVKa/DauZQSjCQeNoa/THpEoihkJ2Z096m2rga47FoTByDdvCwKDmQ
/Bd4j301EWeXVAPJz2n6Cfz9f788IRqz732EhvI4YQQWB3TBXOGV8ZGXYfW8Ogv6FtQQ9XPRDOUH
PFodEWhfsh7XyNez/1b0K01p/DW1QpCQahS5JM6ODFtpoc0jSpYv8Plhr1X9L+A554LHzmJs1sY7
llYGe1LUqjkkVJ7f+rUJ94AAr1SX0QPSMgTRc/6Pi7BEYZ9sK7zlZZDU19x2lzMQ/By3omtfHK+w
rvcfs/dT2gdb2yE0rHwWQmQ8eKtDAioA5VRickUQr7ZGpphNkvWhynW9113XRf7oZfFKUFXnEdWo
quIv2qI3b65PkyTR1SjgNV2AbYnvqC/JN2uq9k8AO4QZLLGZnfNmhwwIqrUxHn1HVYi3tVM9WHM1
snNnB7fqFgJCbYL92mD6Yjx/6rOxvGVNtf7xxV3sbRN84kyueq4rKkPmgrQogPQ8dnDxXCYcWM/N
QsKaCU31JCx7uHS98qmMDe9GznBXz6m5LTNBfXO96vK1Y2ykSDdBaVOFxjHow/ylx/u14zEc+o1N
Kd8WmeSyqzDLRJyCNsJ7rzinXkMxtmH95e60sC7cyx9aiEyUJ2AhocLB12QvpGB7Z7tCUOK1xUXL
sdlMWjLdlt2fdL1jcZaOMBL/WmZ/pPCQm7/K9Fsrg2svOnINFdMM3k0MlXh7yUF1re+BhPa4nYOo
wnx2s1Kh/tbugI0aFfmWIAVMuj6LYa+FOi5JWN9o/nXPycL1r0W7car0OeGDn9Iu3C7FnczqOpRI
osCVOa61cw5LRIYj+mYQm/e+qXl5iTdEjtRf1Ww4p8ZrpoNWCxGYff3KjkiA5GS9Gj3mEu2qx9rs
VBxkkAVp2LlbfCs2OcjQVnIteV7R8dh2AtJLhTT7EjWljZX8PzHxL+K4DFkLHZhPnqLcQhu12FM+
9ll4xj9jwARKFR/CxYHgzDxvIL0pAV5B1S0Hfri5O4Lgcb1l+tMPwy8J9bTL1SzsXcmCoNRHkM4L
QwC4rFXa3aNc72G58hQSt9l3SYxrETobAHmrGuu1kdW27vNz03iEp5r5tD6la06ehleqeLUww+ZC
R7KYLk1nZpvM5HhN2rv2vUqPFh65yKf0ZVP0sBMID7lH7Q5pdcmmNjyFo1ecsk5dsrG5pY2XXTPf
FTCjFeEZ2CKNHaGgEMG+8zZCnRzSyaAdvEFH5rc5QK5RtGCktR2c+hmEOWRZmrPls4LASHlLj3xD
2IQcc+sHNTivsO9VF4QC3zlAB8rmMHWJszdlPvxb8p7dek775yJcyasoRwyYuZrBTwlZi91a0ac0
mTm986v/5YIOnk189uAb3q6rnc3MIwPMbaO/YhYJVOu8BErmsNezPji98hDJ1fU5kEN+a+hdZ15C
iLoaghr5pTY3ogEJ7s01PejKfEQX254HYrVxmaMFDTFK8yN2Ioj82ukxMhbOAWfQ53Q/7kgnSQmy
H6AvPIhHigaro6OwyfqmlZ4Tvz2Za22gQgStLILPTvd4oWc0lkhm475IhrjJOGmLxbCvExZh+ioP
qWz/dZbPN7Js+7nZ53357HtotEYaz/RWWggbGl7xDN7X9HSU6A+THwiRPrNoeXVxmm21+VFq0OWg
eTFcIJWMeDrb6NjWwIJ7bwWHz3eTBdTaWPse+aZH0Vg/B9NOjaPaWuH0zut6mkT/gv8e/YW2jsC1
oGtjLJYxqrCs57xHdVPE2ur38yTurz+sMFq8ui9I0atsYIWMuVRzUq84S5rKOmoiIDODuJQcYy1v
Sh5AFaY4UNuOl9J04wZ7dr3yyWVPJsCUsWSS/otvj+UAsME4SQLfIKIrkH7oQsp/TMbO46oc84F+
3Z5nplIZ/oW52Aw4C+OypOET1PRxZHXeF0U532SfxNakh0PuwhWBMfEdCvG2TuR8q7l+xGlHvOMQ
cFw5gXywhobuzRDPGKKaJbL6QRy8BGCqAGO8mpP15fsZohBlFkfeDae4ZGnVPGK6JKo4yxMCGwf2
AMWNJjrq0T0XjlaohxVFcGRAkXKPO299AI1CXUr5wW2BWqBWqL7zJNzLtvikE7zipZRljCVqRQUo
foPaWR4yHwNFNncDq2S2RI45kIhDhdb7Wg28wCUsH8B6s4g9fs9NS65CbtifNguLUvU+tKhSZduo
if417ElHQ+NDsC/WtuBYjF1lHhK/iRwPp40ZZP/YYuK2UXsfQfAhzbqTqf0mDoqZdOGMAh2W0NwC
t0wKDMWy+6Dd+Ghn2I3HKaL1xdq4dwWrac1HChIeVXY/F/PfpQkpcSVgdPQkR222bldhX6lhBZAi
Yp4InBdUKDjbCStYmbDHK7XxO1cA8yvr2TcN86ljx2PXCZ6LMvgwnGLCgwhEi+QQFxrkDVGfigUo
fOSXMB40a8OnbXas3ZSqBPvBqVHcOF1m3dBC8imAs7QYIh8Rl/7PZsmDUKzm4DCOoqMFd3GQcIvt
4EpogDnM8DmjjYUXP3cpbL5lcq3l9jLEsgzSC/64l5Du5vOQuJjiPHKLgGrY1JLMYJKRgBnlOWXf
VyQqidx7RAz74GfN82pkf7Qx7ucu3VMd9Jg5/rOVVfZmBQHcirHDIG+GL6lFEW+KeSA287CCb5O4
yZymKjeC3wszmhT/UXuAL800/PbdVLLCuS3tcOvaQf6GFYmoiVFS57KDlh5CVO1A4GtjY4wSZKWn
/pPqcL8u3a7SJEHnJrceBsM0nnJ3VTEjaZhTyihApP1GSUTLVigRZ/FGRohlV+81RFBNFHsnj+2Y
irc5m/OcYHPaZiL+OK+zq9A9uyUG/Fp4+Mf6VT1hPExPTJOkj4b2HdESnEsjHrBf6Sco8JJgQ5RT
RDs1ce9+UUZj41Sxf0c5TRQHW7UwEKE3u7mdT2K/IEhI4RZEjqPx2YlIhcndUXk/Ym1MmY6VHn2Z
tleJgDHGMrmAKuXvVbbICG/6O/psNgQbsZJqq/RpKbmaAygIqmhixF2/omuidaJx2zEC8re7BsR/
te2NF446DryczJNOi31lujgu5aPgGMJY8pTzwG1l0p50qW5ith78Qr3d0dBdh57tSJ5vuLUnUe4I
bKOHb6CaulNZ+LbMcxv5s3FrC4tDwQNwGOD1oNPbZ2RmkJvk/YO9b1SZ7px0fQiIx1q9O1E8rniw
TPvZNBbM6MpHdFO+FjXiBaJtX5SRrHDGPnnpBj4NyyawlcIAt+UOBz4j+8a46a6Xe0OGg0GqF35X
qZafCl11pH2MsY2LWdqW4Gx531xGn3m1btYiTju00ZO/qGfmSfqrBzFw+9TGxax4u0vr/6/UmO60
01g7VeckpIfzC7FasFyi2WcBYd9+InCbyLHb4Fkemc5SGPERobMaMLeU5oAUnt7OiOJua7dk84m5
pDlrTYMDlSz9hW+E5BO7rD5TEm22/qqDS50x8TV6+sD8Oh1yRxAdnHQqEikZ7MParnuou+CWdc3v
CLNA7kI6xeOcZY/G2HGmcT7HsPFxFyZ/q3pgppNpVKPfOhhjOO2q8T65OkxlwDXJJRTTFzRsd0Cs
yfWJpyQy7DHEjC3Sw7R6APXrlD4OoLNRTqReVAyQL4lyxA0xHfY6S8+vJG+ZJ/7WW2ZnGO0Qou6J
yRATvFCTPK4G2WRuzvnQWq3Yef5YvDLp0zsCkEwkgR0+tjJrnyhCL7nYGYXYPpyftBXTGXX9eg31
jOXIG8osDoPEPTqeZjQKh3KPxZiED1wNT3bpWmfWoemqaW61N3R8Q22xOfZR4JGiAA62PFVd0f+b
KlezTudJ8OqO1iNjJP6/uicbhoGxhzEVKUTJxyLbmYwBFG5lVC6liAwoYrgLCNHI4NNHY4v1cbGJ
oKAwRTZfOgkWY1ui8/3PGhuXQw1N10aGi22yBDiIcyUxeufO7hTzke6ubS/HbNcvdw0ItmS6tDJl
p4+FpdYnbdWANHjYGMbUnIYSs4fU3aYOPfwMtpUxyGRrJYL7EY06tW1ibWt/x/vcEh+4/tUuFnh3
lcTeUx/REAzC1EYeU3dwvTTC8vho1cQK+ewr1FyGT4NndpTaJeLstJBlsZPVo018wUR/YhmgDjFA
+6KwmKm5sF61CssHOTEOLWNxmZxQP5mjNezycvhWjfPgGGw4uQNlXAVWc8LyaRCODGddKbplrBQQ
TVJeymnkf/ZqNa9mnx1TQ5HkEpiP5E8vh1Gp2K4JyQsA4v3xQzLTJuEQ2+G86/rxLPh1srz5VmH6
nnONC0ndBGjAJfHC4zyUsbBA+ZgNY51T90TxklHsBm7HboMGKz016UC+yuxmLDmLcV67tInyXjp7
piAKZ8rJPqe5y9+cYcxhkMYvq1t2Wgkq49bJ35mS8AkvZQQibECcxjl1nxsJG7pRMjG/Oz8nq2vU
yfhnxeBxt7Pm3z1Wq0gufehFrZ2UcWuLYdsz3EoEJG1yMUvdfzCAPWHHHwCE5zQ4GGk37gs2F2J5
SCPfsDT8elVGioann5Xt0JLrLg/SEr/KtaCljSOe74vI1Y6H9NbQPNVNLXI+52Ko9iWp3R/SVLmi
a4e9saWzaieDxNjNuaHfPAuieIM4m5T+DM9/g+sXHzjRUpUbk0TBpX0vhLOiIZjL4LtsfWgCm9CU
bbvW9neLke1z7pnsZJphBWotikBGozzaU+3GllXPj6o2H4apHaYoBI+8eBNANNViQfop1/tTWirv
D4Y8irnmujyCmihmUJt5mDvRn/qHSgrrrSpKBnuZIf1pBnn2ZehANZjJzjYM6xPQ9VnADJ38kteD
BcH4Vw2ugaY9U+FbpXlMCrVg/NJBfphd0sGTyl4/CJ0E9oBA/kVOoa5OteSvGbpZSArDONZWw/eh
ze/Rtf7qkOk3yOr8wUrqz6EcnCvryvIuLCs5IKFunxakQPsOTcuPx45wHHTTPAihnccp86wzDqH8
0vHlPnAqw2S0JXlTBb9k0dbT0c+L4qdvQ1TByDTCGa+PMwD62Us7XGprlbfKWKo4rdpo8dI8blsz
PNBFIt5pNP7J5difaXYykdyh6p75wm+5u4SROztPVZ8W06EgmeQrrbs58vEHvfC+buFMcZFnnjii
jqaOZfqvdqfj2qf9eaEUHInJmJP9NOh2jF1n/p1q9GBZudSATMtOJUMbucPyz/DHnhwlrZ7CQadQ
OX3GjWWWT/64ADWKwNwlivwW1rTFe6HxImUTdr1tKVQXWX5BKkDnfvVOUSyR7vKo64Phn88Bh8bD
XYctklaCW0YJSNWtpt5nvmXdNLljsWnnPyo1oBUmJzh5svvtiB7pDwBQ1U4Zg//CBmbFppcSSUEc
Dwy7/spHCMfJyHhtgkBEulrelIGpLwQe2oaue7QM4ufBg5wzGBvH8f3dX/L105fIM6GSww6kpX4h
wouroEPhf+gm70sOYXip7qRHMNf1GyUXDh0aVISsNOuxdqND8ekq5iOMv8ojKnW0KqyzCkx4rYW1
s3uBMGugPGRv0xkZ1bax7qZOoLqvZOkfeuUCv8x2VxPXNVaUAI0u7Doer8lffRpCgMms3jua9nDu
GwvVlU6c4eAJNzmbRePs/d4ojhmLLOiHmRyXCpPocA/raML87OKcwRKBQSuQutoW9xytmqz4SVmx
BRU/ttQObLxcBo/J2tOHTPLHnrdihZRak1eLALi/dRASVSMRWjIylId1DfLthOl6Lxi6vlEFoo20
AIB9gHZmP6JCGwRUsUskGJmA5vuYeOnetkL0vRNII2e3SL/ATRiOvFa8VND529RIw23ned1z2YWn
0KZCq87mq/Ll32zVwxZ6Mr9Aj7LgFZMd58gnyPOs2XlskroOQTYSUoROYjvOxV+8IH/o4/65e64R
zjXDscN4e+gNZ8BI7Zo71S2vJDcuf2ZpPCDHBpj2w7chs2r6Q8kYxf9HMKObkrl/lxM34ZHKgVtd
Oi/kEHcInDriI2lMwLk74PgeXWxxdrqv60TEY6OeLa7qp6krun1lOHiIpcgPtuEpQdJq5UVFVU5v
Vq2f0B+42xwUER3tnZNdQGQF8S+b1C5usArx1JTOa/P/B6SuXZydnPJZR5aukkxrlgUKFeagjZs+
CP7H3pksx41kWfRfeo80uDvgABa9CcTIeZAoShuYJmKeZ3x9Hyi7q0RSTVou26w3VVaVKSECAbj7
e+/ecwkTmNtxazaERZmUsDG4CK8HtiqE2Z1QdcZHztssPXpxHzBYWexnNS290qiP9Ri7vqfTYgVt
4SUxDPtoNyBVo47n0g3xGqDB7aAIO40qviOocY4xps4wbymbyvTSNGLzqu+JSItqC8hxJmcc3wXw
ROyKBFlxqkEnwoy361lzEOVOqk63IT5HnlTqXBB6ADJEdTPKWl23LrJ7Fc6robKb+geE5OOxGarp
guNXw4zN+L4M0dofIuSKB/u6amvOO3OS01taz1thDmpjUeOFbpP5b1jmPyI6/F8LRlBv0xj6LPz6
guG9/om/jXfS/UsTO6946X755P4dhCDlX5BCBWkHaySAjTfvX8Y7y/pLCkIRXVMS/yIJVv03fwHj
nbI1f8p0V+LrP0PH0+t+7rsjbtjmaRV8Ri5kEdfNP/8tCsEa4wBYAA/RGIbJ9QBVamsbnNAx8JYm
BM0ISdTM3sP70ROiu6GLg8slVT0G9tikCtdurQVzcpuYQCsOWn9GN1VsOZALoktktzwKy8ABYjcl
RgzCZ2TLyKRbHD+dbFly5JsaBPhZQFdFcdBn6w0teHO/JiVRJNzb3rAdYyMmqUNa6CVj70JmaMOV
FyJCEvw6HMmmhySag4suWLgsQ+4UvEvF/Pbk2Jkzb9KAIQoMqD4NYV86aY0UfCw+DXmOz86+liq/
juzu0ViCzTS6l4bNfJqetpe3iInT/TpttrF8yXDaBZIsqGo6BgVuhVYc+fdQ8Sdq2MFiRKbqUp+h
sVPdzURi7zdbPjQeyPONGcnLhL4lenW/Cpod3sojTayvdedcBQZMOzc5r2qP0erEmUmXGyPpdovg
T/bOiDy4AtqQcRsoc6YRbCDKy/U/dgiymmYTuSZgAzXzR4BhBJHhV/iVnV494h3Zz0V+6lyvEnuj
psfswqqL2UsMWiyyFsbPecEuIab8IabV1KXNbazLbyFanI2u6AGPBEaucDMNjqkS8NvSD9ZS7+Pe
ilAyRrftYu67LDvZ1XBr4WXi9j42+iHBpVEan0NX7ZO2RJwkyYIb/bTTl4i/uEkTuuUS8Kkaw0eX
5Xxvty3erNC8j5w7gL8fB7nKyaNDWMwrc53mAbODLVo69D+ph/q3Xw9WrMnpLrYR/QUQOja1PC/n
5JTP1o0VeLvVhuVa8a5EgZfJkXGovtNmdu6MAnvB2vbweu5cTEylkftMerexgzCpxZgmqJfs/ZKQ
QpfthcY2j30q7uVHhrTnbWcdQi9DGGh80aQylRU0oLT+zmgSgJCmIc3mxq8WO+1NG5K02Nh3DLSe
eguBytQ+WJz2LYZrW5eePcSwHSy8axoY2xaZZyJBCyBfsHKPxE6pSLy8Yii8urzuXOYUBhXgENwF
owFCsQgZbWY3HuCLj9GIJHzCL5IF2VGnA0NTZOmOWe2kaZzpIK4/N/Vlz0Rmg6LKxjnVPBj8a9JA
HDgH/XVeRv6UASx3rQ9ZPjC9dxPYwsNB4qudSWFsCtJ9BloxoA7qli7wCD5YaEgDWU7EaXxu14FP
l6zdBbQycFAygc+ckw1mDrXRJchOamt0TWbsXo30T4YwvkwDcTSr7Aw8B+irTt841XRq0BqX5syW
G+Bd4ITJMKj1vTG9wg9zAlV1pF3/NEHiZFCxH3hCpJGfzBENIuw2qcf6OjU670YtiNmA5w/52cTk
h+QAuR3m6D7Vi0OTrLrFlnIOLgmMRzKaR4OxXNhkPzXBm8kc+KvNocvmLQDgktl3+nk2G/jKPfZH
C5JZok10BrA4GWIeI6LHiUPyBYO0Eo03DsNDESKTosjLPOt6RDUBIX4r0S5PGaqEOO/xIyP4dur0
PhH6Pu94/gL50U4LP0ibQxbw1d3wzBE5I5F2Exs15Q8jxXO6LTdTHl7N03IJ8enC7Cf8ynSrakkr
2zsBNqR1ah0lSVBRqgEOquEyD1kYOPLz4j5NmGUMprLa7Y6C0yv+R1/ktxx9ig2DU9qlhOLM2Xhu
BfO1bOszXRCJTSBVI0w4xcjEbNSlVnJi5snPk+ojKmkYDXONDLmbMWSaCNyHHtk9ShC3tL8xtqcL
5PKVPKoNrZtLM0PokcRnjiEuTVGj3iLc20l/NqmuPlWq0azc4V6iLmDGcxGYyRdrtYfG0SmnH1Fb
yz2WysvICn3t4ElpEIOo8QxRP49TUfsW4V+Zpf0J8byZqafFLff2bOdbtrXpOGsOSxydptbdufb0
yUm7vZeXdAmi8cLp9UmZHarnhanA6Pj8ArGPY/oQGM5Z5xA9a9UX63I0BdHWTmt5mqyfRuCRz0D/
Wzk/JtrOJqhcJ74BKDQQQVHgZ4VP7hDstU5pF+NpCi4ZX5xZeNx7N7lgNPErauLU2/zsaroaCSCk
JEqvp2Cm6UIM4kJdAGjiZgR0ElrAg8rlLq4e87qayD6bjlZ575LhMHrxeZCal3VnAEcOcpSjnshn
98yZSmCM7lTiksLoy7LndKDdaGMG5Y+O7tBjNHbVJ8TCfXEcmyBccB4qj6ZiMuIAKlu2Fk8LWI4I
zh+mxcs+obYivxOzp30z0emH1geO6gvDDBhjc25/mwsuvcEhMVPAJW1xYauEsWKdrng8VJM2qn2k
Y9XYCGOTjfPSII2RNNK9fBB+njvZgmA7ar95jWPcq761M+a9wrxQ5YyfPwkaWe7Q6BJXkFGMDX5c
eeOFlXbJuJsmE6S45eAkoDvbXGAfDkwfSz83YTBnVpes4g2/KDMr/8lgePzuqMaMroi00pjoZliq
vkdH9FDjXcaw4RhVf4hcjNorAy1wj8jW0MsXMxNFvHxW0JxP7aweO93xbTkhoVSsmS5t5smCXhVT
JdBrGIe8vMjyPolPaBF1eyo7J3UvRZHb4KSWFKRg3+DWhAVMiSC14SJCdgC7b2bmtwblEJSRiyXB
j3sYpy5fs9oatOYRrY8AYxj1IVIF07B2EzK8YGtgsmA1wJGCGUEMM1TKJkXh77pggzdNWhm9Hy2B
mWPURf2yS/ppzhFvrGJYFwv80RkWibmI2DqQQ16QuRdDkoyxP4nc0TtGP+V4NU4RLVZPVLrwO7fr
2oNDTmBwXeVWox+hGoMSJ8WAoGcoDhQy7RAida4GAVsztRcK4bwFD3OJ4yNiFek0c2m6F8Vjjd6g
Q65Vt8OWJ8BiH6ZLT898SEmXWeISDwGORJrErVlyxoHVCuPO9phx+pa07OXI4GRKdoMHFssX5Zqb
0eQLJnHeH3Pcj3Tpn0jt0vn16JpIDfjxCWxZuWk0fkTX9j5+fOOMlo7dX9NsVx+Dcm3EpFVTFfuq
olN41CN/FWLEYIbOZQW8Mdo14vDUBfHaKSmY1q6QQzv6nOU2iYsB00CyQ+aJBBzDpWO0ccqguOGZ
XaozJDgzhhd8Rmcdc1mDWq2kwcSAsqvO1TInn4Ahgadf2Fyao43e5BM+xeEiqEkY3UgPzB+8Ya1Y
ZxUKcCfkLtOebrG5LBMNY6Yu9DkCTu4sJmZHvG3X0KU5gfXqs1Vk66Au0RPsKdoj1peG0LFwl4SD
mW1NcwY8lBV4hlUy6PN+qhCpjkaqL0ZezGRrBhH0BIoKDD+G6ElqxhpOQy+UJAVumG9jorFJp2Qr
59jL/4Obs9rWk9ORMe2OkvZK1LirJQUM9AasWPtl7h38x14VjCMnDCzAvpsEqbNl8xHWLrBQ924Q
n0XItFREP1IHGoGKUwKl34XZUv7I23r41is63KiBe72iRAP7IqYz97OtQ9ykA/kbM57EIei3Ft3v
Vsj72uMvFwRihlsziYDU24pfKcqy/AhQ2Vb0rTknMSsaP1noplzaPxMaewLIt20yym82DfKcY+C4
IiRGEaPkDNtzQBxthgQzKLJDXuZxfCDlwridyaTDExaW4WfbeQh5Qvwot/ofHcN7+8qO4v42HRpF
NytEcL5xdeh9t5CiWxx+u/kab3mX+xH4LvyRogmQ0TjszkbWM0nnBut7p7LUd1V22InkaEOPxKVS
fXcBQBGWUzelOpDZhAF7NAMgc0ylzVOEV2XB8Z7TiEeJ7fgclFhvPbTWQHZc9WQHI4x52Knd1qhJ
8pajsokqsBxiIViasX0Ddx1Z9Uxh5YxqXfHE4I72vaoGeqW0FVOO60tJQmmFX4ZDgl0zAFrS0rkr
WwwWG+D/7fepXelrztjz83W1HpB3lSY/ktKSLYlAi26nJNE+PlhpTE1Zdqeaus59esmo4sraK2s/
cpaAp8nx2HiRACJvkPnacWuLaY0MWYR1NlQK8wmKplCDcUjH/Vw5QHT1EJBFMaqyvo3QBeA76ZPo
S60b74cwGP5sudUVLEBYtwz5QigyG6XHIdkzCZvuSC4qbqmf+6/GPCIAJHuAzlSPvZpJGGu2s4ui
oDwhS2oGuKySidqUSqCctmvDPHRynLkb5mSLtVtM2tMbgTkXiyKTsuuq1DYyDU1zzCd2C+m5B1/L
+v/wtribTz/+8z80WMv/nbK5/VnkX5v0d57S+gf+busI+y8aNNBRtPCQ3nnOv7Ca7l+m40oagJbp
if9OvvwfnpKzhrTxz6QEiGXxX/9q69jWX/x10vNW155HP0j8E6wm3abf8i1ZqlzFlbmStBxt8a4+
b+qgamTijwSNRnXDHlCDaSTtAotAXJfH3+7JH1ItIUq9vJQr4D/BCRVCKfdF/yiNnWCxejZjqaib
uJzE5d+mF5MzFBeRGQLNb/LsY1Ih5qniITq9ffm1sfbq+g49rBUdSsbd2in7vX+FtGAGib50fmyl
YXQjZOSCosC5sKcjA+idvDidbBSyjcsZKtLPUIBdYfocinuHlNvvYeIEN3ThGuys2cx6jcm+xu4i
OKXvyaPJBelGSV4cHDSeT/VYkyRS6Ai5Re1yWxsjyxGaDCWNhaipCw70JbtcLhOHqtvpxH0IwDME
XlgH30AWDJ8YUMiPuKWKS29g0d6NRRZ9fPumkCD5p7tiAWq1iJdUSq937beu3lyZmKqQbvpj7HHS
7un7fS0GG7j0XNnQTwxsjZ+ovcTXrNWIQMC9xiOmY3T17Ceq/rHkCBA3HB0RJ0cZOAJC0cgCFhOy
JVQzeeDbReISYI9rNjlwklXfadDZ4sDO1X0IOgnAI0qy7JvdR3W2N9D3T0e3q8rHqXcZT8Q6mO9s
BODYtt1oIodeGwmCThf8SdLPyChSpyWjjG8xgmHvo6uBckrClmdUes0BI0n3JqLr9kT5UHDQIKYZ
3pZX6X47aQm8Ih2RB0CvsKJmG+Xx5Pge/pSvZoaIdlPoGQVP20tHX1ITOsa2bZX7JRCs+0fGJmO1
Yx0Xyz5uJseBkOTFnDaWvrvH6RiGNwp8juT85EZfncaR+ihLaWOLxPQ1+JpgB0mNViz1Lu1WhEvV
or8nixOpvk/8n5kSqBxzpKdVhzCjXgarp0pG4WVxpp3MetstY6ouBqpJ57wleAWViaWzuxitsblD
WlSIrcSpz1nFZfB8jMXkye98YW2fI+rWKG3YleNb6A3OeBmEJAvtl9ityJFjNgwEh6eCcZZJH/UU
KIUoPBjSVu469CLFdSIAO6Lfp3mLdWbMFDucaK6lLpZyqzJn9PwR/C1m6WBog2/9YkXx3uqUE/r8
SDMRfgYicBRXHpwLJ/XQ65sFVFcUE0lTQdTBvmekwRTvTVBEw/bth/9PCxKDWRewMD4/02bJ/v3R
bxnwpoMJsxUkmnfQEcVZq1taQQA+YJSO3bRbBqPckxe4Bj/0wdPb1ydo8+WC5FmOZRK5pn8h9Z5f
vxNGGGNuGPwqCYsdmHTrHHRTfCatXBxK4SX/LFb412Lv2cL9JTZg97BXst5v77rGY0jRYxF1U6Ba
6iwEoc1UQCloSvdrX0+YyeRibTsbEdhcD+Ypqyv1rRwZ/O+nmUZljlJ3v2CmPVdGEv43jhGQIoyb
P2wQ4vmEYf18pFO4ZMchTGPEoF7EHsvc9Ka6xrpdGwF/oTczoKUo2Y1mirsAKg5tWOBYx2LIHarT
SQpfdRbmx9zoDi2l3Ds71roj/DtZbv087NemjSnbY+9W69jl9/tVGG1hMg42fZS9tMqGZAxplK/T
r7cfhD8swjZnBIs9yQOGadsvFmFRpfaIDd30o3IcbkiUMtod4fPGz9xqnZ8GHRgm14mtEQMQBSc2
YJfZrS0dIfkW/YicOW3m8bG2F4XBjXYkKHzDomow6Ods+zKngH/7I79+dmlMMw5C98eN4Rzy/Na4
NknDQ7B+4mGpvglVtodgCvJ9DHPwPka7dnj7er+Ctv/9WzimSZqy1BL5kST+mvf1+QWxuJckvcnV
/pBZDyjdPBICGj32JLwghdT1CN8jZ8QDHShNH8axQbo4onPcv/1Bnj8THF04vJhKQG0WtonQat1P
f3uHosWuRCUSGoauMd5mris35pDOH96+ivjTZSDHrrM+7To8ic8vA/KQjTGNat8oJ+9uRghMe6vO
9V3cZ/P33qqCfQda+ePcWsb53Cah8idwJ0RZJTpN99jk03zH/47uELVnd29/uucL53oPmDVycrSk
dOFvei/WkcpNZGsRoeUDtgpOte0aO4KgogO8lI9hnyY7FzLINqhxY6Ika+//+dWpKd01Z9vUzss5
ZNzgJrXAQKH77KC0d1nJpCaNDVonUdhul6k0LpkdAlkU6L93DUiUd4i1z89Mf39/Wv+IdRXrNh3y
5z+O6xDIK/ANARtPisXvqoBJV5fUCLXgxGPsz5AAzO2we/uLv1gf1+vaJthRCa+TtYI37Pl1VV1q
2VToWQHWlWSrghP5mIU1JyOC5qBVJtrZGS0wJzvXCe3BKRqnfWzjkacBny3VHjFLNG3f/lTPV4Jf
H8rRzlq+kC1qSe/Fos0zYiqs7L2/BBlCN+ImTr2JlsDKrOUcYqL76e3rrU/+7wsBNwHkIvaQX8f4
XwPv319ANS0gBlM2MVEob5uioNilguaA0bjdfU4dvkMcP6OY8vQ79//1O/n7lW213onfXn0UWUXm
Ms/264STIumD6S5w4MW+/f3Euti//IJUSSxyHvcV1+vzy+AH1pldN4OfVVF+DBFkXapGpbSjRPGh
z5xm3eq+9SQW7628JRsndsKPXhealxY487M2L9NT0ljFV3uw3XfePct8/exTJ6yqAlOTNGu6L55B
jOIIOj1d+2013oQ1tLTYmFrE+GZGiA/+2a2DHBN9crcSEUkzzHewJvEcGwc3SqfUR8WXnoOtB98a
UiWaG6BLbG9qgbRA9EGnv+foqJifRMhht2A4lYM5TkSPmnC3ZIfUbToAdc0OPPgLBlfvUxKa4YXD
lhHsUsNFng4z3bmJiASC5Mi57cmOvOjRMiYaOgUcjWVn2hVmiBxwL3C6qZq/4xSvSSEbXXmid5TT
nMsht9BUB6/SFJpWlUtuzGerHs1roxJujqZMD/WmQ+AOJAxA05ozIwZna9LFvZbGiN69rYQ80Wb2
WkxXEl64hGi/jsQr4h1K3CR+P8L12TRWIEO/mOcBnIyj8WRRHIArKDC5tWeg7Lt9HpeEpnJ6dp/c
2jDmjTvp+kELQL6bmrpt2oZtCjTD7urmJ9GfTu4rO7eXbZUZ8RmTFA7TIUZyUNp992GyVfmYBXH7
0w1VveAMzaFs222T/IwEFcCJZ9NiMNXO4CeBjY7fOLXFhAFxIPpgWoh+9pppDiJWhvQuMVtA3/cJ
7H20F6WYr4s+Ez8Ru07fXBFFV9TGg/oAuiX+FDvOTAVAZtslGiYmXk0JPxRNX0n4TTMhrvBB/KLT
C7ocdqUkmCDdaQc55qYKWcM2Y7XwydgZavcqq1T8GKlFXDkjjQVsWTP9WaCBSNY6xJX1dpKRdwAG
DY+E/FJ6vqKYFxBbtjoVTYYdETICMgDwkemPuU+XB4vYGhOunx2caPYJJm8j5Bs/reYB47VN0h5I
4jZ5cNGWfE0GOAg+Ayrzs+Rs+oNSYq4BsebLkwbo9BilMJUhSExiOs3ZbMOfBhfzoTHS+jNOB/L4
pPBujQxjyJYpe3KGUjmscGhz41fvHlEjhV6mK/AtJY4leo4OM4Le+b5K5Gmu5kwhN5Kg+DM7dXWA
l1uuFrxS9c1OVnY4nIfWQIlokLUrD+3EJGgfJWMCzqkey2qboOq9xhVK1gQsk5IKlJypU4LOi8Ae
rIx8l9414zOlyenYxkOKIwR+JvkMSxBRnwpd1l91nhI4bjsB6g9aA+jUJ5rZpJRVU/1kZVP01S0V
okV7WnqoBzFGYdypMJs3IZ5vhJCMr9JdirfbPZsbbcHCT1PjNMyS6WEaZYATO3b8bwEEh2njYGSv
zvj6UNv62Sa0Mo1mjmC9Mm3aMtXEpKZDnUmTf1EU8aiIcIkerKpdB1827opVU2K12z4w5+IQtzws
m9RoQ7XPJGRMII2lfKRyHxMItoG6SnkHGRZDYM6PUg9MecH462q3EgXk1sLS+MHrEQgzOEm9q5If
yt1SUJuI2HnNK37GuLuojRWhHWq8AYC8LJe/MA/lIzHM6IxQHYLlXOxEP4z4p4et7vo1Ixjl+6Ol
wLFuHMPtjRM0SwcYdWeQvQli5Ec2O/WtMdRM/XriLfTBiA3QngQ/FOcNjrR8Rx+G5rhuYuY0Llqi
DQAc77M0lPvUeV5AkkWxfCjzrF/v67S+gMprP8zzIvnceGpWRgIcjY0dh+w1reMan4UdcvDqFEgd
4vhsBasS+daeDdEmoksJedmFADZ3euHWYDHJGNFUQ003oYIDA19zsjEeuy2OLyq9aCPTfryvGM0i
/xlEO++sOUG0KKXd8IAsQ34Rx8KG9Od2tLITrzTPkQgsNxh3snsTAce8qTI8AbijG5t+DmDLEltv
h/OzRy1Hrq5dMQPtiiHy20mLq6pM1LR68MOjWNYnv+Ds/MMWVpj5UzqZZzFPhLfNSTmxLgVQqYwh
Ru71BGwNhrF3O82Rq80sytG0XW6NURY/QSkln/gbrKfWCJBvJFNdfHbzZsQDsqQxs90gRvkRKkZZ
29m1MCUxKWKyFJkgUAnFie8EeNjlHNwmJgElVXHtyqoL/LKGfOabjafvpqCeH2CpDMgLpDt9GrJy
qs7Q2/X1kUCjOYXn3kDPAxsq3G1bzVl2nMRCHquNoaRnMj8uT6yh4spLAkr5uiUEDL4wnoPtkqgO
JHFl4vceiZ+DA16DiNiYJWJ4NNRlihKO2IlUXvestONFFOmWgD9gRUyxSo0MAvk0U5RmAvVdEWn7
pVgWB+lZYNKN8okq9VgRRGPNh5ioC3UpsGeveKsysTGdWo6xU5LZnz9HtgsnAQNIsC/Nfliz4QQY
5VlEQM0swgIIetXDbVra/R6Vnn5AqW3cLaRZd6cly6EqTi17YiQjc6VE9X1/APO+y8bSuGDQWMVH
K0hrSOPNHUkcbBdgbpCY1+0lMbztz5wA1U+iHm+agdEfp5szJK7Mwd454r0uoIgwcJUpGKoKRan6
/IiXlbyecZONYBtSyCgF5o/QB41ZlT7usPR7bCf9miScLNeJZHAO4WQ9IkDWYmzOIzWuyYSsmBts
ZS4f34n6L4Rg4nTqasMiY8UzYWW35oxnm5ZN1r9z5v9DJUIpvn502r2rZvVFNV5PyJayCUYeLBQS
6F0FQ2cm/3rbV6L7YTr1vRXbDOUjkTYnukvmd7xc04dYTbSNBxO08nu31FSvjs30I5ClooW15FqW
PL+naKXAIqZM6zyPVflsMJnpHaexVF/RZ9CC9arYQxUo8ePC6gEKUzVp7foEpyQPuanwxI6uGG69
guRu/BUmjVNeZO1uaM78ItWL6KctdZRvPRIU0YNHbjNT68mBfBivmDn4ogf7gSQNJgDkfjD4spe8
D6Gqsm91g2ngbCk8Ip5jRKrHHhEbm4QwGBMOwxzcI5PFGjuWc/gh4HH/Sj7WpMC59eqJdq35OVtC
IqBTr+7zX/g8bOhAvKZtOzpjup5CcHgG+M7MIz4rRF86JCMxiyfc01Ggms8Ro6R7GNjoRvJiqFGX
gls84G2WnPS6Dgu4RZfdOFdlgiyUZEjsRFqTgZzhXCB0N6n1airCwTFyqLC3lrJwJ7fQ56AysTW5
Q7N8xe+SYNDCXFtunNYzjW0R2oSD5aMxgMDJsMIDbYk74mn7EYFVAdkVXU8Z7LKwrz/1HoFY2952
KuXnHc1Zv2i97EsIsoO1xC4JX5f2IA6u06ZPCFUCC3fNYO07jo8sRYBbo43i2pUfJ2R2+XhLumtv
WX39NIgylIoGxu3arKqW2Slm6Q0FbXXJSdUWyJqM1NiMXlR6m7ff99clMl52S4OL4vbblMnPH80m
BLBjtsEAJARVmfhFKkgUewF5cCyXSNfevt7rCpKuBG1UonWYHOpf7cbfClWcmqY9Ni7Lsizscw+e
yifIfkgu4TSF71zr9VJmM1HjGrQtpfOqZ9uXBmiNoOz8VCBW4JtOdEKWkKaIY5zT3C52ssMGmiaJ
eaWLTu7f/qqvby11OGNVWg8MSy21rgq/fVUB/x60E0m7DZbRqyUKqgOcTQuSU49nVsMrfvt6fyh/
Fe0O1m5nlek7L1aZalrcMW05XiAGQIlcAeQoxBrezIHlI4oBEvrog9y+fVGxLqcvWgKsoZpuoCQk
yRIv9gsGRM2AgoYsCS+uLjIPaH7SmsPZzBB/MzVUKGOA8Yucp4D5acH8xCDZOfKq5m9Pxv/aov/D
11/N6kDQGVV5rLbPb7cBDIl+BIKctsQL34Ju2XnjOCDyxbflROhIUXeap7e/vvrDM8bjLH91mNCZ
vRzUpNbggKMdWl9l7fCDnFbb8sXQsN2MMXj4fWdgEYUzhcruUOgJ+HPgRfPXqAPMTLOmi6FokelT
4KVfwn0tbIxqQdb3l55Ej+VLp6FAsYBydnsoWsZnU7UckSVUp2WucM9EiYUhL513aempS8+GPIz1
GRMwXJ2m1L7dDiW68MKdqg22sAyxlSzCrcsom2S4mvDVbcg0sT1gV2sZzZkG0mWThPAdYr5AvfNG
/qFN5ShpaiaSuEKYJzz/jRgeODlhICNyyFw+AYmgN6xaZFnvXOcPjTiHDiwJIwxJTJqhz69jcGUS
zYIePKfA/sfBlpJC4PAAWXsbWFSYPif6hoDsZnzvO75+7TUvBKYW5gKuxtvy/NpL6ElbT+g3tYzE
wbOnESVd4vqVt0JQEm9858Dzh+tZ6DEs+t2WNK2XkyBzaMrFavLOD0JvuWJHr/GMFVNw3fHyE87N
gMZ45/a+/hkZCnrcYcU4TOuXsWhOTyyDU3W/Mqgb5JouEgWeZxTBb79dr18uejngLxX7vyN4uZ/f
StGXbdtYLODOjFaYdz6B7E7tF4rGeOxzOh42Z/ITzcphp3IjuXn78n/Yq0h5cvh+NucwSsTnlzfR
AC7mgCpjmDp33/dgDURfTX5umuXj25f6w48IittjqsKGRV70i1XUBCCXsULzTZ1lvo/6UAYkqTow
xjzKH5jo7cM/vyBMt/XHY3SFauf5d+NNNI2mXJnMOF33iL7yI8ET+Yfa0Xg39Zi8cz257j7P9wlo
K1oyo2JmxPv34pUsi1m32uSZaXLqK8w1heo2LAPFtia47SBa0s4O6djPHyrwRXi7a8/C05FgTbWd
GpCWTpOoIpxM91cRXV4oYUmICQXJe3+XdIaNZrMCUr2ZS68yt2PYiveGHH94HJHb8uizUjgEB7+4
Z3kftWJW9JiQq85nTT+l0P9xB8naBjrn2GF4No2GwuGUYHWR02K/8z683uJY1CwUMfY6ZWDa8PxH
C2mt9QW8X99pAxDabq4OkzlXT12AbUF14QTEHInG20/KH152VlJp2gp9jS1frtmVBzi2bQghmjDD
E+ua0nWLkuXyn18FBRaTW971dcDw4quVqIxwGnc+JqTltuGwBBvCqc7fvor4QyXmeMpxmFwqlmn5
4pXmvXLor0AEo5Pxhf5yc45tlM44ZccprjqsxDCMbmgK00XvahhxcSSvBmJe96mpMbeHQ9aY7/yq
r+bHwkTooXn7Ke7QOtny+Xcflsar43QCHBEawTU5ddXRnZPyoRPV3PvaHPXOrYLcJDw3Tj7zEKzJ
z/jA3rk362VevKHgR5jhsTejsXFebM5FF6JYHwi68/racuDJWvJjm+ZIiEkNJOHV6buIIYCFwdcE
q/3TbQaPdI44Et85RxNrVKauG+7e/lR/eORROjDQZqwouUcv7k07tG5OiCi6ECP4WljhfFJIRc/M
YVp2XkyVOCKEeOdOvD49rAIUBkj08hjlWS8O7m5muNkURjjOiwVfUBBmW2EB4qRPXPsOm8FuATRw
EcGm/f6Pvy1GWvZVxTGeT/BihQknFuXEg0c3Eht9EzFzvTYk7o6QlspxtpvuG2Vq+fXti8rX95gA
dUfwTd11o3v57pVxHq79Mt49XTZAfe1edlccbMActWywAKHSrl9wdXuMcQIOhz3EY3ANF/DSuk9Q
GBJq5sqKCn/GHkqMUWgRCmO5fTZt6HSPCa3NSlyhRZtv+9S1fkadzfqlRECDJrQnzIm1lRP6x5FX
H6Ixlljdwna+zJegfWejfb2nI3tgVzdRx/Cuv2zFGBnRKKVLH5FcRPjvFjhfTlbYioK4PL19X19d
6lfp6XA48xyksKtn+vf6Lw0SMMGli/Zcdh+W2pgOZAXYfhVF9j99YNnGaSut82zmKO7LlyR2c+IV
RlpedPfj7Sjq4ISPpPBNQ8BzbUUAV6xq75Qs2v3b3/G1GISH1RWrRMxWtsVneP4lSbpWdoC9CjdV
Zt6j6sYKMdMbb/D+Hpd50TdZgSzQWBjwMVRRVy0m2lsR1dam70IHzl3dXrXluny8/clebVuaT0Yf
nXd4VSTrFxuK6eWKDAex+LCCgsvI7fU5UnR19vZV5K/69tmqyREfnfQqVHaYBVgvzjV22su8LiWU
VVye7j4m/JhIaofg6x2WNPcRJX/5aE7wDvzWnojhCopkZICqSjL0cEhDax0ZXmZ4EmnTbEBINV+8
KXW/lfiFxC4qiLXGbroQLzOmpnlvGPVwnbttV4N3MJNwwxGpxistga/QQjQhNAkiQqKTNdYStnoZ
dqtJmaEQesxFRbupzetmL4bevSTFKCAR06HjvTHTiObibMUmqbE45tSaUk3jEIbi51YItKAyb9A4
WU5OHCBDxuVnX/dgrMsoI4yqich4OQvrNWhubPp2WCn9ZnsaU01IjSZTdj5VnoFXl1AW18BKggPu
2DMsde5ydyanbAl5IJ5UPdofvXoafthuuRTHKM8T3FuOqhAfNg3GQtafSu2pXBmeNQiVwXAMA6ly
/8XemfTIjWRb+q80as8EaSSNJPCqF+70IeZBikHaEKGJ82Acjfz1/VFZeE/hoVKgetdAIzeVlZmi
u5M0u3bvOd8B6vyZqRLesNGIS2rLQdOjB6eiYF6DYQT1WkYooD0j/u56MUlTnQkalYGtcr6myhE1
tjQ1fMrryPnBGFpcLFogITXavAl2ksyqCphrUV0xDLKy8yXLMXlIFFnoeuy4/8AQEEaeyTGP9vj8
ky+M6mXYmHIubLSjHccjL5UUrnqyIbZ1TtN+qFygaCCxUSOH7tijbZ36anmsmsp8qHvHB7OsVwkC
wHPMxkx46KQiPVVROHRTc0PoxvQVYI02wZi18+d+iVYapmrKB2NQRIwl+Qo9SGRu4/PiTFcSpiHM
CGncBOpyQvZLTspi5bCJRVwdTWRJ7ZHuAVzrXDVQz51stb16hiYpCb346jvJZ1yHKFrEDxBkbbeN
WvDrnJFY4mBVGz5oNtMiALdaDWLBJOorpHqAeSGfMfwsy3yKcQVV6+igrI3mTPUNETLI2qYZ9dAw
OBj/KxOPSBR79oGwNv2lYfJrX0JoD/YmkZXObphblZHgIwkAylKnfW5Z5W5rmfg1CXJquEKGVD1l
CYzjgZl9vesKjSlqgPIDoUi0wX1ALNDHLNAkYuJvjr7g62++dMs4wQ5CfPxcUqxhFVfWgpoexSkq
nhT2zEb5yl0jJ0jF2ZAKYoStRQsY+akhHkBeNNCbFvWVE8BwVua2jTOtxOEXJjCEvtJdxancjYRc
VM5C77l3HX6YsQNwAufI89U+YTLMLZ6NugBVyVx1E/hopLHk8UpuklIF39xaqudiWaE9fWI76FuE
1VxYQMi+z9MYsxbIZOSF7mSC9XwAPLYZ0wp8FX1gGNs2Oil4yb47mntA+G56UVB9XlP/42hujVpg
vCbIXbyzR71dj9fBh0C1KpHoEJLzeqNIe4g36UTjF2PauHpMcVIYzfLefvSmdqPvgjcloPWC9BMl
2uvL9BHiKiaYDIyHiRFqy+PyubBw1iWR4Z/zLHW3ovDxDjrNfCiSWn1CfMAzQ2Qa0KpVKgZR9Khn
ZDQgPbIDU+VPwB2Nh5rb0L6zR/1u9/TIJsfn4jMdenMK72i8jUx6Tez0jlftY1F5D5X0GV5kjNwu
GAJm5ExIre9ZeKJ7xaj5DCByejdVcT5crGooCSrcap8YiZCq++fN7TcFDKdcyCF8Oitgn3/9W1KD
FhVOEeAVZWZ/6VfkR+1U3ae6Tt4pQd8egbhtFLyImUn0WgeQry+FoqIuYGICEWT0S+oxSn6qTj/7
TltE3gw6UId6mP0tk6P4Kkl1fTEy7X3ndLiWBK+3co/+Ga2JtZSxGIG+/hA4HW02TUafNCeNwzST
EuAr/cl2e+d6ZHr4ztHmt5djFMJgwuKJPf3OeqQN6Xs0Q8dktK9jsyy/aGfJ4Uytnqcgjd57N960
YPiRGbxItOzSW5k8r78fIQPopTUNLAkd5ohOt/lYW5CaCuBcgO6D/hgFkXckCMa/7xhN7Rp09+/1
MH73rTniUi4JEfAjnxSMJOHOE+AQrFZRO36y28V7cbPsO2JwUmeXyHr6T59hvjNlGQ0bR6C0OfnO
vlXkXk4luGXc1J0V4FBR1ZXy6IHOeOdKb18Xz7JAkSL+5PwmvPWf/zLviYLZSBzmr1vmW2m6TdGx
6M3QOoDcp8AboBqO3Sf6DkV8cDKXLi2Jc+nlEkXs7LzYzj0Js8NTamTiQ0/mVL/BhbIMh9FtrAdp
WBGwjdS9XnOm7kyG7uVGmbooyCyaCLEwlsb8ArLRweqJ8PBQ0Gp7qJogeSGFJEatxTH5Yhqr4GpJ
Rz/ZC2eEyTP3WXlLKhvUEYk/1QsbSy0H7QZFGmYFkTs71WbVy+xZSborDbv54hKvBAdXTw7nNQex
TG8AYgPoUZqCFFcjcQ+eHY8/6D0TSSg6gF/bfgra+ApOmlZ3Y5mgCgB6SE48zbOyuf3zXfjN42Xx
ZEnOs4LbcHoeYejQS9dWHIV0QVSAFJe65HsZ44QeC5lH9c4a+ZvrsVjQ0uSEx/jp53zol5vu20G6
IFCicgkgnvKTRAbqLA/OHgmpRagTx3xvrfzNc4Yn2KF7xZ8OnPNkmcLF5RoW7xAi3GW51uxkm7ix
62vkMt1L3SdI7OvOIpnBmvc0w1pEx2jPvVw+N4E5HxGv+bsxI+03I8emfWdR++2HY4eHBcYx2/dP
OhiGmshzdDgOKUunT3YS5ECaR4/elZTLOwfsN30LTl6+yUuN1oMB66kRoR/KKTFsj2sFcExTpdRl
MyzmBaJTEmMhhR8i5NbvfEHxuzvOERvGw9qv9/yTFWWoM1LlXb7hmAQYpOBeyuiiguHg7BtHEBox
dOSY7r2pEE+JMjBTkkhhbizYGFD1QESSjlXhy4A7SScL2AsRM40f2QUjwEw9odPqPxBKBrysJXxI
75dS+Tf8mY63oyM37EYiywkabLL6B0phpoODMfb+O9XaWxUNJ3ohLB8TmCNtbuXrxWzkldXESVpb
Xw7tY0orCnSUQ5x6Y1XBLo7I+Gbibmxjorq3SYFjHq0iLKkIjN9lq4L2+Of3+jflI5/HhxTHYds0
T70trdVEAVpqpFpVk6eUr0xmNgyN4ncO9FiUT4uAnwg5LM4sHmjMT96uFjdq0HTTtDXjOT0OllkT
uYZk9m72Knz60IPYQCcALS/gJYitsdhM4aIMJQA3jYphU0R2cgb718XfXsvy3qSo8M6VQ93Nabyz
wIt7s76jZaSf0sIw4WilE+RhByZNiuoqASESMV68yON8cYjYkvU3jrzW91xoj1O46Vb3GHqzS28O
ktu8QFS8kQbZLnufCFeLyjFST9bSIN7KPcRsW7RE8gdkumLZz/BleDVE5r43EvzZOX9VPCHtYwjJ
vs4My8E7/vqBiXsPmkXaEBGUBKSPSaACK4jOntDFLCPyQ896oisn7gE5Bn2ISlaX503pO4+pG9lg
IZwqvosAJTh7ojLq4dKIdPlSzXijw4YYMUTFfPph53WQED54Xqa8HXtp2v7tRPyP0I5X6deWwIsf
/X+t/xkUCEbBcdL/7/969Xf/rwEgV0HIvwcF7MDpVCl70fcKCepPssD6H/w3/5HJHQoPk82Tke8q
25m+d/0//yGsvzyP7hckR+Qfgj3wv/mPbvAXfXTsGLy1+OMsT/wPKMD7i4MgbxItdgxka9fs54/7
P2bM7uTv/1c1lAR2VH33z3+8OUYxnmIj4PrUletecLIkc3LHK51mKB9Q1l54S/fcxLI7GNbiXvbL
HJynVlldsLIEBwpC78D4Dvu05+Eh3SSLB0oZ4PF5VREL98tPePv34//rJzvdK/hgPonmfDDglOzV
Jx/MizIjmwrHDJVu1EXFjgW4rZv4oBznty5zhnfKkdNlEukPi6PFwG51bbIAvX4LHXNq004TdQXM
Y0Cd67fnrW30j3/+Wutp7Nd3nS2XfjNmJxetzVpYv77KojqC1P3WDxdfM4KMFka5NBEIWTNs8ZDZ
Qj1FBSJD12yGd6rsNxM8+6d6hMMyWIj1m558w8i31Qj5Od7Zi8w/o4AtzruqWTaMTUfO+4VdHZD+
TPtAZhACOp86ekkGcSgxO18XXidvetQwn/78g7wxRq2fCliOa+P+Yx88Xf084m4DO4qjEGGkseek
7x2VVXck3xirDpz8BKiJ002qhu6imUHKJ+gojxLV/lNeIep2V7fFUMJga22vfLfPsN6Q1zeMj8cB
/qcp1hI/d/tfq9TF85eYNl1I8IAPGjMg4S1z2hddD5qjUG49MX+BYSlTcKmWBXIhIGF03cxrBqQw
w//8c50WbvxaKL1ZM3hX8a39vMe/fBy50PVOujYhQ8LnRWyh/O56ihjaqbX8TDxMsSd39r0pyZtW
/XpZjgVQnSkXUT2ePDrCI5M7JXh5x04Gc7kY7RBIQ3GnC5vsNJrLtB8qADxJQ35B6/rTwVDcUpA7
mLtF0B3ATuQ7nDHNuQGb9MGc9PLO+/ubX4ZRDhNYJu2UtuLkI+quc5UoSCCMUPrdtX20BhtivHDi
SJO7jM7Ma8vgndtxumggFlxFc4jtkRHhKT95ncXQ2APzr2xXexFJQDbxBItb1Dd/vum/uYqzroW0
931Et+66Vv5y0ytptEGaY0zUOeqFjcSrsi0Gu7z/82Xe/IIWQ1sKRSaalOfc8JPLpCwdKDohbNN3
v8LC5ZxVEkUdevQ+OixMLA6ce+Ttn68q3yyJXPYnzZhWg41g6eTb9U4VuMpMnbAuFyM6cg42fjiW
Tqr9St/blxNpUITYFi7SFKOdoVVVNfDwdpmAwwLuJtPTYL8kQylo+w+5oZLkUNsAG0mAxy/bubBI
cOPNzX3rETK78bAc3WeZG1/yKNk3WKesO+XaHakOPZ1r6FBRd4n73NLbbHDnYtOU5joGi2p9GDDD
HDozE/U1P6NLnteY8AJWdrNXhhixAJHK+jPZED037In+MWm0vDaNcqr2YwJCj+eEyZP2AoCEuZOQ
kp2nOV5nMXjFh85PCyjnlopFWE1DM6KFwbJwp8eKkBdJp/VgW7i6GDCNxefeBZq3A69RPIL/SCME
SYYxhkvP5rF1c/wpWyKlpTq0yoFSP6izriFYCeKzeiycDJxX2VZd+Ofb+buHiNXJhiNA8cJa9foh
wka3iAjZVMjgglRKVMQHRApyJ1G4h/ZSjNckb1W7P190fbdfLdLrI4Qka6VLrPqUkwp6Yow62HHj
hhgs5W5hZLJTFXEVpL++p8L+zfejRFhFyRZ//T3U/OVdJKMip5IKuBQvBKMDQnyiJMm3jd0455Rr
M/pk4z338O8uCsdHwtFAkYdL/uRHjeMx0ksuQ6sO+iumSDeYQXGOAn0MTY9yRfat+Z//prQi6EUw
DEbh/hO89MsXxYCYGPHs8EXT1NkH3PBtk/rV3oY3ffzz7Tut9XhpVuKExZW4InXR669HMTeMeqx5
ZhZ8S+NMlu0UN3JnZpN7Xei2e+d6b7czOlxo21dhIpIwzCWvL1h4rqoHEuLDUvbUO6Uf/CC+K7Bp
AGpEGD643oNZw/8BoqmWexNDOAlc8P+8LQ66+iAZkNQh+QHmLfRP/F/09uezrjL89yRkv3myETbR
d3ZxQbEDr1vDL3ch6oJmMtaI2opJ8+UwpBCqGwCmsiGy5M934XeXojT1A8uS7DOnQsoRTU6gqhja
ESPGzQS88iwzDGY7LMbv3IDfPM+MCta3FY3o6u95/a3mRHSE3pF42C1udDmgVdksdKvg8XQpfI++
yC6wJ43vXPU3XxAIzQq5gLewdrZfX7UOgpTEisULBy+vdnlCw7cV3bwZYi0Of/4t3z7RHCZsD7EO
kRb0u056eYlevAJUhCSvBD1PhvBwp5ahpXuNa8LK++I/1ACyFCEgoW0kUQLyv08e6Cixcxx0hGMw
4HT3nTH3lwEb6ztPyO++FTAx2rXryi6F//oHVGlvNIHTuWEqiRIxrHQ44GQcrm0Z1IhMlf/O9fgj
+RNfL+ysK4iBcEnQW6LwfX3FIg8CjmQVAgxJQG6YpRq4d2U5Y7DHwYuar6pt8LbdnDTnnVaAyAE8
kaAaITcdN77fZPde5GOg7Rh60lOW6HTrdCSfACd0RK4lTIZt3WmqB0bL9jFY+oVIRCiUm2huiq9p
VM8HkmunHx1m/Rt0FoXYK1Tc06awkwn6/MS+ugHrGsc7UgXSa72U7WcMy1QraOk5mDekF22YoBSf
VKa13DhmvIajmu3wPalr/PdjAw1iM9li+hLVVF1gUZF0crrO1AXnNfOrQ98MrDWs1oduGNRDzt3+
kSdddB0JIi6pQRZSPSGnmWvv1qggeymvJF+2s5xs45q6/uLWTh+dB14BtTRLo/nWNWD6bGGKFdG+
y1MG4nOZtNeO0QJOzcgIAvWcY73cENPqAUfP6xw9Ray/i155a6aVLF9k06typ4dGfOTIMD4V+UyK
QF5MVnw5FAR20Xea9ZdobMGndA0W2Y2C1E9yCoj2p4TsvWbfLzZHOmLFSmQTAH6XrZXMS36A1+ZS
MWm7h4hElFaFIaYov5LRYtw3eUBGZa0iPshEnYM+pZ2JHSXul/+HStD9WrZR8kOKceJ75Wk87Nt0
iu+JrkMcKxTyj5Yu2yMVW09EPSTeNYZmqXwUBwqvO4Y5oqim3LBjYuhEpgFtW8gYsqXrjc1IKGW1
YcBsepdoCaLhbAAX/FDUpeQANOAH39gEM573orJp7S4+igm7UsFBaTldmPBGcJhYDrTmJghI/Q1S
cN6AwavogjuorS1FJyCveVnDnufYIPyBe8u/6DXYsrdZZA/Xg1/3qE2N1vuYmZXRhOmqIL2a/LI+
M9wq+SZqEeQHsrWjs6WfJCaXTFVnqV0BRR9tM74b5SI+ciETh3TX1o+TrpZ7nuuU7J6kGb+rug2G
Q07kboV8iU0OIGmkbvCde8U7lca6GL55yQPU7YDCpO+cLpYpNr3CYj4YKnrlB0XXNmQLFleDNKYd
JQe8e3OaQi+aWroUzjujkLdtEQo5hhFYXrFhccA9aVsjAVFKkMUXNpWRVBtADwoUpFhCf8b5VPYY
1SEzEcsgjSps0HPfBE7t3QhueOi7+KYxF83vHGbfblW8zkya1wplHQidbFUw2/2JTrUMlc+hwnGI
SDZ8sJSE6r1rQ1v/rJOfn5Jr/fLwShldnFwryEFLOF5vh2NkVxdEepBt3KOzEWOrP8wMN18S16tC
rGoIi1ryxTh31NvZJ/NUScSo3jCzUKG93v95D31bJEBoQwHKqZdGP93x12t/WsgJtRgTSLMlHdQc
JhzgNjKcfe2DokG3Xz0a/Ti98zC+Gd9QErLfcFHWLMG06mSTM4OhXfIR42mRy/i8SVnwmZ50hGSR
OrKg0GRkkHu3Xtp7Zxjpu3LV9XafEeSUz13PqPnPvwKNsNP7Q++YWZnnYs2mHXx6LLdarUkhtWMq
iHE4J7hhcfekIxAQo2ys76TBzKk4gOsfronw4SgiGh6fDbJF+zzmGf42zrRPt8FSeWc6tzgblgVh
grB5UKUypaa+3EZu3jZnnJRZ6yqG7+dx4wcDAi1VNNsmtt3HfDBNWBk5Iq/KUoikys5qjyJLYkbY
BNnVpKZbbKOwBjvcTbMrnxI3riTWwdnqyEcQdsTLNKTXhRDJmhHLbHVT+jmxzXTQAEoDPWNjsVB0
nRHt1gB8dtvpgZAFG5imgfxr2zhTfGYNffpsNzZAQWJjyMprFSpI/uW0K7+quMaoV86DiWKJBhX7
Wmr4FpoJT1tF7ezt1BM3LpLeB7lMS7+3gJ3eDKy79hYTj0UebzabS5hq2X7sPDoIu0Ho0jrCEDKY
2LvmVVm3srodWVP6jdaeTT5XYhaPasCQl2jEVYdeV/S5SCgl50xB7reJnOlVTAgFQP2tPaj+Vte9
+y2rfeLn2ReL8juYZ7P/mC5ofR6WIHHFURFFjHx9bjOT7M/GG87ZuLuzhRnVNWgmOV4iMIJUk9uM
fsK50LVzhg1KtYc56XOmqJAjrDuR+wMEV2fFvrRk9iGE8FtmZaQwNtu66JKbdFQBHnC48x/NWLt0
EhNmD9zNGIbnPLQ42esUcUOI+JFAvtY2u69JFE0okef4q8dDhMYSuP8Xit4VOI9pXmxqh9RYjDhs
lFViot1IDNAHRdbC30/qFJW1P08pwT3dNNKiK3O6BAF57Js07wgtmFTSf+w6uS79ei4O/Vz7Hda8
0vtYq8lDXN8Wet8AGMq2tQcPAslelOe73tAYhJeKx5Sgt7xB9ofL9CabU5/cdDcrAcJGfYImUPTd
I1VDZ0KODUC3E9ZSzjTl6YLuwTbUnxXBl/PG0Vl/3tJkynDhTy6VnjE23xEz1skR9cCA4KmyBGZJ
mUMcAnpTtAdVEOaZ4UxZU75jX1wSH8ElvdnojpV2EjSFtkPDPZ3nCOZVD7Yb3Os4hDyPurlEGWk+
JFC+iT0JXOMLhjJSuCuSqEDhLJ0Lnxao+jPi/+lolAG2kTQKNGhIq7CfF7xin4Z+mI1NP0TS2Yqc
EUM4dy0VYk8usrkeYA21nWdzJkhyrvTnyaCVGNq60M+LgYRvGwc8dPihnPqgWr0WObH/bNSGJj6r
y4MqNANnVUY2nfkwdH3cwV621blenAx5cGfcxbiYV4RLOn6xZNKaW9KJzE+5CoyPIF6AEFNgGgRw
2jhIU7o1H3pCjklakWPxKc98+TyKYPjoWln+YxrleNXGTSaYSDSz3sDOXB6w98dfih5B8oak6qHc
ZqgiNRFjCYEivHLgyWZgqIRvK8unlIZaBM7BdzEEIhtHgxtFs+duJpQuwWYdP+2EExNUIKLCSnlD
C+uGuJEIahFaiPJQcQL4jPwm97ZFruZzf5wa3hA3zsTZKiqvdkNPlOVG+Kn/tdMuGdTTil26wODs
jPuFQ+ZtpNX0jKCG/EtAuv4D2CX3vFPKguhfkCbL1r7EV9aILQC8kWfNW+R0foHauxP4ovPSU0xr
Zts9stG0CTYXIDVncaHN9KwZPLLJ8rFMr8uqhUXR9hwGt7Zf+NaulfFShpWF9qlp6voRdpcJZDNw
IKYJMXbfbMNgafPjzLgZWTDjHV0A4oB7fligeG0GbcTQufk49UYAVIIXtCUdkNjFbSqc5BFiko0E
f2kJjwVeMx/qFE59CN2VoVbs13l+4zl9JUP8mHo+LEGAVH1W2O6mejCeuNPkNdcwwhp+gomK2yW4
gtz10UohIOJsfR44LsDNjzNyfv2MLkFRZuR+BPkgH8aoYvuKh7r4llqLWW1tmKJPPekAd8pk1BBa
Q1VdqjldbELXFsfddIOjo23vgF0LtXILByocQeKb1q/1l1gKPN+CEvoZFvTypU2MaDwmNfjiTU84
HpZzQZKUdhTcf2ipdGv7Gk4T1MYxRBMO+cfv10INop71XLZ90x6Tyl4TJEQ5khoepRPCBASb9IBL
xgfbn9XC/x/B/2OVrfz7Efw+rYqX6turETz/wd8jeNv6i2rOo75l/I7bZD1g/GsEb/6F0op2LT4j
HFz2Or/5F6vfM/8iId1Cc81YEiinz7Ggq/Hp/fMfTOfpf6wjEsZMiE185z8awa/ni1/rb5q6cBDI
DKCrgtnm9PgzOPmUkNtjhNS67mNaIfLeItRnAppNFiC+RbcQYee0YCq9DBZmwdQiDcUkDuIJdxsC
sV9+udu/r/zr5P0Nl2LtMuMnos/DT4Wq8qTwnmKGfL2EiU6dRyt7SaRxH8c2xDQnVdPLLLCHbLOe
k9w2gidGSA/kwSegUPlLafZi/L/4PNS/kqHUKvdGJfr6IECnc558dzZC03D7L5aBWxdu3bRSVgJj
NbYXavnsNcJXG5MoDBKVDW3dlQrNfhhzfP9XIMa/xWWcnldNtj5UOhxUaf+7tPdefx6zNaooZl4U
JlVpzaGqF/KEhJzAJchBjtaGcBxd7yUn8nZT5DVrcBDF/TstxvUqrx4bhiicWZHnOmvD1js5tnW0
Lm2/8YEJ9aN6QjfIgow2wh+2szcjmJr6Kf4gCbIkFKuavPz456fk7eXREADJpU/M+4EL9/WP0A8V
SbtE9CCPpS1E5pvLwuZQW4oQ44C4giCdawyRNX6mhBzBPPzz9d+c0xhGA4+WwGFor/LXyV2YCKit
tekRycWP9OJnHrJa5Q81DKe2n57JNMY/WKUz2DtPurO9gbHYfBwXSuQN0/7u05iaznu6/zfvDp8K
KQ9CZlrbfLpTr75LMFUE4tHcTUkunnOGCGh7mx7CmQeOqgpjNasvuknYKNB78nwMoiiucPB3HUPB
4V3NOCjt0zuFUJy5ky842q+zY++kN7y02PB62m8gTw1v2KRma5kkepuTeTmY2EruWAdiK5x8O77D
E19+KGdNJ5FAhop44KaIv9hTSWe14LUoNm4zVs5GlTlsJb1w8E1mcqhpkynD+sDq5PS7EUPUch7P
mUEq39Bbj343IwbIskGkh6nzk2kNhDTINR1EMoalSAHPFjIwPumpzH+Yo1VX20n5hDskLL5yA53b
J1NpdsiFHY08gK+YyoYAK3pjxZMsY2rSLFCwayav7scrgqBlvJPYjYCqa6eApjst2KKALzbNccon
kMZ9jOo1lAHC6w3A20kw5xq8D2VAtb914HoSibX0FDyVTWoyjI6lSLe0C6Ny57vRtyyIgjtkjH0M
viap9AbdXWM8WYZAVCv8KfsBORdCjNOlVrytY5+P3juyj/f5GGP9bqL6w6DJFKJjbw7rxxfgB8ge
jDiAp/UoyFoKOICky9ghyxmyMtkPvehxFBcUOts+XTTMLrdo820XT20fMl7w0iMjDvNF49Cl3djW
VbZdpz05SZLjkF9EyM6J6kokp+YR2d4Mpbfzb7USuXtADzyLvRha5PHdMIohTBjx4lFD7w7GLgpy
Z1sslvMxHVPoh7OdkHalS1LhNy7/1ArHMh/ULm5FehtVJNltlSQQ0UV8tlmP2nAEYbcbUtPF1cI5
t1XvZd9wbZ9XkUyN22WMmh1dB8l50FP9tLEcyvYt/f8qPYshX5CciRKnuS3KGatuhq9TbJyGLity
YJFgKas5Ajiig8hqOFRzYT3209mA+2S+jNPlKwef4BPtNspN+tQgliPiSAnwHtQ2ted7eukESEoZ
c57RQov+A+qzYk/lSre1I2XRyD5R/NGO83LsTCPAIPrOgzTvE6PjvLq6/N2XmOzOZ5yDQG1dM/6O
kqIKWxiRJtEL+kYTiwnAfMr9LizQQ0FFsAmhCbNYMKCvg3wbxOVxXJhgBEP3kRRDmWyywot2qVNF
WxPbiQAIjFEUxbbeMyLQEv6avZ/oSdtnyVyP1Qb+dHCsWwyDON7tg7c07D1OU3o3jpc353FfGFcs
l/7GMJPyYLjjQ5Fgpev8ojlr3LTn9gej5cN5qOLryeoFHvr8nrmP9VSa2eKeu4aj8wPU3WraYtY9
8hoczImT10iUzYZwI8Qp5mNsJVezVy4vrHLl3aSM7gWAMy5UAR7uvpuyBm5x4Rj3o3bs+eDGvtyb
vfHcFCjtcUYPh5lk2XNjzZDl37iqKb57OiKlt9ZEaHFKrKF5wbpQcZLBh0MKnbYy/qQCOZaaOoNs
QRpO3WYihc9T83MEM63e5wLI67Gbkism6p/qSFc7JaZ9l2lnExDtpsheJwm+P3LSPNIKvxhTuLMA
8SN8yEWVTEdnLFR7FnXCYIFfXXFR4l+kOs/LddqCO9bEWtmbYgJkVZZg61FqddtFZulDM0Bi3nRe
SwgJQa4f6lyHKsImatB83nI/xmvGVaa1k3lHkrLXHeNURJe1442fM3zZL14sOPQMpSbFQ94SGHMW
kK2bBsstq8Olif0NVOvHPGfACU52flIFHZ14XSuSwnphZzokGSsexHiGX2a6jyMCTONEEhOsGUjA
dVpK77ozyq+BIQ7mmDTPAmTJdeAmy7QzW8fh6zrAlPXDaAck2+jIh4RjdsMtMcpEU0d+fDBAMqZz
AofPTc8nqJ/HObL88xqiazel2E6t+YzT4DYha47gZdJAd8Tx1OKyqwM3eirl6N4GIPAL6ikx4ybG
pV/cmWP9REap80E2Rbt8tEj3vtZTVX21J+OlinR8Qx8fvkcmRHrVk982fOOcZVUXq/ckufaw/Ijn
wrYnL4xFzR4IkDQHB2kIRkpN0sDTHWJH7tOk40BrSy3srTPnWYrgR+bf+Z2HS4uHoOGknetrZY1i
3Lc6mb2wNqzxKfBqVR4YsSFNNaeOYMoRwG6l84UNcEweYhkkDPSacgib1Og45supPzC+nLK9mzdp
x5x4Wo52n5jHxEpN+2qSZfmjjAZZhplpT6HRSDgrTjc3LyZsiB3fefL3cRq7u6z0m31jaKZ8Mm7M
IGxk6uN6HKt7gl20vUZCp37oJaUbEtBe/5CDhzbGWJL5weiHseDhGyf/IHn8bhMCIeXehlSP6bgd
m2urpeu8JTyQumYVw7dj16wZdFYTn+OHWc4afxmeh8UiMWFRZp9sR2/KLtIhCsBUdL0rtoNPSvB2
ibuO0X7qxi+ESwJF6QkYum+JPF1ChdTuagjy5Kz2Ez8POxqCAWxeQ/THCSUfoblRrfKt0Q3aoMjH
0OtDmSRT6roGiPG8RD5ZrVqNsWRGR4UXur1rrZCtqoCdkMsITC/0UkL02m9Z66C8zdvhiXRToiL7
3L5DI0aE4pKiiM0s1V6A1TFMxUtRWAc2wTRcW0TRzIHHLuSC5q8Hkh8WUV6iUh6TybjtclqKe6cz
zRiL7pTTXZfZ9ywTC+B7NYSmvQTY4oel2s+9yxY4gfWU1FiQzQOn3JcFHINCC3r4hrfBvHPG4j3z
5NMZNTsSq5iB3hJ9yqbMvOQQjCiw91ZT5cfGSvrLgvYneksDLLO3r6Ox0XdASZt94q37k8HclClO
auzJhJXXtdtcCvW5GER1yLqkfOirUlwkwtg55DCsvjRAdnK8yJxu36Gyo2vhfazG+CUYmEtqBADT
mo0mwSdZ9U1hlQ083vFy0O5uCqp8r5flXi5JHKYJmUNNAfY0jgdxny8xyZl+Tp549iKJEG1BmSOZ
uuAFE9cC5OmTjNWShZIytDwr0AdbZ2aXm9h3OjM5V33mFejlaBT2W0MtHnaubAg6KtSJLII0vkrh
Atf3Ccik6daszDL4FrgohWOS4BMd/LAo2MyborDM8cmKjDjZZcUSqb1OJmSAe5rOi79vOzkVu2Ex
ZLsjFdJgBEEWg+nt+dKzejZjSpq1rGQUvzdoCg/6unKUmg49QQi8GrFTZN+XqqoBoQ7R3N8jkc3I
uiw8Ur+9NBW03Isk2eakq91jUHpme+sGyA/OY8BM5QlKEGTVXhaXkiyC/aBEd+NOefax6YjZkhEY
aVumegPOPCenEnSFKqS66SbdfKNTnW3LQH1RvSi/6YbONPOCdYzoV2dy9II7NFjBVdA3JMOODTHu
0QS3GvRlCJic5z5BO5vBPD+HhD98nwfsYH2m053hOIPmldX9k5P8jI716w/BKk5YFnGdZs5qphws
wm5RRlYlQzNC5GCTWpMXf0DyKx4bJw2OQzKR4Ot6+sCZsbgYy36i3Qqlo5zahPxNnX5IGbgfcGrT
PDWJeXYW84YV2r2DDQ8oInHz54Ac2ZuBaTud/hKWQN0IfQf+DBdP0D72VYebkzC2HVOE5mjykUOL
cOAzD3baRVa1sOLREd+006h2gIuP/4ey81iSG0m77LvMetAG5RCL2UCFSi2YTG5gmUwSWjmk4+nn
RHfbP1U1Nl3zm9WmrFiZwQDg+MS95/ZVRhBr5mjv0l3vOA4UR4soiR8oaEoiAkPpelLQ+m+crpdt
Gthm6MiWPLsvGkrf6XPeDD9ieRWUbgtjXfVekptEr7cMdkPwah8QtF/7srQvvLPuhpScNAZMa6Bn
wnsqvTZLtOsFcfrOPcDqJQplJFohHdIHg9yJePNLdtNd/mQ5qxsrU7zwPsoTnF/ZY8/YNapdtwpx
sY4ftd5ucbrmw8HXh+rLq+z2nOcmbe+MC+0a88wxsPNKWPuzPXjtpYZpF/GDVFCOnvwFVVYL+nxu
XmWxoHn15wcUqsadN+bOx9bCoJhhZd6PuVV/Unf9nksz7uyC483bL9bmexDbl/GSj/NJ1IV7KECV
v2dd/iqMiX3cXN7WWWti6xvt58YzUppHlcWKVgz68Yz3tZo975LTJd/YO26/ssvUrV7OrJ/N+bID
mmAzQs9p90ZYXNOnF2u/qcvq0ygRETMDXgu9eZHt/CK9oXvw0Uq85Gg2QgIgiM0wrA/TXiMIj/Ut
2K77pe+3RGL1uuEsrI/UOWmg3Hk/jLt2Upb+jX4RYYfkAl1jJZoezrhTRKKwv+9ZZgbKt16JHwkF
uA4Hi+lbW9tHptxmlNqiuxkM+33YIMl4JVbeNsvJLldk32X9+Dby0WLH1q2gSSm/dEnShMWyFq4F
uJeic79a204DafVvcF0igGGguU0v9FabWPGMb7Ms6JQEmmkGcjWLF6uIIYuryOrti6P5Lx30CmQ4
dp2A9ksfHIMy2FnZsBL58GzW6TfE+c1RoC8OCg8ZHAEbSE+GtI69WQFRXTQzWSaKFd9quniR1XTf
6t2taCadNAE7S+ACDJdd/rb423er+wO79VflN7BDCt5qNmtYEBBRtpRGyOqsCjfESjF07eVHDko+
htH/1e/9del8t2WtPPnevgYSNUFYbUO0mDoFa3ve1Rx5w/6YLt3RaqtorsWp8IaLELM5J5m0aDyt
ub9UJeZof62ONhLOChz+ogeYPLlqmmwffBy2YVq0zqvs0H21tSkPSzpcPD8b4pF3qSB0jq10NmSy
vkVifZBALllIwHDTUszb7tCkv5W3NcfakvASc3nqhqW/2HKcWC0P/sUr9kfmdu2pRtMzGZMIWXln
D6bjh/NE6oVRKR4KPxSWyX8vKhFuen2rq+5+n7d7N5seB4YHKNcKed6aej8UqL3O7EsaFqncj+ag
AxjY9ken238QnPxtBTuQue2Lypd7R584pNqrI8OYjmQgA15zdu8eQWcsRuO3uauHqlfxqE2nkkxk
c8Ukv7G0NbbxRFNxY7oolnS9yB+xnoTQVs6Vs4kQkfBjLb/JrL6btmM91K+q227zQcbrRMyx/ctS
2odmdvR8BGKY2i3BZoHsm3tCqk5ya4Jca2J31ThejNgHJhR27RKjNTqkLUsisHBfe+69N5Ue6p5H
C0mDuwjSza2LBi5x6ZkhcVBpT4NO3RP47r5kd1nhZ/mXvy9Wei+HSmgvDE+qNuw1q8Y/VXtqDI2y
QQdXQE4rE5IVhLrpPTHapxHhvXlkTFtsR76YqT8A2CEyBX6vAUwkTcuyLlGcoal8GXpF7BptEUZi
WjeLCUEgIAj7twM5EtNtX+b2XARdv/pmYMIgtT287K42fBdKDP2bO/Rdep+tvTS/Ayxwm1c9q1Le
ihoALLrL1dzRTpjbNB2N1GnusBmZWeQSszadpgboHH/SNdueJiLTil9FSss3ufMPYDAmqdvjN1vM
X9wF4bWG3vb1dblmVKdW2sDLyqyPzdf4DkSzNieGMga1IxUFSshy+8BOddb1tT8wJJmJFFjmuBFT
+puJ6xilIJ8CeyRsLhjzmYKikY+To5wEuAfb7CsWqi4m8uBq/xat+HrPk20eq82p73vmnsHiaLGe
6+1HbWTti78VWQu1uZIRA7Es8jPt1UYb8cOk9CnhLxT5xtGeP8vVsuNs2PKYVSuPnVdMP5ysfCr7
mRQZ3nk/jH48S2LhE8iQjzYxTq8eKbeh6ZanhTGj5rbHqbAbA7zXB9tTRN4s4RPFnjLwK+OBffhQ
R+XU//b76nalNHyC1VuyHrdH80U6/mlu/T1pO3DSyqsIqln3gUxYa2LaVcQFys2gtOfsnNUVSO7J
ro4FvD4mRxNTGe2asuI1Qse732nhNrnnepq1s+GCn7Kynxo3GauFa4C980CiIkz1lK0+23Za4YGQ
pEvpeN/1uTopMUveIOuxNIx3tJhQFLOCXHALfNalcGSD2aF9GEXfn/iBbIFKZZIUMc6XSWvdAKre
gzCt4tlptTrYtOYtm6l1LFWMiCwYmM61lizt9NBrdXpnL/NwU4FeQBp75Fj3H9AXcB0sZhcEemjz
Ga3IHoEHWBhGasMpc+RCZECVJjnb8XBIzeI7TFAkQt70Ykuic2S+zaddm9StsVpHWt3tQCJmERiu
LiNmPEio1owBnJzIXqt9X94BAdE+cs/MY4yXrG4UpWnZLVZcIzegVC6JF8bkzD0Hhok0X6ECFrtv
5dIs0dIKd4XHNluxOZk/OhLrmD7QLQ8KzYwrnmqrRDFlCS0CX+W+WFQnRIGgAE3QSb/Wnp8febQ4
k/flSWP5HKJEL8iJ9uyjPnk4STpmvPWsLj0lV+QXmhai5CTXiXDP2y4dBdbFHR1J/m5ljXezpWt3
ZOCJuImuAzHWQv2ebtWZHInuMCL2CbzBxi8k9uEuZSZ5qLJau+E+JEAF36sIB9gjr1K5z5NvZIzk
HJuKZ68/itF8nHyZNKwIo7Fc7SXU18Y7zsSFHM3N/iFoOVedjOWrreBSw497GycCt4aluEvbfoWk
rTH8dElZqPrqRtMbEoCAKCQAiN9rN7+3Mite2vk+ZxwXzr1YD3goLuNM50Jd3h16FBtiNa27vtFa
LPl8a4aNV3Nqqeuhr+aonoyrgJpQI9Q77+7aiPMyKxB9PmyuVDDCQRoPq8k8onjKwtLhSS+XNDsK
f7xji/9rMKctcXnTMujHaWxxdxRV8+mVdn6C07aS01PdOLaw+be6DdA5NAGzoepyHdCHqnc+hLIZ
CQv30hbFHUaw4wAoLiZk0keT61sVAxJfv9krmewsQhhPZkHutbeNt8tksdclaVH20A/R0qrdfxuU
vF+l/83qV2CRWJCLS9pWRRcue3YY8lkGGwuYQ1vaH7xyhtfUX97UxprW07U2oNR58KnNmFCqOjva
mjWCDsrIzNJcMjF05+fSqjHQ57T+JAtWD2eC+iLHJFVLKtRZNAXXVUwKhV0nVSqtyoONCfToMFC9
bebdj0eHl7KqnYvVN/ahhslLYomLK7XekVur/Liskx+n/fpqm8N77rkv14gxFigEMBXl/kgSWgxH
wDrwwFIAjQYGGGcdzo3jHsFciO99BSScRI4JRUp9GOb9R9dhs2r66stpBbwGpQ6bbTSJBj/z1r6G
By4+CSCizw/M0vS7AfN5sDHFiCSg4u8G8LeEtbgbYn834h5rjRp79+Dsmv/Np7eKTORQKN9s/aFC
Gs1M4X7TdiM0p8UJm0WXCdonvrzaPxNv915mRh2vzXzVc6ff5mZEWyRTPXvtFnE/MlqKQS6uB8NK
h1dPyvI85Bu7QnT7Mql44hKkICucG45m4ZVe3GrE4M6ptOIut6bHqTGRy/vLL7m4RtiWUIpmCwXg
0FMflW09vJTtPFFMmL9hRpSROU1oEu0yQhOyUCaBEGpkAQptOC/a8jCn6U3frSizLE+7QxTwa8hs
iMq2+2rm+0lv5JlrEIm0n07NWrnPYz39toziiDtfo1mB9Df2gp0aoiaKhWLFpLntP9B9wrQDBxkI
9t5kqwhwsJPKb81sGZPNS5vz6oj25C2ze7emK0aB4klt+RhPs0/MgbsUx9QZKC7ZHKHEjDJmZ+yg
yGYksuWMjLg6+hlkZXfiW1itmbtnmEYVud3CYWaVyKSRNL9q2WQ9UAbb3+x55DFkcHGmRl4ji6rm
IkuNFD+b3L1YLHTtrHiGC8g4DgL+NCVIflPpHAvEvtevZTEDTcooYD1Oyt5bn4zNNGh5LGLdOrVE
22Rg7+gKc4rnrPWPjIrOdCZVsm8LQ0wuaOxYOo4CExzvTM4oewrPuTOJGYxXK43HTdfRQ6ocHpMs
E7OmWvKlXl3qGYWvkLwYdYqSyBfleSu7+mjYTOMYyjynMFR+LXJBMactVMlbTcUJC/LLA4BzAbz/
CodzCo0OldBS923oXsUS+si4z9C6u4pZckRFxgCt1ut7HpvsySqtZNF096j4ledVq3CdjdmDY3ew
sXo6GijUHiBlQsYi8iZujU5HeMcolVpMPM77XEe1Zj+2vU4pQ+GJMFGep6YNu6n8mAhxNNyNzYUD
QFJIKnha6W0pvth/irCo84utK6Zza2vRg7GfOAjL/+lO5hLOc53oGe9eLO8uGVb+fswyfzq50ivj
EqE+twDixoD4NPlRk6J6WCznFqX2beZ0zpEGp3ttBpaqHFQ/iWta4t1DXrYWa3Wr/PbJS3mlt2v9
2GZNfinop5N808yTlBl+KeKDmO1/X1pZRrRT6tS11fDIgFrekSeOuxx/SlBrSETsYXJvOch4drQi
j+bSZqnoDviCKuDbGDquaoBtvvPoku7A4B9dPvUJ1Z1z6m3qQpsYvdTsXWA5QxpUpp9TbSPW1Opp
PeSiGE57CqvUQlT8s0RXkUdZqTAp7+mxW/TqvrObklGcNb6YMxVbvpSvVCZWuC5ef0+6MAOtiV1l
2ck6ZGrXhhquGiLAON1msfYRB38VNJXf32i2u58kp1AAQnaK5t1tD63IrWOxaEMXtKNl3IxlY8Re
BvJl2cfKTFynGdlKI7CN5GKj8W5SDB0RgGFGBd0o1l9EKhmcDmax3VQj7XHQ1db8jGxmpoBMDekH
JtIO49zoytbiETLmw14Sa5c0JSyqgBHa8jy5TfGMfa+vqRuvE04hnYaBiFY7L2Wa032V1jwSJFNn
mR4adsa8K21MwrnGhd3Z9W3efd8HWfzUNc3/gZRnePMcKhPcXHBPwpr0X6DpC36cjomDT0urW9+o
2rfvo0J5E8zG7OWhBsxppKTQ0+V2Wlr6aVfMrhcxoJP118i8Yr2vmBV/DfQVAEPXoc2T1UOKehkl
cZwofy3K70IxzGJIlLJPtPS0fXTRjyw0TKY4CqLW9GRohc9QaiwKL8xROb0zzVmY+2gC2aZS2npp
UjbAKGFWvEguoWHfkELzrHQiz7NLXRptzuS3z7vYzFfjfgG89cNvJAgEY2v75aqzUiVqSs2wEm1l
xn6B8lC9W5SV3bEZBu+zrR0sUPqedW8zdi84wwyPv3pE+T8zIhbzuJ2gyfCQOKUf+q0Lu0RJGn01
7l82iy/ul6oZfrVGYT2yOKt/1FrOXQnHpTOSalya8gRPcEZ0Wg2mFVHv9T+zaebgajKQfLEgn7sJ
5OpVaGez6ioFA2RfsOeqyt+Lhr737AwTWNRsn7yjToNgj8ZdL5pnr1M2cZ5uc9qy8Xq09tX04JcU
rtHOAPHDgGdHCpgxW0ypZSUaImEZBhO2wyz1UrvVJsB4qv17kZe4c+Z+1LxTzhrPxfdmb69rvvrq
yLIipWDMUxQ9xpR6ZPCRZM/2qEeWT9xrOzyLwZ6IdbLJ3w1GBdr15Lf1YsR7jXyoz1GGhMw9V9Jm
0E/R6DORwNnvtLVgB4a2IrKrzXzFo8HUHhje2gedV6ztae6vpZtL2ArGMaNJU2z1WwUacnRDCfzu
BxIFrwTM6y8estsGTUNWruNnVpcztrO2YZlhjDajiWzwfEYkahxDZRriqQUGQCJ14RDjAtlCktC6
EcX4hKSs4sPqjrxb/N32TprJmNcyy2ELtrnfIFI2/8xMa3JVx5jTnSfftHm89Hod7zwlpBYWq1G+
V6tc3nKXpbi+CJS3YPDwf4y52KjUpMGqCjQ9MH+Pl+jZBiFWxbqVIzFIUUhnEQGFeQ2yUfjfeoTM
721BD4OdrRsysPQVkDWS5TD3Oev+LixEjjz/jfXYXDEZAX+YFNG9ky+yYRMY4iqvCR1ejHqkdU6v
dywDORPocVG8bXtrTEktp6FKSu6IF2OTC1RITaL2WmE3xHaOYS1yXIJkQzNzXf+GnXdxdQN6zn5L
ZFNDVqBRIKwQozSeWzqmuwo8TxqUaOhVuOidr8Vl23lfxnRNT7Yy8FlXW4TkuFznf+4utWJECJOP
dkhslH5aekwSUc/cnO164Y/Y1ixhfMq5XNcYYyqWPYa15nLYqhKLgpWteUk7OFEHt9q4cKfqHfma
Xsr9HuAjXH8W3jKaMY5RKUi8bwz3aqdhnQx7eWUybKC1i/wRniK3KgNc7gHDY31TMywLqpX4A07e
1nxhaKK5VKWOdd9dfXzMo66puatrEFE1bgvLp2WrhvSakGl/tXQR5xK1e7TMe0HKFkZ4J5z62jhX
dFdukIuVTRM/bSx5oeAYDVZrdKzQEGr4ViyLgQh691HSb4NLEPMIzuodituMvnrU2/1gu/38ZNtl
+UlgyPY2MLIg0xr0/h5nzgRs390pUtkvEt4V7wbZjkQ44MxY06mE9NnVqLimnkR4xomNy/dYMyGt
bOHA6jBK5z3PKMmuQGadh0CSJu54M/vKvK2M7wxwYbP7dONOXOaGgyQdcBrMberoImjxrvHOnTnJ
kQ8NaOa1VJY/qoYtcNCVJtcedQn3osVhfZ+PCig5HCP5QqhSXUV63fAbHGNmVTf2TDKxFhuPGpbN
5py2KSRwLZ+6EkF9Zy8B3jvHOO1w46+5wsT6xgzAdLDJlS81toQm030BdMWlnU3Fzgq98rvIbebm
hzH4mUOBOWg4WvyMbtOCnl4EYplqIHjN6KcBu0/GETVXfYx6b+IgTGu/+vRmL2XJW2LIQCKkVJAi
xxFnmAhMwLFWs/n3J2EhUx8VcbNO75biWGlO9uiUAl+ARjRlEbMndZvjxvV8LqW3pqSgGcwE8ZQC
aP+f4EpUT368Yu1Vpd9s/GZZMrn2lifUSBCmIBYs7zrm1DxxDPQjfHOG9XP1Nv6yrmFpXHzTptNw
lhGSyt8IRa8wgT8KZfkqDNf1XGx0JBqY/tVn+AeEwtr2CpglSZiqNRWCBo0wUER7tkNBavnXsFPN
oI6YKvJ0UeZc2w3dxYDNV5G//ufP8lflMB+FT4Ha+wo2Qx96tX3+4aMQ6O3WbJRB2KCR8EPdmkhd
SpvBNUO9Ha4CQ7kbPm5xOQlWqV3FS87MrH8rqv9bLoH/iOD7E6zv/4n0+xPhD+rcv39/9DF9/Olf
KD7A4j3Ov6R6+sWY6F80QIB11z/5//sf/w3Xe1H9r//1P352cztdf1pWdO0fRf9I8f+TS0B+tD9/
/fXP/8sk4OMEAHrOGA1lPwD0q6r7XyYBTfwD3bnHjeMRN+45QIr+yyUgjH/o4POAEwCNMywcu//l
ErCNf1hA3jA0O9AZbNdx/jsugavG/f/cxMKGJerh/XOAb3H/4Fb+851TDSKVKdEGuPOGrToidNu/
2YSHn1vZjDcE5NLE/uGrefjXz/6jDeD/+o3CBm9jiWs4B9CMvz42TAX7abyqt+tWYqvJhduh41zR
TXWblH1CD7E//udfaVw163/6W6LJ8JB1cymu//xVqtwNBNanejVTM2ByohpQDYLX7eqJ2s3dDTdS
KmLHddIyros6+05whmbjkSd1gn3cJ64swnaRVG5vPuYy729OkutB8edPh1iW6I0r7suCn/sXybvV
zeguMuYOFREeOFjb0VFRusPFE0bH22THsBW1omNX+Tffy1Wi/aff7JhQPeBumNxpuFiu39sfzo1i
dtwyJ2AgUIsAud/pnnXIamuXQd/ls36CPYfOsXBMeT9nvTQuQzH7HO/2SNMrs8EBg8AxXj8J2CN/
xy81rqfWXz4dQa3YphGZY9H4q1/E3uyuWZ2uu+qzNnx6luE8SHtk9CRRzwVyaAr3qEnS6mksIDUc
TDfvfneezb1UgVr4MYupeGzmttJu87HItEixuu7/zkYCe/9PH5QXgGOhjwfCebVRg7T7C3am8QrH
3wRfRilS9segeGP+NuWlqmr9yFriq6vLPTZsBCR5ttqfQ1ui9LVrd7qXXlvfqDIT7w68cQbeBJc+
ahs9VKnqCjOgJwfnhPZMfLcKEGRI/HK8IeMijI9Z+moKy/X6qq1UlR+GzK/zaPO0aX9YlV9vj7Zf
GJ/Q8hz72JspY+Cgn2Vb0Xsjwg00v7OsR/Sfuxlb7EsKABKdhyWSkqFDYjJlclsSGAp7+ZA7FGsH
NsIt87+sYkcwcbhlkMqw9EzPrhS9wYXavE+Xnr+OZIEy98QyaEoWJZr2MC19iWCcvFERAAzoaaVK
7jltnzpCv+m/zHu1tKk67Y4LAgDI7zVyUNILh467aJIDf90+MjdnyEQyNg8DHDS7uFFQNjDw79h0
OXD4iXt/3YIs+oLtO+0b81FiE4iYVAj8nO5Y3NoIi+VtW4wdQYE6IUH4EGsC0zWM+WuY4SysAhSp
fJVTh4DrQMgWe6duN5nrNkjmtoPSdP0TaeR8y3bhcyrNrAwzQU4bgfD/rOuz4dynlI9wSNq8flnG
abx4jI5JjK7yUt3P+hXPbHRD/Q0fzuixt/S9r1rtQDmEtPKwMWbkT42/u5+6kiNKQgJX6gD518bU
buKoRm4jLnCmWYPTdJsiILGSU40oLf2nJ/OKjgbc/a2HRSBxVM8or8kwCMd4EL0IQewe7jBtEEyp
bD7Zu5ZxG5pIkVmokUOTlnP+uBOq+lV0Kxt2BT+JfSLSzrExjEeoaZM8p2W1TqzxhL+9zPaCwkFa
Xe4nAOUN3L7t8CCyrZV0K1P7pnG4LEdIzM5zT67DdhLawhKwbLL1ESlRoegdsuuWCiahiIkw7k7X
iv6gVZNxtmqP/YfWIKTXuupjn2zN/Nk7qUxGvSq/VCnwUNPNcFpJSxHSJOZ2iIumnS8EXl1wyuxf
BurxYJin8WAV5vLzOsm+1XHBv7iT3tCYEe/LZ9i36Tit0rqbUtGwjpzHN2a1VmRNWCuxSDRRh9c6
zGH3JgJMxBSozVRceAzTGWJM4ta1bkmQm6LabgVG79BGZ5BsBB6x8WYFELXwJ37ifUYUPSHrf2OM
gyrHIJbNCrullEeJ/IQym1cFuzP3F+6O8kUrbf/3oA0kJ0/8/344jjXMoZ7BQQAxrzjDc9BCRSUY
sW7pY7GP/XNpa3AGh6kt36pOr6KCmO8Mqa2JV9rgcpsBArJMj/XMZxoxjhxh+6r2s6tm8Wzvpfgs
NtXeAx8koWJgcJnNwB7gNXU3XYe4Muh1AY5U4G9G/upYhM6RrTwlTkmpmdTgTRLierRfHaikW3q0
PZ6ZEuFE6dL8vNoqtwIPYNrvbtyLEDI1ucwq14BAVIyoH5jce/5hcwG4jYUEl4aYGemFZ8PhHstw
K0cNK8B0XW7Xg1aFoHQMvBMT3oXR1GXcr8Xoh63Oy0vX9/vK11xebBMmLrZC3KxozKxbc8zdZJyH
7MFjinUoq4pBKaKNEVnoZD5WDJ4ivhnr6I4eRrS5E98Gv+8Ik1AFjKS80/bElybuvMI0OwSVpXdE
aIlmbl7t4qzmQR101PLTTZfBmLFaXR3IoDPZp2iwQ5lqzs+8/OtPzyms29KQS9I0W5o+TsbOFNjy
yXQMBuzzT/i8YLgjhJwfleWwzNOLlAS1xfeqyzK1ebyobX/QWoaHQl9RG3vMZcIsHwfcUuP+w8pG
mjdGoU6y++71BQTUwnus5q7BNM+d3p8K3G/+kXeylp4YB25NtI40WwN3LM92Zd+NLhpi3CNrjIJq
jbBLa6AAyjnSRjGet1o8LN56Ytj90qUQCqpFqWTVpoNZmYfBNX6iPHpCRf5rNPonoyPDqzI/VZbd
y31N7L14QGJisxsZh3vbkuy369GjM56vi6fceAbecTvRnyYj+33P3MSl9HNgAogvAztdjdjgQX69
+uSSwRROQthGeVwUCy+0L9aJ9xyxE8yifqXImumSs+HA7efGlbNOn4s9bBdmDvgIdG7umPEkgm3Y
xt868BKQwnTtCEJqGxNdeoCnhDW1xVkKxXRT1n5/gVOCqFDqkE1kZ6LcsKv5oxz2hGGsXtw62JjW
yNByPWGvJhlH8V2m2QczAhYWXuppz32RZQlHc56ditIB4VlbTS2OUCh1DwZTJbwYv8T40umcp2bZ
kyaxVk2MjmROn9rB2oHSWukacP8Rre6T1nVuWmLixm0SN8uQ7omLAn88UGisoS83QeIjoPu764gH
GJQ/r/LGUv0WF4uOdo71VrlE/rAMY6zDRjsyoRB3g3Md7yvLZpnBqhY2ldpctgk6WXZPJUIAnl5N
gC+x80a8D8gH/NhsGNIh4N9R0dYZ2giXKuqVx3W4AYui1hDCoYtoYcHOXxLJ9bBz9iQlDXwbL+Qw
f3ks/q7fEQpVibsYGaISuAW7onxxqex9pvDoFqC5Ei9y8FZWVa4GuLQu/ep3b6AJGua+mOOqLtrT
mGdA1djkybBy0bz7kDdfUat533PTbubzQFoxqwa0Pt1pKqyUl8aiWNJAH0D+t7QR63c/aotB3neE
JedHXiT1vcfC5R0JWv9Ekow8q0b3SFZp2ltGd2+LV45nt7LN246smW+mWptgzs3J+CFoAi+4t/1j
BiPidzla7itzmDEmnX7+yTcr3idCOS9cOO4Y/nqQOQn9g01Q1EK+OUNn4PDaditWqEgj1cpPSLG4
gOjkQLjM/XE0MQ8EaHC2iMeeAgBvlLUe56xmhFxNgAVYhZyNoXPBJC58zmqF5pVU9kL2WMUmae/y
jeu9bWe2QMthHtYqWvtuQQrco5KBHhbsveOd9SYbjNDtN67kDD02sYktpbQyqvVmcaxLkZXLuUml
g2qFjKxUX91PpTPtIf7TiWd4Z6lVEsTj7UrEHFvrXWdYl1XV3ROyzHUPWSEup3UDND5ovfewisl4
qXLRXprJGO6U26sHhUoBunjd+sk1gwdlPuKcXd9OGolvP2hMmRX7K6thXhgHT/fwIriNzQgOdWyg
9+UaINWnH6JjHL5a005vGmMxLlJq4ytsJ+NYKhvxgj+x+l677GFgn5uV471LGORNDx7IjCj/z5mr
ndpSVt+dtFs/8Jx1r3Dm10NdO496VRyo31SgkwlzsHGCBJ671DdyFmPY680Iq8gxE2Mw5ttda9xI
7GbJu6xek65uBNNqfyLsVaNdHJr+xVrp0DvPqg+qVVeNGFvAoqhQuav+xq2JyPJZuNz55DWE+H7y
i4lTIJwGzwsMaxvvrapKT6vDdMpCIn1BKzGd+2XVXqi2kFSIVkNKmO8sWLjcXHfAHfDUQJwqaZvf
FGYq8NT9fhWfr8D+wfX0eUMJgmVz9RuUKFWxHKrU+jXYsvOTudobwDJ2ehm0vQzynHDINlfmvdao
7sXIR6QyrX41FWSFG29wjM+9Yrq8z9WaeC5bftW7TrhpSh0rVxNRr6GdauCkvuR79Rsl7vjVrH6F
MnjzuwBui4ctAmFPMa9QcbKyPpDDhIEYJJsfOW130+TNF4O8FAJR3l5sB9Wka7LWZFpv/QCCpMLs
GoZIET7euRspHTCprljRq4rLKiXxIxQd6U6fvjgll7ioDqNd7Y8zcYwvrp2XR6xDbVKvRDUGPby+
27kc96AFBxaO5cB9YCEP0Dl3f0I/8X65EmnNTKJloqepeWoINLyFNVFhHrS9V99GaxNOU71etLqf
43ypvwGS58wVrLhSPK3h4pvyzUBQo01peZ46n1H+ajk0VsbCW78e9KZgu5HdaHIR14JYj4th22/S
3jGSdcqeuSZbgJPcYrmUjsnsr98YHBMlDPjqtCn9YbSNPbY03s84qlVSN+4hV0UbW5g8eziy3CKL
06kI8ibHC2GLSbsWHEcVHQzeWP0Fo691JI6kOHmUFrRzrfUTGzhGpXl9sqYeBZ5c/PxNx79b47FN
NNP75ejCPHO12Uzzajn5RXHw+1nFcpjuwFStF84CGjf4dvCu7f1Y2VMd5qbJu3QrbkzohypoG5us
K2LMZ4bntToshDoGus/rPePxPjL4ShPq4vfGXfMDERvWW1O6KHLVQlHV5Q4ukn1O/jd7Z7IjOZJ1
53fRWixwMg4LbZykzx7uHnPGhoiR8zzz6fV5VrUqI7I7UyVAwC9Am0I1qiMYTqcZr917znfMAdkg
xKKXxrZu1B67QOnHtVOWSuco4MCWhjrBUJLQVg+6tic6Nn7L03R4YDrELYBrMG6sgWb7NOenNE6z
zBlMxDigQUtU8bTmF0aGe4Six18jv32McEkuG13rOIchKVnwAss8BOIY3zTL6DbWiCWaVn/XFouk
7fkKqzksFrrJgQmBM9W+xdiJ7nj+4rfFQzqO1ltF0tiOH8yOZtOFxsavOnHQgxI7SFjX+iPsG31r
9EV/JaViekbmUJ8GpRzJmx6mCuuLeNZL+RJRbdXloTcM/Rljc3kyYhkRlC7ph1rNtZPeZLojF5ws
BryHZ86SYutbSY7ypyu3moKBeBFIobLJ67TbSrk1HFrkqGcybOurKrL5nxnUSmYpGjinUaKxoQ9P
td4rL9nQZqhVWvi3Ih/oaSdNMq1t0hs0dI2yvQFa0PAPDgENljivoqy7K81ZfvNJhvXszpresEk2
q0FYODVMJAxIkpWUsXveEAXSlSvgVZQgtp+gjKCVqrSujAs65K02RtWibjLtzlS1ofP8QlB0Yux/
KMhRixyoDOK9x1LYIvaqqjPinPhem7mSG5d9d/ZNadqOtUkbNEnqV78a7XUCqvsRIQWhvbl4kxAg
bvUJ+oYEwfmWiv2GeVy0r2IOswtDm8+QFeQH/FKhB4iqW8uyHL4kupW8l8ycaQkYlFl1u0Im1Gz7
bLb3bZ1TI7VJeWv1lXWWzTr3mCC2azuWgeDHoKbGkuRwFGfqCu+MdK0OQOKnC4hadOeOnIXXFCyH
c9FAHJJ++AbnhkFNqMitvChGqXyxZb2XV5doC6dICDp2OSCJ7wnB/hqBb/k4AsF1ybGUdoEBXety
w0tgW8EBCbkJv0HKgc0SFrDVckJ5gRlltHGoYsGwWinPO7msgUOOjbVuUSL41yVoqWTdo5mTljNI
Q1Skk/FuDsbsVcoQH2Cu3WSaPxavcAUuKpFeFblyDjKTyVVBR+PYJ6nwPSBsA+SJWla2SlcjAMGp
o1oePLgBvbKSjOF9Re+JmbpRyi+KXRoTYNiheyJjsEuWPaaIlY8im6fQnNUdYBP93Cc1zSVryuic
AZmQGDsHJbh55nQYvyKcFGaAdKS/GPZwIhvWTlQ96jm1TiZrbecYyzf5TK9lzzCYRloBNAp/UyXU
GISiAtmntThgoTIMVrz5CCUuBkxVbKd58gzqILrkxBuoyi4PrXgcQo5CV2HSp8YH/bekRFQy9S2z
qyhu2TwRI+mdv9QySu5FYtSlctQNsrPYWPomXsZULW+9omW3KgcCm0TC7ho56ejvTH1I79usTu85
PeGu9uVMf5rrxOhWUW6J+QqLNYiOCM2mJ8SgX3WsMk7msYrkCUl+BFaNA+shKCYMIxmdRBTYrd+c
amJHc+SBHWyVAiWOK+l5ts/TEjCqbYWXcrNIR/RLVhhRavbBORS+iT+oo0PMo0VIl5PnZQqFnY6r
ewlnFXdAW9sUmljNnh4qYFK8ALJlQemktNh1hgGfVivpxPcp8sjwMDFrxrszbclkrTHLBRarItt2
8nnme20ym+nJ3FTjqZ97lrcRGHp/HaIbVI+Eh/B/Nyk7sR3Rxbv1Sx7PpdLLuPTwEAy1l8ytggAj
ACjomGS4+Wi7aooJjLu44IEy6ssCuTwzURVdnhE35uwEitk9MO4Y1n0SpuLaKDD/p76AvwfgAAcb
h0SOywJI+IGqPDwgqaNK1LoxC4lOYPDkNDwQshNRfTLQD5IhAbeqxwiHLELHFwzC6aH3Nm6uBVHU
c+emYxuVTksF5to4m83zrEXk4y4sPzI2Wh9p9DNKbUDeH0jcmRz0QAaTOXeMuJUbthUTgw3vlvEW
W4tJlYyQKWAuO/EC6XVs4Zs5Zy5PaHrGnjEW5Vuo10rmdBy4v5F9Hp4aTcvfiG7v7g11wBHZl81R
b2RGrGphIvURIJMXcZ6Nw6rT0IKvheErDZIeY7Q2RV3Tzg0R0wzIlkWzbyqm/yFl1UlVtUngPMzT
+7SR0KKHtKsrt6xKW+NlWog7IU/QjGsbjg7ggNB8nqvBXiIDLHhDj7llLKzS7LOH6KKdoN5pzOij
t3ua9Upodsm6GXTKfTrPebak+9LY+4B37coGK4hI2vKncclfrT33sD/ahSb5AKcK0ji8bjR58rRE
HbboBCLCWJG1IE5uMc4nwYoeA4+LDKLMcltqx2DdtmJOdvOUyIMDbRJjfoFrIHWxrbCM4znTSF0a
ZYoqSVLUkwDnre3IMeZTt4ZQUxQ/Ud5hqKtMXtp+MPrIL1vG6KFCxM2YNzTpLYKwEWYkDa6ZCbN5
F7VatpUNKkSPcxoP9hBT67uG6OSnSFxKzkjOhhu9BVgHpLNjRcgc2llvXYYRsunZ5geiE571yedW
FlFo86S0keHhC8XtBja2ztZznSVXjdXa6lFjdKrSjFAoqzBRZQAWTJ2PULMiQZyVEkdA9fuzLltB
+I5KRjUQ8mj5lcqH1NyyZ75pYXsHnYot8Qn9otYsqoGoIwDvbXpDG9d6jqo2eZpU5NyruNRSDI0R
K2AOEu0e5g8w7o6Md3rqJnFJZTv2R/A9BnjLHCkKcgVEyY1NY2UjI+biUP390TIzNTE8UkgZw8eB
TxyWqgXylQ6oAJw5/easrVicXdDy1YXKKIcrcxDoeqOekpsr2hlp4ToYHA/yVLlMrILKNa6kbM/0
EsmJrev6lY4uBC9tKsuroa0lJpu+ROgFIbCaG1WlFPK0K367kVW1GVY5wphxJYsZ/Q3af+Yqfd4D
uy0GkgYQxJdDgWWKbXHBppWaXpep1RFRMfsdL+DOpccx+ksON1m+vyiU9o0+o0urkHLPj4aeFa+T
aYoGFaOuTjtccsl4bkLkuDA3B6igSAmnAeN+Ud0NrYm0uMoKxhuTFFv99ff51ZQpWbaRZ2igyLtC
5aVoBvuqj616WjajaiFg5P3IvBZ6500S96q67iWFaBgWG06vsLPvE30yictNrPbaBr2pbKx6yAsP
q997Q8QNCAqwTchsdHsT9rSKEAZZ7b0Q/jy6iPQgsBVJJmhvV7zmsF7rw96voIUuyya3V0Ky6O23
NPfzNUIr3gqhkQbFAoHq3ldUXAaJZWfGW2c24XSKbaC9V7XRsniho8wwqMe+YgXSJFF3TWLGM5pf
fHCXs7OWbgDY+lAsagl1U1Nn9UddoINncCYl96VWydNuGBPV/6aC98GZqY5+utEapW6f5UgGEqL6
l8rAUgbT8kTS2ybKXmyEN7qPwpg3YOKVSmuT9QIeQ3fp/kQuWh96PlhYeV8wO4kQK3OXOFoOZZe0
TmbylnjRZ9TUMyL8OutONOPj5pxVkXo3d3NhemRCauMSIVogHIBZnTh2EoaxLCeJxerlXQLf9hph
fbKsaQs+mGkyvwYRgUhiRjoqYzHYkQA5P2B1JnqraJprM5iLdTlZAnMFUYJaa1jrhFLpWKlR7aol
BGo392dzTyHHldRS7jA6CPOGdIv2FYVXwONj4xuXw7A6McFO35Wy7j+aORgjVtVErljaV9dRXMb2
bugya2eUlQFGIhmGCCURMrgh8KcHiC/RuolLr1VBibgJeYVPo2773xoCfu4kyl7XbHkUzCSswMAE
4p1UZQsKkGaqBxS5qNv7XD6GqPrMdYhqQd0O/kQ4aEqoA8T9mNTvXog1R6q6RK4TFy9ACrDTxt0g
jTgOLzEBXRU+a5Bx11I6cvq3Bptsen3cCnQbWF8kezuFuGWDMTGvQrtUPWNqyaQdUZQnrj4KHasW
L8gVzO75JozAGzK+yoGZBTXNLWvWMeTSHXxW2wZdqmknR1ZQKUF6SSkoTWxur4Nmp/QMmUAx7u7j
favjoiV8iseQgXREPmjAKXfZ25VNRhvJEceZXiuG8LJhqCoCnIu6UuJlUis/uyHfLPxgis1mp/Sc
1sKM7FSHdnKpOXUGgSXsQzzpSA51j5o23w5tqTVulcA5rtKu4GtVEifuI3+D5Z9QBcvqvhmzkrpd
1dV7dZ5hfBcpMzHFf0BClfPuEb4UOyaIIOHN8VA/TIPyYUV6fFV2/Z0pgOVKfZEg8MKswdh0OsIO
uNAH9Tq6LtqBYKH6Qn6h4xk7td+ILdkhTFtQvd+G+HWfJ4ghexJDBKCDy4M/oxVfyqKW3VFAiYtt
KEy4iVC8XNwcNvbVQvU3Kd53zfGRPyO8h8eOs1CuwpdMa6Qt8zZkszUZw1Ic1SugAvA8JS7o6vi7
ybjhZIzDXdzIo5Xt0ZAU4Lhky0RVHutrlXvGkJpD/knvpmlYYMIrDrNf2hsOx+k904bMbZMO3I0E
kcoRvhUBKxps7KN5VzyNBNbXC2xfxd1QWuZVNMfTN7usVI+Ae5y+NOcfcrASdHNbXqlRUdOs0AD2
ApkbaGIt6izdCYk3OZo5IwCAr9aEr5UfOJH7tcjLNnUv4iDnv6Nnn/iq/XiBb4ueaKe3qsdtNycH
zTj1WuAXgMtpSDVqHDipNfwu++uzKgdRh6UBXbRRUpuq0IyvsUU1+6Wcl1AOmhh3PmhHTexmv+tf
B6EyZpPhnsWDSlX5a03OZ3nU98sKlCSIvtDYGnAVP0ty8o7YinlqmWNDVYRDlJJfjveGu+01GdlJ
+AB66zfXVL7n+PwtteGqJL6ScHhJTQI2o9tf0KxQaew2QybLS0i/dDLjQmYGJbN5LdAOtTWmmaG7
Hf2W2a1CPY0MworXzPo57fWJMbdeOBnyy5SCeOPwFMkcXM1mLB+E2gppY0h0yzkXGoj4ng1oZPlr
KfT4I0tSDAoFvinKdRkZ5W6KlfbVtAnYW3ZQQhXezHYOSCIt8nNMS0PCBDNrV71SdncWJ1xA6S1l
7Rl4voIASO7Kdg1hBMc54PmJeBIc7JULL4HRHDQipXoBWnHRjkAtYhdl0dEms2Xl1o66Cyw7bqWN
7E8JnPNhAGVvGv28EVpuXI9aTLZ4wjnhZRgH3nXhaNF/pbRaahLFJUpzXSOTKZBmykIJ6wb9NwO7
JQoXOXuYgGxvjFTmpDYKQc8DYU+5VRIDcT3lmPaA2LEiB0QU0nuWg2lYAHvF+cmcKvpmpLkqVlHc
W62H73d6Ta0R5LpUj121SHrks15Mpo0C6Xo2XHAvyeV4WYwsfnpiAOAwzlSbNGsBZdR2QrvYNut6
Z2NT5Q+ZIQihGrqYqwOzmLCwllhVXLKv81WQNYjkCsK2MuxYbYexZwhTmgFKYrNxI5URiynt6q2u
pLK9rMYJaJc9yeOfVNp/JC29LRA0ZL8MgP6PmtJPytPVe3H1nL03X3/Vf0Hh6SU4+T/jqVfRC663
9rn+UXt6+ZE/tacoTDUNOTAQatlk5Ipg5AfxKUQJDTC0oHuIdu2yJfyFqNaMPxQhaB6STnvZDi6C
xKb4jqi+/CdQGVADFCi05DEq/0R8itH7ojD8e+OhAavpGr+Rv9AQlAfyl43Hp/ERowb6UDiNb3h0
brNr5ZEuNhQ/TNqla3hvyTbbMj3eK2se9mKFmXZt7uzd9M5M+63dlKfmKr/l6HpM3+I3/Hnr9HYO
PfN1uIdqWj0zu3byDQ4kz16rTrnBJu3Zu3nTv13CE9QFtplt6lbnams8hyf9I1qDodmrzzYuP0yZ
UNvv69t232ylJV2vIznpy9wNnXST3Kvncj94/hmT07K4Vh3VS0+TV52hTRVwZW6ZdK11upXL/Fic
h7thdPgvGOn21mrcd/ftprqWjtqrutUd2oCrdm+skiuxrFa+267xxGzNZegYH/Gp2PJXXmk7c+3f
Z9dsIfar9cGYMuCU2DvBuiP+C52PgV7CtbbVlrx6PMT10V6KtXwXjEemaPbppTtE24xfG1yFp2lr
H6d7buGez/ChetBJNtiGtgSreGKXHxHQL8pleuPfqptixR/oNM5t5phe5pV7eavtQxdAwDK8sm79
LeNiDy6AS9NnNbznzNLYGR/FutgqSzolXrvuDv65jtmPdv6TuU5W+s3MnnOm2uMo7C+JAmD4yVCb
kFgZpR8srwOvluAlVXYXwNJObDigOPly3GHQKsc9mgEcLt/aGzioms5kcyEe5322js7lDuYBurJN
tRau4cR8LqKwuS3xJtyYy2xdrIKdus1vmyfpKjtYJ67wYC/BRcleuJGnhcVtx9a7MlzzWlvTCY7f
AtuRHlDZHIeV9TEdauSFD/Y13fIHbdfe1EcqGyVczT3utfXlJEUrdS1fRUvFk10oKI6y7J6t7bRt
cwfTpJftlKN0w/PZO1GYH6NsbS6VRXHg593IoUm8NHZEpCEU4RtZkdXwrVmwt5/7E4dUiHuI05Br
0VtzR152SE5chXczxIyllC1l8mz2/XJwOmyaL8Id3WqFkhGB4uGUOQvdKa7j5bxIl+Y6fVu2twFt
uHsVgnSMxITb9FR4NOwtz3cghXmqJ2EY4a+onrLDvMuX7fECMkLlxq94i3mMZGfcjBcuyNHADpvk
e1hMiIW6pWI8diY+qvZDUqk/7Y/U3zGjNEATaetRO7SL02uzRHw9evka37broymlS3nXn6cbcYd8
jpN9mRFeRujsIp2IlXGaV/DBi/EOjJTirOsCnQOeNodcBznd07XLezTeRHwTx8DQ095iNGyntfw6
6qRK8OjKnr+CdzE9V9v5gb5tbG9RE7jADeOt/1rccpDFc5V7Rs+n2FYb4hzN53QbHcVt9QFcbw03
w79iTuG1y2mb7/UVfCb5XdxVICDc5tjdcAY1HfyWzRFeNLXRYj6Ie30JUcxJXebasIgIIFaWuQmH
n2ks0w0iiiWd8gQLUkjyBgpMPvDBmG+R2Lj9SrsF2XSsFsadrDqYbPviTLaNiZcUahiVfXwoTvqb
pS4Mb1zi8VO3VUS9tjHTA1SPG6qvla0uQehVq/EDDbQjV95DUTj4X7E7nSWPNb1BNSBw62vP3F/5
seE8rT8Yrk200ntZPxACQmdghViQ5t5iXuuGp1oHLfXyF7ShkbE2bSdl2lDvUKM230aH3o43XFcO
rlkFne5OU4hA9HAW8UC03L5+kSgPl9SipHgKE1TPDsyb1H/FF7bUltpNN6+z8DQSFthvVS+5Z3yo
fNN3nJ/zu4o22UP3EM0CS+fCWjMPB50DV+KALst5Mo0V887mPsETZNy3ydKWH5hnFGtsd3KLaM5r
UlcmcOOxI2pjXhWGAxTHfuZeTzfYCq31cDPcmPc8U07Ow33VXsu9A3ZC4viybc+Je2NuFE4gjK0R
Xiyn4S209oF9Rl8+PDQP8llGFL2UVa+TllB+Vp3krLXOze+kk3XdrN9slxRI0J4XeuJB0p/Ngyx1
TvcIdhC3ebMU/nBQgmsScRHdO9hU8yezQz+ChqEyV6pxKZghAL2ilVzh+88WcHrd1Gnd6HrwJpp9
k2MeaMDxIN/yex4Zgp9DRNfFsGRxKK4UbmuvKw+gGo2XbMGvdWOvJ1Uo3LBtLGgt5caDFtF4XlVG
7ymkqEwoXxdI0DLdZXvLyLruXek+NRbZNxu0IO3W7BA9yvmjcqzbJyXYmIw9g33zoeHorcpXUd/Z
R5HsOqQze11euZUHMP4o6DWOzl3vecNr1nhMjhesROx+C/0hmN/6g5IS0FKqLm7q0GPIbDns7Wht
OXGzryb8h3O3RH6NfyEheyaST7ywKOtfG1DOVn6vkzBsJNmD5IbDIe/c5IacKKlc2L2XrySEcttu
M7hIFl6sawvbPreiPYCCbcgmfOEf7SHdTnv/KJzMrV6QZm+4FF8q2jgv3VsJ/Th2+nJj8HLRn8JN
91JWi2HXvWinYa3vkKgNPZ6TRXIq9lblVo+DOClrw+1cdclnHRxNWYKr5F9CfSGv6+SSkbjAN4uq
jGcVuStjLXNYI/wzk1VVbuJoSy+wK9ateCAxLXhDNFVD53JMycsxB6puMi4BPW7DLQ8ZT3N/0DPQ
xYtuHbnP1pqunoI8wVoOxtZvT3KxRSIKw/JNrh1Z/79Ts/8/VI0zU/tVOb6P3pkiv+Mgf48+2ce+
/9y//GB0cRUKXsHQVUGdQd9heG/a//Hf7D+A/pE7pOsqJ3AZuNb/qsh18w/V1ISOX4pTOuAayuS/
KnL+E1ILi2ocCyASGN38JxW5+Oy5MWVSISnuLezLXIeU7otj6AdHUCcPmNiwnCyAMdVuZ0zNDrH9
sUhiRH/Mt5eBSLWrEEk8XLMKjs6IplbLOTTKcmfcmgk4syrXka4VDf585jFqG7xIevRo4fh3VIEa
JDPE0cZ57CZ+iSc7ATKBoiJK6geEuDZRnJa6ScqLHDEuJ2q3Oh68UmMMvqiImAf8nBUfoUhLF3pJ
40IzxBoP+/hOyoo8gq1hbko0NYtLc2WRB0SLI7rRj1OFzdjqM3DYcniSEOnTurwYfhXWqKbFqPJy
QA42avyVX8XmNXAw/c9Gy/8/xf7GPnnpJ/3iFIuDM2/ep0+HWH7ir0OsymnUFgopPbKlqBoe+3+t
GEn9gzMs42qOowS86wQr/b1kCFPCEIbBkVOqoKXG0fdfS4aVdhkR8lM2p2JV/JMV8yWZhfXGqiVc
XkG3wahV+eqgJMipZQ0EbKx1SA9e8pN7qeriK7OQwl2nZQTpRMKEblG2B1tuYAwKemSFiMzf2Ai/
pM//+ZcgKzE55nMnaF9+XrsQyvLYUskMiaskYeBWa5Rs2SxeOlBk9x0qcxvLzUFPwqBddDQOVrUY
gm9tI5EqETDLPetzo6/B0iAQrAwlupbKaT7+8NWe/jza/2j//NxW/f5H4pG7eA1VaEWYmz7/kb3R
oFDXuF1V38VLkHHaqq62JifWAb6Zk1l+ufv1FZXPe9qflzTY1VSaIRqaw4t7+oc9Dd6Q1ZM2MjDf
41A0h1jyivBGUmTyCoypWAbGpLmS3z1GGMDcAmP0groFDZkVAUayJvRJA6LdIRH1/8F+8L/Xsvql
rfq/Yt+K7/UXK/69zp7zzwueH/hzwSviD1kzZQK5NEsVhnXpvP/5hhR/WLSrYDDzNcq6ImR+5q+e
leCHcFCTSqax4FV0Z38v98vLE4M1L1C09vz8P1rvn59fXpCgYFlkXIT3B08yf8KPD9NsAuvWWuxK
PsggE4AipPCAd6Evx8gsLvQrwxbjK56PZvPDLfo3K+eLy/RyZe6KillcCLY9/cvyNocmoR8PFBNR
EQMJM8SDWBmtb4LTRHoOnpgm/gbZcfLeAHcoFr++vPKVd8DUgJJAaBjhzEs+1xeXKxjTEtx7zMHR
NFGAzHHKlMoymmJ1Cbq/Q0eWvjPiz6HHJvD0orZUilXb/Kus/I8xaV8mJNwHIuRkSAeXliHO9S/3
oRzKYUZZiZ448/X+Fv2MRQywH0uHVlMv8gWkmKdff/bPO8jlS6dHyjhGlfn8PJGXr+aHHQSIS1pV
TNBoE8xiJ0Obe0SMO2w7WGLRb+7zzw8Y18IKDjpHxib/dYNsxmFsOxmrbIvvO1qU5H4mm7RFjIVb
UBpXNZ3/8sqcG/nln39IMG98WAYrNuOszx8Sbyf5biUzVGLoauPKGGPk49p4kURJAcyZX1/t33xM
1jHrh1cAlxNfbmnZtZo1JVrGsNIQuz4eEy/AfeWmQfyW1Yq9SS63+tfXvKzNv5vN379G5nkqVYHF
fYXQ8vkTjjMlaqpVGTYLIb/8aa6P2S9+c5mfF6qOa0dTqaFZJ5jdPl+mn6KsGxNAbGT3il2TNW9w
fSmd55EjWa8Q7DDNQAhSLBO/2SJ+fk5p9LN3CqgQbJ3mF5JArjVwgcqRFpJge2D4w/jSz7v5DRcy
upVf382fkvIUmS+Oy4BVYO9lXvD5c5oSltUK06PTx3p8jwLOCPAty91KUaKu8cbS0BO3RdxKb6vD
y7UY2osEYTJHCS12LhiThfnwu2Dzn++BiXCJ8g5SDS+Q7xOHH9ZqYslB0fpT4XRhpU072c8mJ2+R
Yh0ilGWrX9+Df3cxKBw2GwNMUf3rxeZJ1sMxSNkTy0HsEG9FBE5pNNMafSi//fpaPz+9l5ebQunK
zoA2hDfcj5uQwW5HykNXADfs7JUWD2w9GdaUv7Je/+P++vPjayrs8kx3OAzytvnyhmt9ZSxICy0c
JFL9IZ6kdAWfQ7gpNsNLJqcdwNcbs1vSMfr4H8FBLiuUkpBLkrvIRkvd/vkzEq8RtGPJZwyZWb2A
lpinBbqmiGgSNVaTQ1eqvHr+8X011cuhm/3I+nnRkOQcGETFEdGjzuNJmtP0/jtx49dX+Wm/A3Zi
sfnYl71B5V8/f7IOVVeM5pVuHoDak6XH/sGvLH2bEGbkjLpV3igs3t8U28pnwAf3kw2IpoKhXRYq
V/2iJihqqZe0fsRfmtqcTnwtsNZpNoKXbsLZQjs0T8Gqx5dzAYt1PFCo0IM3hKr5upH72d7EMkf6
dYK3df7NV/1l9MffxhdtcBBgysjZ6ad6RisSu516xKUzA8CVpWI2XcWGCHAVqSDtzNyMd7AIwpNP
EKMzxTPWzbgPWMZz8h6Z+FIdgYym8Cyti363rn9aBCZjTpmKhwQFm7Lny40jThwRowYWoMVw/lC3
ffY024DhkVGl0XmOc0kmD0jiwaROpAxU8B6o3jQz6cgpEB+EOeRrtTMJ4bODXt2CtADeptedGbhN
Wo+TW84lW3IiVGP06rgjhgqjlY7NiJs1uhPhS29FzcPk9GrSz8uJjL9hSVS9WhJFoFMA6iVEP2Je
RplAr9F67zMlH9cNItR4CXQMv2AJMd5fqBMIIk8l047sTLsjIeSytmo5DmhkhiN/hN2113D5opOs
+flSzaKEVvkwpq+mwthFHgYktoRThIGjc0/IVZH68VQks9QtyD+xdogv6TaS+EP1hRrDSr7FxABc
RbI2tt6vl9HX74VdnToeZBLpyTaH7S/vnDHFiJH1F77pVYpTHoBQ6hHOYvwucJUTw5cVC4uH36+a
lPs23i9L/7IPxmiD4aGH1kLVIyMkh0Kya8CaE/IkVY56fKU1DOIeaoA3y5hycGNoJz+qAQuADkU3
1Nba3hgDcWXkQcmAzbDD09zMyzQJ99qoSkhrjIsvaiBJmHeafz0n2QyOj4WHpScD8TtDcVypQ6Yu
TN8HID600dNMdgpYN0RbDlxQwyuwhnoYHeTnoZnWBSDHRxl1OIn0fjLcRJBUAwARk0X2hyUDHCgJ
Um4mkC4uRIfzZUuMllXh69jMzfIEacDq9xhIY4dsVKNeId/3yWayQvb+oPM1bMyaSUKxTmSAb5r5
zOAnGZirDZZ5JoxCHBJSbdREko1lF0qAJn1bqi4Yj9JYhSFad90UZMEonTI/aEEEHrfU5me+dBzj
Dfps3KUAj1eSpuk6tMwBBaFEzu8t+wkTq7lrmMXg9epIPTkrfakhvOWvABFXGZLBlMlCJJfNhRuL
tDn78lReV+RT3qhqmL3rTddkCzusGnOhpKKBUlKCc/G74NghY6MVkWJmW9ClsT/qUqkLlpokHv0+
J0WnUGYL8aI2mg7iNrx4tTl2JyAM1VkRfbqBtRTtofuKrdQS91Xb1rImIW/HzZev8knHIKhL8YpQ
hwZAuoKqygtQErdrtBbvoT89SXEIpaXtBvux5om6DiUBDLTrmORguQBEPCjat1aulPVAms0iJ2UH
35t6wrMENWpW35Q4wNAVWRZm/lliqgDHeoJOkUKGDHBdHKbMiHdZJsR1aSsDoOsuYHjTxwwKuFj9
MU5mYTmFRFG86q1OSa5Sv3zF9nQTxYxUulod8EyiIYW3MKcz40dNucdJlAcrP1DVZRmX8plg7GAR
y2KEtVBqhEvMr/UAP6sTCPWaHqpCiTH92kzLFmG5jdoBMAPRO7g+VnoRW6SQmawmdq2G+SBhtjty
BQyvkaR2q9hWm3m5n1xwqFFtMuCKb0MVfBZprzWajFrWQjeD7bNCnS1ib26n9AH+wcydTETKjhEE
vEYkMj+g13anbJbkFR4v2e0UHQdSZ4xbjtlkA9fRN3DYObjG+oYUg3aB5xa3rLYM5fm+jsV9zCkV
iRfkHYK7N9NIuBkaxxKfo02ub4hb2kDpuEyrTkFeirfjTQVvTYuraBGlNvjbjiUcNBw2IQlZY6JF
ToDN3YtSBmCEXF/A+YF+DqvQuCO4EEAunSmnFyHkZ6FsTDu4Kau2OndTFb2FvZFt8iLdx22Dlg14
u5GpPKLiuRznZyxM5M40edI/Uem82TovtlHqX+qx0h9jqEM8y7q+AWKeOHT/rkc7OEpTke9kjJwP
ROIexUgMBllm35T5rc6jOyuw0c8oJLRZ03bCvscGha2t6z0TwE41KxVChyr3xkb/hvuod1JS0RSJ
9LRWlMs4n+80EzFhJo/4AEfiq/yUN2lxF8AqXokp+egmvN2W+s0W5YscRne2GARZKExrs66yyCYe
nyGadfTvy+mV2g593nxryYm8lBp6H6oiJWRKA3IoCHRE+hfsS56vCxG1r5Xryg9gLvPS3RfgmWul
ZITZjwbgDsirWCqPqT7x7cyMJ8M42FN6ol5MC1o8paFiX5yQjrR0FJnKYmmGEsIVZLEdwbK4pDRj
mcvgV4dkr1YBRrJcsdFMV6A5Wq00OQfhfoZKtsi1+DYYjNUFuURxICpvZI0AVMOChZdB1Vg/sN2P
UGER9AwZVXD0jsNf31C54TWrK1VHn6KIt4Sig2FKJo1vLbCZR9Eq+RYrXLmHH1w6Ojp7pSRDfRgl
G+d1f0waBWWHpI43ugQBWMnyO3nqdzO6QK+2LweMIOqY1xDYXaLLYtw/N6gZ7IpW3ayUbjrYoCTU
DGRK85gn/rapU38VjTlCAx31pU6jiK4KiVTiktBYXwa4vdVcEVR4B6W0yBxdkfliMvMWjraEPaS7
i+EkSSI4p9ReqOWJTYb7cCaQ8ZUWLZMkPcK0XonWw8Py2gD+dnuV3TDPTexVdZD9T/bOY1duJdu2
X8RCMMigAS5uI5l+eyfXIbRl6L0L8uvvoE7hQUqptFH91ymgoCNlJk3EirXmHBOMSKe2vswiyLz1
Fxm3pDFk3hloHyLtvPzuGXAO+OzkO0fDmDjuUOy8uYq/4rAor1rUz3tGY/mTrfr8BfQXN0XiRhpr
A/FCDQa1J4l8m0WEAGSC4ftwqCc5b3gmvklYXTx1nPqHbk5uQE95p7aeH2PTPjJheirK+rof6kdQ
u+kHcMsPSUQQELTsOZC198Ukv4NEiNw6LWMraSzN4GbJYMTtCdUz19jS+uSWrGjnsW3GR2TgEBkm
fbA4IBmLvrOaBgVHbb9UGQcLD22mB9IozZgDGwpm8fgg44ZFbhhvpZ3dZm79THYM1Sa9kmM2jd9J
FAB7Uc/XUG9ZN3CujFjmN1O0+sgN8R3bWo3p0pKAPCxkB0piuK86Z1MVEuVbPl2TI3XAu4NmR44u
YQD6wSp5+vcmFxJrAze86D+6ESM7V9sHLFs2yK4yzm5FBA4FIMxG+mX5ghD5C6eaeGO3HeKSTCKl
a+nA8SwuaMwjd75tOqRULYISa/A/sngrJuXLp3BMEnRSERu4RUYJ+tXo2kykuCFAod7IXAWqbL5H
4LlY474XkFsZOfCA0sIoNjNKZGDLIXjoMSQ8aCG5MK7mMCDbHQdDsoP0cYg9gDk2MWhodR9h+LeB
VUbffSwSwWT4bpAt5VeQBZBEbChoHpkh5M3Fm8KG/NCN1l1JPR1gL312yubayVOaMxKBfuHXn6PJ
vAIro++yMBuOKrIJEI7raUtY9jkUDWGCTnJDQrkbDHV4C3cnBHaENqzITgJbqRsdceVvZ6Jo7Ma8
SkR848bpTngtO3OJpW8KibYFwl5t+5AUnrz5mozxF8clAn291jFqIyVaIs8X2z1Nak1/L1r+RkHf
qpWE32VxDRZ5cQ51nCCdQAKsWnnvwYBQ4qlRdrjXTXfA+vAu5AQ3pchELHlvTvG5qNdMxaze0t34
KvPx3CXV1SKMQyskc981zqBTxj7K5v3oevd0mF9EEX5NSxvAmtrRRdoRhLarKvdpUsXd0jGtWors
o9viirImsk8gcQzstl1l7uzRBrqHK2hvefk9vdR8r0mVhEBkTUFDvi79MIRK5sAtYei4JZCku02B
xqe900EiYb1nPnX0NU9CQmxNrLCJR1P71OB5bg1Cbz16a7xyfAki/d6LHu2fqwUZueIRQPitDcck
cLRxBYEDmqjI+jPjpZzHitygKo+umIWXh0otqAJ7oyyQFRFVQOdnF2YzMqbeQrLnQ7KZ0yskLNcE
5Y23pCF8cWdlBKQfp9eVR3VOZf3eK5p7F+fD3bA48RFwKm+Rx1ZeLBsQQfjL59B4STihPANSe3UG
4O6JexpF8+g5xjPml6DvaBZqB9Wr640cSXEWja77SfhI0xIHNMPkNiazwuUmYbIY4FbEmeyOH+l7
fx5wA2/C1q13Tuk9O5MpMZPJfVWSLqgXnZ69wnrOIu8pjqGGa7t5YJbzwKS0uhVSgZcmadCejHPb
15h7MNZuW8t9NLPwu9uF4a6I6nsjS9D8hRo3j+OeqNcOkP66vQ9EgPmHyrf0z++ScHSDrnKaPZOX
h6pJX4lfdjC8xHdVnVN69VAcNl7XfEej/lDg+9wQo0DGgFO/6wShgc1cf62siQAD3z7V3my9GCZp
9XIiZZE0pTkYzE6fx2m5610FVoXQm72KUnyfzVy4ALKbz2kxXMu8vknYz87NQkCVxQFoy/aVoEBk
7bjhsVuu8M98JPkGIWsxs+xRnSysqNcubPtwW5hOSTB89cXoM33ueyTQLjGiGOHvSJ09TyP2jLpI
/UNd9WxCM5Ifw8a4bbYg+E0Ph1SVmXj95dLuUotUagBE5sZPi3fN0h1dT7OisbhssHzvZhK2rnOF
4ZsWyHYZyhcgcN8W1Xj3AorhjfCa+Vy5jdwXCXdZV6axy50purHGZi8gBsWTJAXWMj6OJR8MtuHg
Fy4vEAzvQ5kb9wTP7r1ufheN/bvKX/n2M6owtz2sYSqih5zXaeu66ruHapCrWa+5tgjw9BVE04yc
X/Yyah6A6Y+D7z5XqbbJIWzvG6E+zKV/5w/WcSiEeWrXvHfD88jLHqZdGnUvoCxfzKQRV42H6NqL
HhuzeiwGLJDZknwUY3MAbwVCVNnXI9mNQdXJdSR/Xha985r6RouWEwqHGXbuPcwIlqjK3dtDewA9
RU6BPuVY9tlnuvLWAyJpAkAp52vZqhEki38iNfiB2LII2SxRy2IKT35dAFWYcFcV6CFzkyRVzrdQ
YTg0m9/7mqxImUDRivEF7dzchaCWm8zYVmeY4PhajZbHcVVm1bZJp8nZG1PbDkGmJv+Fs2P/RFQJ
gQmNMLJia2BRY1FJ0xDbMNL75VZhys4enaRl1yZ3Je+OuECRV3dG9qCjqvneVUzlN0bbUUE2YH9u
Zd5iIDaT3jbOoab9AxRVya80ddQ7Yyz00RDxdNtbTtTjMB70u6ZS1V0NWCAMhJkY+R5KjbwPa4bq
29YcQ+cE9yzf9UpmHjLPCC2c6KCm1IP5XI3xYF6D6nWfnbqP7yUN5u0QzXeLDJ+JUHiA9yZetdb2
Flc2y10NGveVVJG7iQwsNJEyPTsRziMk2MRr7hGL9B8hSQNd1x35smHlcPiNxwclC9A9tLaMjrND
Gt+Q0f2sbehlJd9ba/KyOUfny3AvVzWnU0I8aif2MV/d6TinC0Lc243UBiEcUdiFrypOszsCPnZV
Cu4Ry1QQLuA95wbCb4tfq5DhdMqZF7O0V5PNX1pUgAFosALVssm0U3ReQJ7tSkdXd1XZXo3D+D6D
S7vpGjE8t+QdlF79znWxOJIODtpXFAeANfRIyio7ptCoOIuEJjlW6XKV+D0nADd+H2cKJbbZivFY
sKhgClDv8tnLn4o6+iAxXfPw1ZUCsjkEtlFZWzfvAWGPsAo3YVX2Hs0EEDZR1MQW/oJ2IukSN2s3
ngwLe+xg3fVLlUBpkAi6LfWKOAxNfTLrp7g2ipGo9qH8zHktAnTcevd5nRGCnnj5YwT8IgCaATuz
N1TQTtMjTcvtHHnnGGDLvR47gMBtNB9AYrOwpSYnrDROr0UZqSfe9M9dq+8Tqvy70l/dBJ6POxOo
hPGCpZ4ubMiw52nu2+XE9ggQgA32uS44++UABe9dUhnO7uK/JwnQOHumex9Z6XuwLMNVZeMGj11/
eWc4JHxi8Ce7rOs88ZJXnPKHOIt3U9wXL/5CU8FJCvVE2ig/AfoOlEjLOxHd7ePqdKb7evHjL2hf
nC9qVOM7mAjWJu/tdw36pitYJ/kdHjHqc6UJrPbCkZKCyToMFuTojdZYsxgxT8CEda3UxpswsMQm
g/0Oya/bwfJomKpN7WdGz2CWVf0wNUDm6piOFK8OKAksqDKz4ytGJuUOl1lxIo9zOHng447JGNbH
qlbji6VnxLCt73yQJt7KhuI6oKQy9948UiZKDZSsqvwHekpeIIYBwX2fhtlTzcHiAHTni1ehTw0N
1A9wnDERuNlLHRvbbFncXaPrCCM/pVsSW9Ya/96lB/5dp3qKWhDw20I67U1fL7SqLGsUL7YCIStl
TbQKSYof6Y4gu5kcoQNUAOYVnnpxWCGegWHMQxD3wz0MVFpiyslPpIWW216BIto0K7B6FHV3nGvl
og2cTKBrMjdO1eykt23h1GeyJpH+VjHKH3xtEWGsUfTkikzdlOlwbRSy2DqWyj/m+N4/ll1KhofZ
kR5e1K74LGOSHX06xt88XINMBywNCYIA1c9e1nAOY3aeE8PVQvit1+4y56Qm3cJypCLh3YjsQMs4
5YGbwYxvZmo+ykIIS461r5cBf/3Wc3uskp22DfehEkmJjXqweeCIbmvpUBh0qnl/JzUEUZ/6nxcB
Q4XW4kIO0Lnzojo8m3HSVmSPAdygM00/92z2ZmJ/g3w78nYCxwnhiy1l+wnDbjt9ACvLog/B3Ype
gSAT4SWW3klOPINdtAN7mb/riv7HJMJhWRsIXyFyWXo1DsSRMi3AqEsDxRyEeQASbKmTqV2n4rjj
RMkTLCDnNYIve99w0CcY7ccIgWTlLj1RhpLiBGamOw4iqb2HHPv2eCYP0bX2Yd9l07Hqi/595eRm
HJQZotGjxuiYrtRlNAU0QFwjPcdSz+SyzIMFObuTGhv81M55cWs1tr7P5yFt9xbI7WM8jgRmtyom
1hjGf0oPm5Qg8Vo0hQgKkJ3Vt14aHWLREXLFLkWtqhiPKUFOXDThvW91NTRHWvHFGOgY3PiOgWUB
dMETBh2esfazs5WEvbdL6aRuW4Ow9mU8mIvxMNvgQtj5XgtcnZacIDbVj3rKJnKKaTn75hdjIg25
6u7aDApc24GJ6muWE99sjsBb1cNCi3XrYWK94m5/jClfYVV883qx4FIhC6nLE1zgdCDnzoMDt9Cz
42RFnwG6EiecXk/Odk5ptKyH93hvV7XLkfJTG09EJAqUixsZdeae03tITjZE9SBqvya+B01jQtTf
O7eVMwpSTvU+GqPmjr9iP9Emz54tf1DvhFmnx0HpV0Ji2KPjxT02lNW7cckxKeVAp88V33WTZq7H
LaY9uetaq6RPB5TCzw+26CvnYYKk7eKMH1kIdOvMwBRHLwYuNGteEacprOsBY/ZrZE9RE5ADMNrn
ppsKix7DOmKFhiVTwo27hMO7rbIW3nbccwAgaZljCOdDwoBsmfuHqvJm+zpp0rnaNbWn/CBu65Vi
ODXOGu9qQF0HOgW0hwfG6/bWOGpArAVyyTt84K5zlFUCXcU2kBWEcLqyGwCLwoE2TkruidubLPgH
pVy2oe753q7bsFiiUGHyioIjAujZ9DJ7oDTW0XOfz7l1nWnBUuCMBv87swB5G0GCVA/wthMRlUp4
3UKa6Pe69Lt4Hyu7FqwuQN7XUITKAle6zNZTZk2ENZC/0+VHQVTrdPQKldXN5p9lAhwt4T+j4zTJ
vd1ZaXGTNYxytmIaujrdWHUEoNIHQWjc+E4tkyP/MnbmsI3zK7MHwNGTAX8X2S1HKelm81lVBVue
nXV3PMNLv29Hqzd2FuKE6R0RhD7pAhqoim/E3ZH8D4mFgzbGfSbq9oh2bFrnPO+avjM9iP2dv20n
JpYRBebtEpXJifnbd8LZ37Nlcpqi0r5qWmu+Y93urxLbucIRn+MX8p0DEoVV7THRt7FUfyhkteyA
l1ZBZ7R2YDY+tU9pT6e4M2LwfQzcSSkFiqecwfo6eKmxZ04efghL2ZEFWtvxh6JL4mnfgV8tOc0T
8Hqk9UwRObb9fF22EM3WnCvnqEAMEitn0fQBOeXfFnrWR5kQeL4Mfqo4b5QhHJNsTrc8y5ToRQez
dB2lANhkE9ZQeHnMLa/8Ast83g2tuo7CLHvVkTk/GKYvH8YuIdp+8gAXuwR8nxYhngaJi81QMLGR
ZDg0bHLMTzLvwmBu/G5vRIM8JywRpHly8jqAjPqWR0a6zfyweZKt5PhCI87ml8zLxDmv/QREZwIB
qvtPIDxWZqSPLY94OzLSFcwsURlc0zkBiVrOtLLI5raPCxnE59IM9b3LkfTe5bkLfGm9t8sFuA7T
Wfma0y1gWOb2Eki1Pb9kDFffxZlVPWSm+8GaaOBMZuHtCj2GD2FI3Nwu8+Z7w6zVAUAqfDJZ1jde
25J+V/UeNHeArrTtuE+CpAwmkl02nloftBtUL/91AjVwAGQLfwP+0i0YZ5w0dCY5ZiuscvG62jXx
O1OE2Grr4bXNZL5DSnhykxB7qW5w6QhIW37vWmckRTVTpbb+7CZZEm7NRoIWaMu1N5paY7Vngkic
uGpC4iqxPL8ORhzB0SICwdx1WcETlk0OrkM3S3EdhYbkfJ8m5BUmUKftuf8w5R7bhCUeDP6lG8tc
nLvBYhpEbVEuZ8G02N/OjMluJ6qQfWeU41dbNd1DucTdvdEO59R06Q+ZzuQe6RwwmiNGgoYQ4Qyk
FWTVYn2ECerhhvQIa6/m8razIxxHLrP/jYe6EQLJkGaHIhX5zkGcE7HwLPGnOMQsZMQVKfI9s2zG
rnXNuuoNiLeIKN5MUKzRmcmrBfLAAbu5pB9SyCmYaiUAFNY2rmBqk6ehJURhRqx5YP7oM8OLQ3mI
c8m53DVyEURTuewXWzQ3hN62rwASrds0G78NovQbzkPLieNKBO8vBLljFYY4lXCiTo1D00xlvroy
E9pV4SLUwW6mBH7DEtoPWrrTx7qrpb8Nx2bG8ybUY0kGy8Fv63y3LKV3S5PGI3onPI6K8NlwAS8v
BpheQj8iATGeZ6fsH1oGYRStSbXn0UcN4Yt0T7CW9b4zFaczeEXWKVI8hButK/cxTBj4e1Wan/x2
9I91OoTHAZLsq5P429TDd8XbesrKePmIeI5GdrQy1lOnfTBsbLCEDuJoJuQgexqsycQ2JqNbBUmZ
bVnG9GoceSc1WCsM9RwNiyI9DMpMtqJCSoD6Loa/4xcc2zp5zJLFOoRxBheyHnIqjDzk0Y/9b9YU
wkrOym9ku01B2wzD5zGV7i2hck23qQcEp2438DmM8ZhtayiuiIC8ScbUNGl+nt1u762JC8yy93Zj
HHVIPLhyooWGqDpLOYEjhBkU+NX8EUpLukM38lIU2RdFKh/rSMGhtibltRTXlfIbm0oBeWAoMegJ
ooXIRwEGiKV5LW1gR23LuawDeif6OuPEDTZYx5h0zPJKi/xxpGgevQIDedVxiDAGJpA4qvxzpQXP
qZo5DUeFMceEtOKP9UfSUJF19NwIlkN/8tl7C/pU+bg8LWKqthnr526cIjMg3RLllPB30WA/uyJ9
JVrT2yuPqEpmgNhJE/OlN7Mj3fQUg+P8qe7MbofpyPxmVGxFiTUlNlSg+WXx6omUnITMStb/ZS42
ifbis7EU/vuwCLFdCHeGW5+YKcskXqV0663Y7eEHgbtZYdz5iuWuVkC37kB1yxXaTeAQu1kMatCn
Y0afHa5394PwvbK+mQzHV97K/47RZd56KxPcprMMoEgc6Bty/ljJ4eXKEF/8UQTwburn5AdhnPV0
V67UcWhwEwkNkMjnlUle01+5iUw45ZWAzkP2KRHVnetf9SXm+FhF6lGE7ny9zEPzolYIekE38oPh
AF2ajTNRVpDSocxU1zSqA9G3n5JBFffDoLDQpEVyJqfUPMI8615CzwbA3giPAI2m+apz4GEkIUVX
JllJm9BawZ9ENN4h6ILmzlLGYGFFvE80LQLVpwXMMDSDhLpTLlbkL2ptgXRaEfFSGqpnNKH6+8Ep
jVsvYTIRcaZ/rgHu3IcITHe5Sb9LRgsey3FF0QtZfyZotLzucnbCfUfK7xFqnbNLbFA2vZ77V4Kd
Q3CcgO4517EyF+BgNaeum5lW9iNpnQyDlx+w/JF27pkMH9q0VIvvxx9U/cbMtqFw9YF2iHl2p9zY
xCG/oGzRW6X/wPlzfESO1n69aefZO1crx5+5dvVpZqXRR95q/6mtspzo8xX8H7tdNzO8NKoj4Tis
AUne72bUacfCnfsdUgTetkS17fuwpbqkrUFgy5YIpQwa/WCKK90a9jmiXSIDSDLuix1J8T32Zv/Y
t5Rj4xzb4qVWTvcw2bbxUiaDvGnXuOClX96njVfcaE5XD1aq2nMROtUjuHdCe+uosE6O2wwtrXK5
gMFmBoadkJCFXuj5hvZ9vlOcCQk6p1VfnXLinHH2jZFJjzpqR5zzhFQFjtMTeFmpuvwyW2UM3Fsu
4UsMwfG7lYU+YxODvcDzmCb0veCxAVOU8siTbwZrck2RkD8CJRDBES6RQP+n/DW7q77rsgMLGuVa
rhYkXxwZJxS+rrnv+jWridn6E7IFTc96qO6NmIPCczGx+jkzQji6I5Z319QxzmJ7MVvznY2Mgrop
daKzV5YgFvrBsY6ypL0g6iLpNzquGGvYelTA60dAuORcD9E30adY5qWLKgsC2VlapflqdVNzhvvJ
+qAszaTCWq5rnzFflI/lTTUZ4XugZ68xhFKG8Iy7M8U6NiUJsX6uvrW0yPZubUw107/1gGxXX2GI
nXpRg03xoQq4w8eEh5xGoU5kkFQxtrUEK3Kj4QttQdnCLUdkVd4pBFLRDs0Zqx6F9pFUTyDOMkEH
M1gp6BIZVgczgg64ceai4jc5BvGvBky80XG/0KFL9m1THjrgwLt4KLubPB1bUlWAJXAooBNo+c5G
mAha0lb5+3hui5PkvBBY2vsCGRtdA9rJQ9GY/fvUwH/uV2HUkfnVtMdBSqAZIdoHzrkEWTU6uud6
IxtCfneV6VQjNZ2IbFrw3eyzeKZBvHCTiFittwuTCuPKF0vxPFYcO7dOMXkmf1jeLBA57z3odHTe
QWUvZ9ZVxrAuQ2KKJ1pdjEBtBj5QLg3b2+mkT09dVFKe82di17FIMycuGhHkA6oUziLRcXQsq90q
MY27CC3Jns4eaAAg8o8Tk0To+JoZkGujudLq02gp0ghMqqAgk5AEOVz1H5YymY6mVecUDrD1iXOH
uW0NinFlXdnuh1YZSAPddi5uCLhKryZB+OqGei9krsVRORoE1v5R3HO1WZy7KuUeltVySuitviG8
lqsd4Sc/BgpLhDkOdmPXwhCN5Js//0mqX8Ecssd2RVGs6vkFnqdmJO/8oKjCMulsSgTWrPXA2btg
/Sav/8xM3mXW23ctfhifA/BxCkPQpY0u0bOyGup7AFce1ViqS+gbvTXIbZ33MVitfmYAs+YdTf/I
hf+/r/ctXy/y3L+4/Npv336NRV2TE/8x+Un/X4jdket5UmLVsD3Utf+Y/Ez/X5aLBhQ1PmYW9NdI
r/9t8iP61KWB5aHIptxSDMX/n8nPsv+FIhjUFUArpOIWZpX//Z9fLA8Eyf7y/382qV563Vavl6cU
XgTp4BTy3Isn0ws5AqQcqDazGYJVIDb0zofBeDQ0BRED1uHWdqfxgQDNEFu8BU8WGOXxp4t1/897
8POXWD/jp7fjx3fgMnjIEExsH5dOQ+0kk1W0DQ3qwTaP1SKaW9c02quawm37949apcyXH8VEAmsj
XmlXXAZYUgJ3ahS+gcK3ovtNEt0KucVv+MYbb60elV8+yMd4jRmB0tLEomRdyLcXoHp1BCcIXS0c
9IkT/smzvQYhC/Tb28ktUs4DuO+tTVPStggEilXj1DC4+cIWlt6MmiynSOQOgXxOWwOYWRz/OZtN
jSh2LJUZNM5QGfseAbbDSGIkFbICBEgpFg60CJc6BGpf9FMQKr7JTpMX3e2ipp++uvjfdrjvIiQQ
acYgKiY3g4DIWat5p8dcCoIvlomTEQxTazMiR/IDCnM33kGwrW02ZYku/b+8McRUwKDEKI3/Xdji
4nppS+YkRYgoiCP9xWHr2oejkZ3//iGXTgzJK7h61Tz8s1gyPHXxKU0zTDIxMk7X9H+PBq3Vqzlk
4j7zjL74o9XuTIPB/Mbp4LKqxEoebEQQQdIiTNeiHO6m1PtqFNSEbzwvl68A7SchVtclkxLsr/6F
C6OVWU+iJl9sYXvchuakQSoNujuCIDSe/34VpLx4NvkwViQTJwq7EXm4Fw4dXWh+Wjgb8OTH5MUE
Fp0GaH2LY4T78wuRpwSOlxzK3rsyrisUzvHyBSmITne6UcOz7fVevTOhvX4sCfLEQx6LkM0+A3cR
5C3S7yDN6/mzFy4yPtSSxNZVaI68UNR1471x5dYr8/OLtv4YB4qIi0wez5FcjUE/ba3DUgLWWFAh
xKJ4WVp6YQmJSls23BuaIV//fun+cJt8G8uhydqL4sa/cKYZSAuAcroYGshLugnthVKMa3BXGqF1
/fePstdn8eKH+dyiH+wUYUFm/fWHxWi/DWege1eOiah2RV77yX5soKqpzDTmI7zgkhqpoEzekBEX
IWpp/XsdzZ4boME0yUnNI9Hs7VmlBNP1pNVuCGR3Xtu19QPguSTFPQUdHiEJmxHa6DSrb0fD1WOQ
6igat4K2Kaz6Hv4yM1T0AfBCF1ZO4lpit2pBZnW9rM697YT+He1/Zhokmr1q5eW0C3ujPjPqp0Cm
O8Ma1TvVApsticVtx+MRH0cE3/+uT/7jfnZZafGGr1stY0lMEyy/6sIYCn68wUZH+WvHVdgEply9
R57UHP49zhovKMfbDxGNOWbfXU8ffTTpbDOy8e8IGU45dXcKHJJt9Q8ssC56ybZdPiDez28gpNol
iKEpk/t8nOavGp42JNXGyz7//d6bF46cH7+CxRBHDq4xqBsXu3Kft2SXKA61VVmlxV7N5XhFXEK1
jXyE5aKMif5QjvQOvWr6bWebTG7D2UffUFjBMpYpA+JodM7MRIcXy6kt2MNsNtuiz9Ax/v3LXm6p
6xX/+bteLF2h1/KCrmtqyjBma6bo21Xnpru/f8oFfYTyiLUbpoFv4Su0FICUX1+Hrp3HMUYrHkz5
WLzmpLkhuJHZXaHT5jlqLey2NF0fbEDyt9IkZCwAFg3uXAo13P/9u/x+d/gq2KRYqvk6gIp+/So1
IR5RuCYPmDXjVSQNw6PVTg7D0bYEg0j6gEuTyWnf+NjfVzrKPc+CpeS4SAHkxYVGVa+MwaZ2MWKi
ueIuba5V1dQbey4h/IrSdN7Yk//0gY5Nxeo6OKb8S5O1XspxtEQXBXKOe5qSlXPsHfj9lWYWoUnv
emNj+v1JAuzEDggIAx71b77fnqcmHuZ+vcUNGk1zLIOO/sx//bzyKfhGlHIEC+xlxQtEHp/QxK+K
W98msgTjFgIH942a9o+/BWwDAgrLJM7qotKYvNKlacRv8f0GkreRNVvw5P/GqvzH5e5Pn0LsFmU7
RB6Lh+PXJ7EIk3EcMQsEGSGDW7tBWKj6KH/j3fvjp3hqPaKYCozBxWqkogKrNtFLAeOjfNyo3sqP
qxru8e+v1fra/LrhWbzhLFvQN3gE5MXmKqROFMGb3H5iCPZkdTAG5z89QORyEFC08zs/RbqDF996
4wdyZvrto01eLIQUVGHQjS4+uiaUpmlD1rC54R8XqL6e+8YY9nlMKFq1+Hjisp4c8X4o94P9pcv9
5zRRYRCGSfXGS7dezIurADTIB8HBWREszMU6p7RkDosMfL3YqOVJK/0RQUtW8azfwDfAg7n8LBvT
Lq848wHL/I1rgNu81XRmQrpdi/+Ot92nw50y8SdTh2FpIJuu7Q4D1rsbhPLkBXt5SlCoVZGxY0ZD
/C6F6G+euqTIOnTPA0knlN1I3At0ZMQRtMNiIrRP+oIgs468PXucRyAbSJ9xjVLe/iPe6wMfuesa
iMoU4o23/Q8/kUoNygjgZ1zL1nrnfyoPNXPraQ4lCQ00efdlRFwvmSLDcbGcYvv35/f35ZKqgYKN
g7xYQ6Uu7pzZDzkiS1DMRlGLb1in+mt6tkjYpP+9asr+n1bMf3z3f/9lCoKegC5FcUI69kUV76ui
IGaPj5tnxp2pUQPdYNZqbozOFO4bl/EP2y8/Cm8q4C/iwega/HodC6QyqB5S2v1yVQ0Ltzz3qPnO
S52HezxFYj/llovy15OPQ+e3J9gxYpuZIF3+fpV/XyUc05TuCjuzLOn5FzfUGj2EMGtOgTvO9XsZ
TR1eLEJ1Nk3bIAwkEWs55blQOxMp2Rs1+e+XfF3OJVQmTqmAMC7uMBI2JpADlxy8vB0gwsG3m7RN
EBv6rQt+ueau7yOYN1/Rm+WMdsnAGMIiJklpNZekwxezZCYbujL6Lx8h2pIOdCnuK/polFsXy55J
6IbZDGMTpC4D92hJR9z3sXFNw7V646N+nMN+Xte4W0yR+JQV6khpul7bn17ENENBXlQCT/9SjHSe
XT88zEjojA1p7noi5zFT1nFhhLmc0C77IbeyNGYyqLWpYDZ7PlzhovHyQGQdcQl1i7WIuQeToXjS
o/vAagNmtUQETi+9NBgy5T6O8KVdpuo+YSyYA12Qxvu/P46/3yd+FtQEm3dfwN66/Fm2zWhnMag2
UQ4etYF6oRpJuPn7p/zp6tk+x3UHJ6G1ri6/Xr05pmkz5NgXVTk2H3WOAHwTepOR7n0RyY/1uADM
Fv44PLUjoS0b06pWCQuv8ocsysMxGG2bvDI/oUBQIXadZLX3tY32Npj0I1bv1F8tWzQM9N0SCmwn
XiV7DF7aQnbt5y2ZQ3//Tb+1HnkiVlwhrRhWZraTi9/kT0m/NGlKRnOePpt+0X7uJsSj9py4Z7uz
2Xi1ko+aadFzGGNgdWRtvYEN+f3u8Z7xfvH5FietH6veTw/lUOTuyDgJu1A4ouUPQ/oayRK98Uv/
8CkUgWtFY5t80OWShTME3xVy88BEZ746LhSa1VHs3riea7H36xuGBxtkmVrhOS76jl+fkWwZKdhN
3SK87ab3jVv434fEzY9JE3rPQ2JlW4bRjAyzxBHbpLP1zTR5InBH5d2k7jx/Mvu5efqvv9S6GbJp
uIruFnXNr19qjdODIaJ0YMnHLNzA+tqMpNhQab3xivzhcWIdY3NSlPQ8pitM7+cFpp7hMkUGySWE
qqjherHVwgAV+BJe/DbGtzDFI4Py1rXLeVfLwYELMRSuvBdDJJ///rN/u+MUGgTpUJIDa6W9v/75
T8+VsNqiThO0YX0fJtfYw8l7HLtx//dPMS/3Qk4XFpuES5wNXCrzt4OoiJkYA3PF4Z/oPSZyf09n
pf3KTD98AXPAyFc5zQZdnbhpsLeAtrY945NAivCEVUYddCXHYruExnJFSnh8znO3O3TaU0+2M09v
PKDr8/fL87l+W8TpimqFdufKA/75oiSV7LxSNIQcJO28YaUz0KlxLuoUxIU3rsxv7wKdM/qpHCao
WUCiXjwMuovDcEZIF8gpRPMTMlrHgmZ4kb0d22TYRXnfdlCB1FCug9f4ZSLgTOw01R3RYZZIiMTz
bIuN3hjeKCL+8GwQFgsPjm1jdfSsX/2nZ0Omi1mFaZIFflemYOQnfROm7RulPalTl1fbcllu4Ceu
AGaWnf+j7Dx2I1eyIPpFBOjNlqZKJankTas3RKsNvUnaJL9+Dns1KgldeBhgVv3EIplMc2/EiZO1
faxGbSA8myBhPe9p5WDJIfhBbac80utRPcjU5AWURLQL38D7i3OVBeUtH2oi4embK29VtqjPA1nI
qBvt/LHCtRlJry6fy1En06JSzexHu2Aj9Cm40is2ukU7khOFBZ0NN75DyRWeUHkpyV0mp/WXKjnE
BOwuZXJloR046rw9xJea8qcyulIEtBrGkoStOH4ZFrIRfb2tnUNPaN9P9tbovavJlEaUEtrmbnBk
AyyjlzrwB9hN0QXxqvydo4B7CdmLZN1Fbwi7cEpL+Z3pYn5cc+iVkakmq+7PwmqwT2cSRSIR8Ssx
BWn9XVj9PFGm1lL8OGpJHRz3hjPtNLFYP4XjldA6EFeMIYSrzt7ViK10FHVeifavcSVpsxYtl2s5
qWV2IA/e+m6lM+AEy05htNPQQL2U2Op06SVlIWitbN/kDO2ihh+5Katy4am1j3DTiIMBbIMM185d
X/u6RtNKWnT7MBpN99w5Yr2L7YQcXI6obDfwXeB1p/X+YrC0tCEAAtKxMXZ+dzHYXzdxT8hZoo5u
SmN/rX+q0q4jHWnKcjBBFiDWHhu7DzuPIMiQhDTltxgUQYxLVuMUypVSB+iXKPqhJ+cK8qRuD5B0
TRd0PB9RUgToTFfFF+bsvGP5lfcoZr17yxlhQbkLmKuAttT4oza2PGAGJG4UY+jKHxVRaIsPbHI9
1gVCsf00qsMNVab6W2qsxne7bkhFSYhbw/YAb668Q1EBEQBGgJnupLlwYJQrnjMfho2X7Zuu8mQo
pW6PIWn3RO4tY1XdeJXo3WitDXYVKu7a7mYEWLyEJcIhAubwB9XIWQdwJLkrBLKguOeOVXv1tEhv
BKyLxiBuPaz60fndrJYyBWYDroj6bLHhgezRtoPYjD3ttqzn3GHd6cEhTG5t25hecPf6lugIlFzo
FhBYkOO/w2mDhEV3Y4wa42rWJFFws8ipvW57enAywKcMKngfdXWQ/mYzcYYE014pjWcK1IJoW3ay
ioenFrkhzZwqT781XTs4wbyu0/cqLjsQM44UZNLZTnykfYsFF0Vj+jzpQ9q9jJO6KIFltHMeeYUJ
cEhURQJEKXXrMcKemSOroHlgB2mhUQOBG+J1VxTA2+cso68UoPnHSVmtentfOtj1tr3b8ltOrnNV
tL1e7tGbTE+ogjuy3Vu25/ycqn4bJi3F8iGd/jrBxYHqZSIfVwMe/VYm6fhNti5EjG1vptLZwK/u
29pAoAqOtuJpVBfbvCoWeyBmeUDdh5XIS/dlMdJdyHJTjiQnEnzGtK6SVKLJUb41VroAzminhYnI
VFFdOt1oXrYtvc5L27Xn/FIUMV9sqU9Y1qVrQFuZivoh4/U0h7lVpE24R+0ZV2j8HYIJVRekRNyZ
uhaKfvD2gwK6zK9k2SKht2WJc0sYE0HcbdocFzKlybGYcw+ERT8ia8zyGJeXlmjkHuXtzKToLukv
mYgVsTk9+Z1iC+fSrj3lWjcoIwaLErfvnIfQV8UUbO/KZGq90LWZt4PCrfSfxGqbTmBAcSIpqYYM
y9y5zbB5DVUKva4RCDnlbpQkgL3ofNZ5vBsJuW4PagoIEe7VVLUXqlplz8Ogm2lo1VVnQuMyChIa
e2UufJLntxA8T640mRHW0RtJOfCF5gAdc2d6HTa1WMdXCxBz7PHTICYPEMcaMCEqdGsXUhQksgjD
qh+cVSy/SzRCpPMMg/HNHBaY2CjCWTzmPvPygLxbxNMYoVA3Nd2KnB3egOpz0qPrBZZ4AqTUF+Z6
V7td+j46BCNeWx7L3sUA/QtiHhQZrP0ex03YK4gFw3xUEbuqRMsh9cvWP2tjz4/ozTl86olFVJy0
6Vtpyxomiruf8lGgjyWej/T1Y5PxRJd4unJQCgGLUPlOs0hxIP63zntlKXvIZ2mUxzKs+NxhHcio
JXm0KsanOnPu5FA/uRNjhn4l5pZb0onfSrM4cKqM5qL4rWb5jv3zwUKVygJ521j2Tcw2fcTGHLoa
CmfGMiZscrmlt984VWhXX3uWd7Ptr9Bu5I9Nnt3MgG0wCr7nDqaOjsBL7a0ZQRNUoAN/ahznKs05
mPwFyC07pEJRVuHKKKWzczghg3XuNJ4qLrvV4ASYDtwG2b6x8T3BF4o1iXp2G6u3Izr2CgZCOj7E
eN8AtFievKADcUV9lX+L/sBRLS3BkKtWd0nsyFAVYp85/dM4Edy0JdTDbT7Gc8m0C6gG0PK9ScQl
afQrd1g9IrZ8Za/xhHWbquOQzt9VRJYX6uLsm2X9bqdWJHrvmOgkeLndg6FXzxaaTysDYlEM+oPb
JvcbScEqADgdDWuLeOAg6FesdVeMMsg6859CJJcOZ6O4glNfJcOz1iZHM9UxF8t5hTiTHnpJYynJ
5kdoCvuZsGW/BRsCe+s57vMfWkcY4qBDDJ3aPVXSXUzHCfZFvaOJ800qYEHwNeUpPRu1UR/1bAg9
L64DPFhUtYmY5TZxS676foDTbmAeS3MXQvuEwKtK10goZcLPuLMr69ukza+KwD8Cyk3Jf+ZD+auP
58qXfc1XLq+TvIi8OWVDVN2C0SH8VNEOeaIZ392MFy8XCILKLPFMAuiLiVImUCqFjTfr6q+GARQR
N/krM76jet/P1nI7J9ZryffkjzZxrrZ6kYyWeJghCU7Uu2x8sLE+w11BS8m+ZYHd4QBHswSKUiPB
hNcO3Zuu9E3YZMVdmXUXDYQlJ0/UQF3Hdz78W1xpJW5V/MijwxQnGvkwdlByY4MQ47GYCM5R8gK7
ZdWxS5IOAu+mPs5Dq153aK53LMzua8rQMQ/qbB3RWl24S38Bxc+4cNvuuphoPTvuNcyWxh8ahMOl
odzYOYFe8WaHbTJ5EbOd2ad98auGIBSsVfc716snlI9AV0Ck9P0PjJRK6/ctbpTDjCGKKOvBxEZf
N02MkN6SL3ZtKN91L9F+VXoJREPXnAX4BHuQBO17jlqg1PDZe26rgyHiIM4m0iBXPBz6RUAgS4V3
6IcUvLCqLnBv0l5HZG53yPv9FM29gepxWL8Raq9hdkqXrA7xNns9GXtTceO4BBhEi6DgVRrb2gIu
isx5lX07SWq6dJTAyJt5CryuUfdDnpj0MVpFC81ey25jz0KxX/FZQBeEaWPzGmzWaWvxULvmkHk4
MzTCxAjXr2bkVkSh+whrEnhNTcbWR41BpTCIDDH5BNU3B4FE34kmOXRcXjRLFjn09fgDgzv+4MxQ
3ws9lQ+mPU/5rkhw3ftDjdg4sPDW4tdQ2obcqM51f6U44r+jm4wZvUYj7p2JzysUZQEGp3OLmQls
M9fPrQHzcaJiROocaB7Gz1oTJbfkBeiIdOgQfDsrlJsGOIEI+hLBOsglAR1bsrxgfQFwyUqYbsSC
PlqLDOdCXRgKbgRhT5iG5tHKAs2UbEQsqXU/W2on/JPKtR88S4DYQAEBXbBjQSHJcUGNTnEaRfMu
heBu+hV6pD9LbBoVz6mbLD8R5WT6LSClMTRmA5+94mDfDma9qGAzUQ6broSzog1btMl4MEr0HzeC
KRbKBrs0J6JdlVxBrsm00FBnQI+TMlp/8lrg+2zEmLziJLUM33LK9F3zcJZFdjF0L8qgTdcY1AnF
QAm10JaMCdfme+zVAVlunx8dt2Jxt8mGBdiaOGsagIlbWcW13GD+9qT+DgbPE2A4tfW5zIm6CSlS
xC+O6Ot3S8l0HY9erf3Q45QUG2VUW0Ro43AsFkMjzWxaSaXRgBNZQSa2Vl9a4xmEpogc/rIRWEpC
d0w8Mp57gVBB9QwVZowzuBcUkXADJrYHjwr73JUiyubVKdrphkIDt70oA8+XzqSyVX8pbPl9o7pw
G3E+oJVbaVZZTe2wxyhi/TsTt+4FsbayqrvjxNYtWd0KIGShgvUScZsccpJ/vyWyNlAJ55kzBW5l
ExUmdWN8V82kuVO73OCjNkFuwR+oXuYCbB6w863fi+7GgukW8yWCrKjdb7mHaMdfFxeQa1m386E3
NGDaaB6qqwwLOmmAo2mT6ZnH2T0QehLbSEqnk5vZY34bkxa0kkOwIKEHDjPddEYFoXPu6vmdM0aG
wsVYh2HXTkVz1ByRcqSvlPS95T/4ZoMxrVh/XZ1cLrIoxqCtGpf9Q0+upsPTHu60uKx/rB4GSERn
iv6jsePmiPJh1AIPQdCWrL3YPxU2zfeZVq2cCpxKc/dVb+YlZyWXmmM3Zu0YxrmebiQHjmG7YR01
cIumWho7pWlwy3iIbfqoXbfI96RFxXhnmG3Xhli6x5+UW9QhhKTkPWIYru/4s9NbqTWc4wvVWx5T
jy0uTK8RxxqIo+GPJuoYZEzevw0YWZII8EIHPomKAQcgDK1Q1jiDwvWeh/Siw8JYksK9JG3UNcCE
fDuGDeN7Xka5Y1n6BVdmZipEyugrOCvX07JXLUnL1xiHBfMFKHewKG3R0eKyq9tOKYFkDmbJZlKB
TC4wrYBABlu0Utsyhmq+zjolLaJpoccbTAMsi4AwGL4XLODxwU040HCMaEHV0LZXf5HBnZGBCJrs
tWnNZiBNStPXYFGd9HIF+wBOQZkHN3RyBoCfKJJ8u0Kv7H0FRCPvK4on3ZSn1NawTqmcUOnpUNct
1RG4IcfY8SclGJCFNR340mcI9le9qpCXVo4YMaHhLG4LxlD/+6+L7qGea7b/COtjdrWFHF/YzSp9
pJnxhgnDcc+CggkEeledPOEF75+bHvsHh/RqNiPKFYwJMqZZtD0Ym4SdK4sz7FLbJkpj1qR3YMwV
EjoD7A+/m4ul9xvLSrW91bjqhnFgfZS9A9o1t/Gkh/PqJXcwBDcmMaR2ukZDscBTmyzOIb3XwNFe
TWW4QghhgGusOIiEbTo5R9UkSwS1onDeRA3+3Eceqv5YBKfW3dR26ttod+tvHaDce5zEZn9YpXCO
w2ynpFTOSXy/pBlm6nLphkeFXQQVlz5jiOF6asswN51EwEbMF8BnVBG+xwSJIcaSU0uMWE/pyXez
an6P0xmNMXPWArlACi8L+wS8BHuJcdgb5dSpwdyD/I1cewTxS2G67XwSt2NQanGd31MKMFU8ML3T
hTgEtG6Pw3YNC7yttwOGE9jgaszGJk0mQ4masS4txhUrV9iMSXJndS2Dwe5RdkM1QNcKWWgddTwH
64r9ptPKb/DvrF9kGgAMpuZJWv1otJxwFAcupr5m695c7eZ7jtvSiJAIVsFSKquATQUghbq/fTRk
MdzASWRMFeyH7R0wOPGSt73zWE9rcYTVwySmWngdLv5d7f2isOyh3tAQf1JQpaHzsaI65dnQiIYz
oxtbHBkHSITtPLxhdyvPNJ+1z404G20yom7dQ4NPw+GkrIpBfxwQS7B38KRV85EBdmqdZDGCqlDK
2sclXHAoyKluEa5YqL+cuKfOgcMOFItBZSINrCSRSwQdwH21NZg+HLK7nv1v5XA6xjEbK0wji8YB
C8NsTZWhTH8CRqqIes1qEwiTCz76YEg0Qbg9RfFGWQyXkZkVizxi2ubEwuYP5iSW1E4GTjy4XMMD
cB+ORatkiIXkcEwHZzOiFrPzqI3rkAY0gm3olMTaqFdg9rf5ymCyAEOgslvE3ZK8jKOn/1nnmLNV
npqvfSZw/cSUkP/09drD+/Dy8YK+i5RhXaB2Dyo4NL/R80Nr8wxXkn3LnOi9ghRo6J/rA3Fhngpx
K5T1CDsTqFD2Nui1eGMxHO4KFqsldCyzfE3Hgf05WKoWKQl7P+yYPf3D69VY2N/pYK+sQCupK4Vx
bQ1ktJZm+a0D7o22pbNwk6krM/DFzEED0iYHVyXI1mk49K3r/TKdrnlIFpqlUavV6xu9UBUZxbDW
2k5dZrbGutOLGM38lHF2YnLxQekoJGQizH9VNXN+1s2GqFJAK5SfxGRjyXUoa5PMSysq8TupkPBb
wtngdWAhvTFL2IzRUq8SZy0fax5MY1o/FmyP2ACyW73m7vI/WTuxIcTMM4FfgY3zpyir8XGRxXIc
Epk+5YmBwKaA/XaVTXDBirajsNbFJkfvAZ9xh6PJKd/xq66kFFnT07+/u795Yh87OuRXeJZBiAwF
fZqbHz+8pkAOnxsYnxWJxyqoqR6/ughF4og62mpFY2FooHVNW/Z32jpmTIwWPV0QKQryIKeQClN1
O4kbfaWc5XcoyG/1xbWfpj7vFZboah19CoTJyzqp9hz8++ebn5pECOY21T2ebkwa7hac9/+dmHRo
soyHPwSVIzkTJBCoeNpO0T0CT5FvztxPt50r+4fWyeQNJ0T53ErbmPcd2muaE8hT6KiRg5dsWJz5
op/ctt1PZav+EdPaHeM1Lu0detYYkIFuVndxNxGNDgsgAzCrWBZlc72Iv5mwXfIwSdmZ+yNy4y0s
G3+fPmKR9sdiTIcg6aU8jn1luRvXfrZZQ5P4GvaLHA6wQiQOzFpM77CR15+w/rINO29SmMGTXz+X
CaVrFgk2cv9+gl9MvPTvUf/SrEOCf+pa4FBRK9qCuitrGusKC08c2dOK3F/BxnzmWp8USGgsUDiS
C2Y4NM0MR//4trzO67reK/DQjfkqdxr2cSDS7vjHaoumPDiC7hJVAncW+24c2P65VPog4ODRvNKL
GSnIv2/+JG2PJBV+EHftokVCRcAb/viDdMVIOwrybdDlSXtcUNqxZ+/N11pubOyUQPc294xbo6al
SJ+5jqD7P+mjpJpLDeNSmJ4VEmxBQc4EVPDvH/f5zWy/jZ+Fq8bGsnCyTMm6ceuKokWwWBmM9rpL
d1YTP9RuLqN/X+mLJjTyQTqMru6ig0Gm/fExIHPL9Y7QRzZ6M02hpe+cP15Do8+qmhzd39SEJADk
OIrtYWcznIJhLJK3lUQewA/08wGxDup1nxiwYGRRXwJxoSuRUxpuOj1+PvNztzs/mbPIjTKQRxiY
gbABffy5EpVRyUoBfs9MocTlYvAdB4CM7Hr9MGZpt2M1JSiareGlzY+POPaNl5kav3qks4QFB80H
GgkJ5SdDPYKC1iEKVmZKPIWLmEZq4sw0te1ePv1g/Dr8ajSMBHp9/MGEXmjzMGPTalfwnE2WJEHi
NbxZ3f7ZjKR8n3lA26R9cj0U9ogoNs23QQH/4/VG4JpjQTJSYON2hkwi2E9CsI7myuoOKO2snRhX
9WF2yGehtN2EhjOBDO2X6j/q3fm+aGAzNTuoOUhCORnDqrZU0qG3FFjaOPxW8j6OoOjVO5ua+KGS
tX1GorY9yJMbRxGOsI/iLHf/d7n4v8a8jFUrBQ60TTBdfWubff2tsifnejaL/Ex7/qtLoafmAzVx
gKrmiRTCxT8/ZjONJDVJwOfD7gYGG7M7BDDheWdkIp+UAHyWCN7RG7i4iXipH19oQUFQTQQfqOrQ
v8nAyZFRUKz/eRO+zYUaTQoeHvd2ImtQ2gyK6pS2geasVqhLqdxktVaz8x3tl38P0c9fBP1vyj7I
SPDB4pL5eEMgVOa2dKEOrN28XoylSi757FUHgdOfTAHYsP/9etvMhmsUN+6n6+VxE7cjhY9gjBdr
D5yHdHn6/5HqVe5ttmKgOzN7f56jLIRc7EtYVhDMnMr6p0GbHa1nXS2xKHD01ePHXHfF0ek0Z1/0
BXXkMRkeF81daRTURXlGovLFAzbY2SFxoZEJcOtkeLZx3ZocCirwGbV1Y8xERdS66C4TAzBAYrDT
/fcD/mIjiRuTa2Hkcy10lCdDtMnradRHoDfh98PD74fDYe9HwcXsh/ezf+bT+3sa/PiZf7jWqQV4
STgiqdu1rnZPOy603+//PF7dn7nM54/u41VOtsa0eyq1mzaMT/9KypxP+erMIPm7sH6+EZMtLAJG
XtLJ9rWZAVhzeGgDEfXP8loEy910YV3BgQ8QJgQEhu/RLRxoGSfheqfsvLd/v7XPk9im3DQYH7aK
e/U0/ZGDfodvGDSqSVnLl/HkHjzwzrtuWN3//DS5lIf5iwGCisw+GR8tlma2lEOGP0NPXntWLZYj
778q6pkmVRYdi2w8TF340T/OK7qo6PYtXcZxJiufRFJbDwvxdZEo0nOC3s9qxc1mopOTx5vbUru3
8fN/i81qz4hXLJEFcoGcI9FdBN0W2S4QM5DAYqjJ97JSoPVjOSBFRk/HMNNb+/jfXyEJqI6OTmyz
GZ7+Cszpm1kKOi5qsYi21Xww8/qFMDD1zOL6+XtgbcVChnUWzwmLxMf7xZSUN+ADsQYr2XxACEvU
ilyNcxPJ55nL1hiTGPtxgaLJPrkMkhEXqmdfkFBRTePeWRMTAnpL/co3pF5F+rh0L81QALtyi0p9
y1rVfazw0D7KBJ2VmQjvVwxKOg9QYc86aXczyUiww4fhzE/94uuhZMfWHBc6dsLTB9LnNGDQssC5
KS0ryp0ZclM6LAeRi3MRb9t0/XGigHbAc6H/tqkvT9/yqHq9ttCjoN87VdexXTv3qTGBYeM+nzvd
sA165rL/72NLs3XKOoxzZ3ONfHzj2mp6Oaop3riToV/IYddAr6e66K7emb3H9mGe3KCOqwAzA1ME
68jJMC6KqSkcaAVBijG2CunS5jIgqi+nelCR58JeuU31yAFJj3GJKtLdPIvCOjMhfzHEdcPDVajz
SeksoB9vWMlANP4VGgutr66WZnajEvjDmXHz1VUwv/AqmXb538kIF1LPvCqDgm9Zso+Q1umRPRv6
mXv55KNmLtQZK1wFpQbz+8keiyCrCjUlkqpqEV3YK3bxY6Em1fkVup4DFfEsgr1IM8V1152u6RAm
6NxCLu6cq9zt5XFADx60SJhAM/aJeo0ZHVli57XhUHXDZTkSrSSURoTVRLPiP09rHO5YKyjZsac4
dRIaaDmlBgMu0HvH2dUduj70R1f01f676hyRt07xiLMZJxU+ro8vHXssOWWDwzxurGyx1wn5E67g
9lbhpHafE2x20Ne0uy+61T6gkaejp9Tezb/vV/9iUCA1d4iZZh43nb/ci/9bTVpbomtxKe3KobB7
sk3b9Wg1i4n0Pe7bUHHTP51MDdRfpDkp+pzdM/mYv6Qri03bofF/QN37psJ225TmoVvxXWoIPMis
mwxWd5QX4L8VhyZuXpZZNKEk9tVK5C9y0eozg++L+crYBPzYWjG8QMX4+EyHGsESwAHyuTsje6aj
4D5mBRqaitMZ7cOCRBf6n2f2vF/Mx3hPVQx87rb4bzCe/1+QywZgKLWjLIB8gThi1PLrfhTI1dxU
PXMp/a9R7GTCsjnOU3L8K4Q/rWXR5C3SKs0VXwpULL6lAZ7205RS8ZSXiLrUqaF33eP+A2RQFcVT
VqxepCYG0TJp76HgADHqjcp1N9bZRrkDzRDWRF0+rTaeD9pKwAPpt4puioze0cUey61mBmrcGNZl
AojlByEb2o/WXo33hjJSFSnDot9MqMkVivGWjc03preHzaqvoGlojUpDSZ+THyKDvIVDG/as7xi6
cjekGjhvbfTKG7yk9jelqJ2rpmgtmFSxKm+gxVO0m1yh3aDCTobQnHQlDZxBtL9HGDaE1EAv7vwS
zGaHiFYhzqMdc/tpHCztdUokWC9U2WLzpBIztpqlqR+EklLhcyqhXA5zS/OPSSy/9Lx0oRFCa/Wh
VBPb9HHLI6TeuN+TT9UCnnVTgO6I1Hl1fmODKbsLkSzimHJ6haLZQ80JwQj0fELuPHvIQKo4JRNE
wyelsQd1drArkc15FaKkAOM8qjjbq6mzwS3NVQxXFTDuCl0jzGbLSsgf7UF7ef283Iw2KfA7+PTq
W9Xy1zFVJflLR+bvEtLy7X7YsKWp2BpJkUdOqaQw5MqaP+rVxBWG7OG6a6RIrkI+dUeSVRXXQxuM
yqCDRC5JY0IyRreNUdMS5ueSBDns1y5BsodunJhQDU/KJcfkmETe1p2eta0wHSjUKEQ4y7w9lFbs
VNdgiZvLuKLr6hfUQH7RclnXQPTQtcNisNPjNGZ2EyGUH4+l8BZ93yN6QlxGnIwbIPZ0f6c0rnif
3Nq104KRjMxy9BifsugtJIHThBxRCrX05aw0CAXMVprRohbuLwozsrjs9KXTAe4hb7HGlhgdVNrS
ilwFPmork1EGgzrNWZhRyqM1T2SpTQJhRnFDlyghN2I/9caZjIhbdVgMhIxmTN4To2ARQatju4ga
1S5/VpPgKC+aAsr/Om+PurG1adgTdkz2plbost2tmAtFNLa9gIaPictF49z3eUAPV6y7yp7NdsPG
TfbFSlmf7levtWRXuinaKAZfRUE0bYyrdVLMISQeafnedRrkf0tvB7jJhV2SM5C22kAN3So9vN6a
LH1F1CY9O/JMrUCkSbESKQEj/mJCENHeuIADtT2tZ7s46v3iPCP7dXTsfJlTH9Z2Qjeb8MUuUd65
82PiNAng6olSlJ912XxN5Ij9OrFG/UiVoumignURfVOFCTtEaQk0VUlssk+8sYBXlUk9wZaQEZYN
UPJpbgpOJU6vWc212c/MjZ06MlaIzPGIGJxMIs3dLo7fzWUZXnqn0MnjnWfnt2APRrdkIuogKlYF
7mzXj1NyO7mUy33ao8RDLGPsvSERjNHLTPmdhXzlWWHf/pCSPrmr1Jk9GzpNDE+Ku4Wykv+oXUJ4
74yoUInzXjCvP6M6aF7+vb5q26bq43ztUN3GKYvgSIUzdLK1qzwSa3tvLIOcH4r7oIdAyCGtaIu9
Rf4BPXlriH/MFTpnKngD6kl61W9KatiXi9Ga4z7RO0FcVMbTOfPTPi/9jgkcCFjAVtWm9PZx3WpS
d+wk8Ch0Er35vNCRUC+XyRoxUej5z74yzZ8QwonXLNE5qb6daIwyq+kbM+S01hnkg3j1K0GUzghB
Ja1//Pv3fbE1ceiveSbdDJV+8akVjtba4mgTQlmtsHJS3hYEazABEi8NVyIumTL0zEKR6cYOfGuj
LzUwcBZrWN0q1kASizH9wI7T3U1Tv8K3tAFcIpSEC22R+IwMIZX8QTgoZR24imV6viOEIvaKlxaH
oaWb5kNUgGAmRtH24b/v7vPDtzHeIwVAFMDh9rQEY5lDalUrJRCMEW5Qcsi4Adhd/Pr3VT5vTbD3
bQMQ+Ceni9PzW7YweiZiBQLFIb1VXCfQrkS++/dFvuivfbzK6UCiNTtnRKcGlf/+4B/eguj+/swl
zt3IyR6ra52xS7ZLsHXwy/A3srvo9+TX/mOxy0IsV2c2kn/JgSff7Ycnd1LItN0EOMLABZdgjtZw
CNugPBoHYDahEdY7cfRutL3yUFzIi3SnBERI75tdGWlRs7Mi7FB+fVwu3KgL1TM79s8DBxyFuR2y
wC4ys5xscbXBGCj3s3VrcURGjiAbaTW8c1bDL543OilcdAxRjyrTySvNe9SJKWymAGlKd7AGS90R
V1/d9W3TnPkSPh/BHV1D7UixgBIdoW0fp6HCqjlMAtZBq0zokm/NAwf/LlO/DebYHQkLZLoegY08
CWKv5gsSspUzL/uLRuSGMgGxCkrS4hh0Ur7LPW8LfpGEmQ16O1PSKIxjHffTL3tWx5slngG2TJXu
QasFD/Wz7hkYYZ5r5WWZICAJV8SLrx0bxsiYPVc5WFoxPqQ2NXBOsJt+vujocpz77LY3fTJE8Wjq
BL1uLWTX20bK/x3dqC2KUXo0F8qt96mDOX50DTKxhFMXj/00LkhYVe3nSqbfdyyb+W4pJr069ys+
N/1oDKm0VUBjUZI6RfyMLQCcBIALFZRiiq+IfCVby4HmQdfI6ul46hxJgsJ0anRuRMejzW9XObNT
SJ37LjHM32emii/GE+VRwzI5ktFYOmUUTiVIPdLW6iDO1WlP7pJ3UfUNIuvZmcJEJ/goJ2D6oLlC
jYo6W+6GPJXPwG5wxGiFcuvUMcBSTP8RXaTlgrNVsfO02N6jVDGPAx23Mx/ANnedvEdq4XzSGA4o
z5zSDDQFs+9cDnUwFYa5ASiGA+ISbI7LWj4Rw3OuxvHFDEL3mt4QIesWveyTb3sasRlWBIYGBC1U
N4hl2wsxLPI/V9aQ7sHTo5KqgZk6PaiWJATRl3EJ/Vus1At1jk+CfuxQvIBN0NnkrdINTNHbtY9Z
MjYDOPjV87/Hwucn624iHep6Gp1ZCNgfv5DVKeVCVw7m/OiN3zKtcUkiGJYXa7UMgpa07Mz1vugQ
cRamAPFXHoCw4WQucybI6gJTCIus5r57q5f/Ym7T7kXOKVukpXm0bEOgxTencMit/BC7zhyahWuZ
0PcnHUncUtyZYPoOdex5QTXW9hmS6d8ayMfhBs2I8//WPaBLeNpB9kayABF9o3nsGq0hhXRe06jq
PPunbbS17k9oLkBbF/13g46y56NbRCPoGI15ROA0E6wTGw3JEshG0RU2mwuLxoj4kZRdcl+Xqfje
jbi/wDb01mWKUy498718sd9A+czUxVul8MJ8/fG1Lnnn6UlKIbMvSMi4qHFWsLFLUfSF82Bv9sqZ
oBbSvVPx0I9z8gJPQZvRfpvT0Vu6Rp5ZP7YP5uSJ6vwislxB7jg83Y+/p9fVPpeLDrOBDvkFGG0b
69NgXtGlOKfO+cR3NAGcbfUtFw3AtinWP15LN7IFwwekxH7N7Z0q3eGyXu3y0XKK7FED9TL6LLLJ
nnVh9AtX629Lw0ques1uL5y6mw40++ubwhs8v8hEc1CUnAQuDmXFmePFdrA5eSgbqADaKasD09vJ
PmVIEYIOkCiDxZjVN0P2A+49dbhqcuhWDtlSWFmn9uDBdzkzwr/6CtlKsGtwgaczy52Mj5G8om41
SFNXjLHVdqnlZZxV0e8kKPUa5zbFFYAMmxQuZI6O8N6nfJqfPXXq1Ygc+9HFPlb310rvEriMmkDg
wyJBECZI0mnGmdG8/ZjT50QDjfUTniRVvZPZ2OmndU0zUheMwi2vKW4koa1152r/X70NKqJMgpal
bXKgj8PGExzdYQIUgZs002NROZhdabj9kqm074ZeyG0omQPlM0U/Q8r54gjMmkZzFNAIAG2Wno/X
dqzZkCaRXMHax2LPmXe4yvH5BT3p81hRKlxMkjACucMAvNyWHnIW8p8M8Ww27v84O68mt7E0Tf+V
ibpHD7zZmO4LECSTyfRW0g1CJnXg3YH/9fsgp3enSGYkV9tRHVEqKXUAHPeZ1/DnKZQ8WDLCeP3z
y+Gj57JQDSfcc5Zy/zH8TGBOTxezzFbUUBIzwPRHPJYzdRcn9QxgeHryw2wsqDa5Tq27wSK8S9V0
XFu56+zCOq+gvwn555B0cAxsGxon3CLsoMOvhR6YXqUR7Jg56ebHnMLMmvKhtUtd+pGff4EPzi1y
CDQmF/yNh9LH4VD2pBlInIRyVWIlGDRVlwd6HKf4YtjnYo53xc/DZY50ifteZnjv+h+dW1HYMfmR
2eLYmpnTLbS8fO3Rck12kSaqG/jXOFelUQVdSilbej2NHULZlJ7xmiYNdZsyn6OnGjyw5sdqF90Z
bilAsTv8ZmA6GMT4bjLXl46TTK8z4gIlLoI50GLHy1Xnxu1bw960dKO+gUjTXhGSkK8ZhMgXTdF+
6l6lvkBxU781trykFZpt5r5O+zVQ6OSlq2P3dW5rtkfYZji7Ls5K6iaMW+NeelK1AM2rILbbmvVP
cTXx5iDRckQNlEwhGFaqHjuGXsmj3h8rL3zTBviI2zTzRg4nunKLKS0yizgp5vizliqC2RT2ixQ7
nUzHZd0DwPYShw0mHZBGxh9hCN7ZJ2icRmpG/fxqYfyIFVQOMYofj7Ejka1NMxi23/g70zlPtiZQ
nAkmp509GcK2zyVxy1I5ml7wlrq6yImCdXpPp/+Wi8AvhxRlUiTlc4Y72WlmYGIxtKlSS79AK0RA
IRzlmSvmg4Pew42MNiPSm6aKFtfhAk6HsZtlQ0DlTXDYLFD2Vxa89Ls5UW3qtTisBhLiJFwHpb8Y
6HMFsZZ128zI9ftG9eYN2HxzJ2BGkdmptXdVUMk7k69/cMy8A9wdRKUdBzDm0co3rDBXOsrrKwfy
+9pRvTSgRJmsC8R6v8XC6W8AtmPqB83JNwhMb0tcCK+y3h63c65jSaOVdAw+3/nG6dbHBMLEtwEJ
M4p1x/PVAek2Y/h+EJfb5lqLxgRpLVhPRYAJUfYGfRqX5Ui6SbxJ5FAVdDXKWF+7WqGJldulo+cj
wzNGPgT5GMB0huef71UlljHxIvWtqAOLoQUai1Ffj6xJWDWKEmgWihZQjslEaXsagxWYdRd7uKei
KLiCCjrFKzf2jF/xPECtnNM0uW0mO/wp26LrNsKzp1vUletL+pLV15pd056pNH2wkOmvAUIkY0F9
67grC1tEoKtSy5U5Kx16Nkb7i0xVC5pchH5Cu42+VpSciQFOZsOhQAzmZOlb8q/HCMhQxqCJ0fvA
zkfJd6GTyEs4cTlGRs65WPU0gGQAeodLw5IMkGP/cM9wr9Jk4XRZuQVaTetwVOpftDG0pziMkm8K
1q8cRwJZdqTShsd0UDB4oEZpXUf6rP1qdO233SzOhpMxP1m1M71Ftmzv6RfMr5+v0RPLBbrRS2BE
gWOJ8kEUHj5pG0rLiuu6gsJgufTGpwIFp26YBqz0tHqKr7XEK52ALKv2VkkRA5gI9XGg0UncRn0M
ScV5JXLE27ErEMNwiw9BfWZ3vwMaDw4+hyyP/FbFtxF1MvXoIYu2rZg9A4IxlQb8xr3o92TlkJ8w
7w1fHRyxnJUz2tNPUSXJSz+rCAtJXRLioPbjYngPVxN5Sier4RtpQy52al+BXB46hAt36EESu3tL
hmZimXYLwBxZIApmjgSlUsHLQs4l7QNEhzBW0GlwVtBKAFxuPaOczTPL9DTxcijUAddj6pkO8DKH
M2I6beEM6QgVvs/NXZ9o0ZVam+Ymx7X6GrNIN5hT+sadhrxW1NFU8OCtrhuMD/6/ngQ4GBt0qT0f
wz5xj1OMrOCIibr8q0t71NctuY105VLEQtvqPf7LY7pzJuxZ6zmn05Z5Z9KM94P7aOopW3LhgZAG
anA89SEHVSmd5Rl0OdyAZuCmifpE/Wojb4Vblci1FSgS9MYclR6UQI9lUDXsSQA/3C0ok0BGxbwb
itDBMDdSrz2T1mSI0uJVg3f5Ji7CGgWbcdxmNYWhKaS2R5NNhTefYkBams0GsI9Y5zWGr5Ns641b
ID1Qqi2K4aWr792maV8+35SnJxUvSjcGnP8CQXuXw/7bPZ8kkJ6kZxHUSA9jW3UkRio7Z5NNav3w
50OR37LQdAN5KesoOkU2Bv/bGFJEZ9Ly0zIbncIW4jUkwfLi86E+mEqSL0ovSxGTNzOOgu7WUSZR
g5/DF9kKsb+aMHrOZLlFf1pf65YYAgt1BsO3hxCIJZFggEmciTUOG3PAFR4RAWxX6FM6i91iYpEz
KOJyJA5aYa9bv+oGdEpI9yZ7PMoes3EUDyHB1LpNaXLLtBKIpprJXrcwyh3TvKOR2xXqzrCneldg
6HFVT2V1DkxyUkCm8L5cckv4BFr7OEXHWXQCZWrkq9SZ7Dc1KrIiQPBIuXOqrHnxSpAmKzCZvbLN
eBXYvhTT4gvyZEQ4h6yikYSMfEdsgId7u8FM3buPaEtXwTiY6kWlubA568HBGbAEqviit5Xx8/OJ
W+blcAtyk2kaRcxlE5LtHx5IhkeiH83vtNk+vtHwdbytEzl9dSaP4sgcnzt3Plj+jIeeADxeYFPH
0QGcsdGr+zBfqXofmv40Ohj9DjbCKFaeyDPp2Ym2PKKsZKdL95gIF47yUeRoxia97VQpVtDlwo3b
ym4vulh56VDq2UPNRZcyhT3qj0rhBNMiGjOoEUoSndZACy1cbfv51z4pVbw3ariQWTUU345T09zt
Bt1LkcaMF02nmrb/Vol048woH702u96m/WTT5aImfjipWEqkad5DTCynxr1CIl48T3qdrSAzRTuI
7FYQprl5UyIEdjeZOf3ppB+vrFHpEbUbm6+fv/SyhI6WGM9BDwymIg2xYzuGbo6HAeExKCPI4vpD
N1AtHyt9I3EDvqil4f1WhUeQ8vmoH3zqg1GPojRoHGmIggj7zwNzAghXDYZorM99auOjlyNwQR8a
QXQMSQ4/dZul4E4RSFl10nhp8lF8Saw6WgOMMlehFyccu7HzGsMyfJTthCWsWRYbrNst1tikPbtR
qJ3B/n704oTCEJu4U1llR8UipelxKzYiWmYa+BZhK9aFhR78mQP/NHME8wvt1CO+JH+Ekn/44o45
R3rUe2AfSBK/yNyVD5GuDS/ISotfYzjpX/VKb7N1mefFVs9n6LSornA/EKJFvjTS7CGpQSf72TBp
r43ZOg4hcRyf40h+8DneLz/A/ksv5biBH3WcQ4XDBAl6aUhRedneTmtr9/lq++BYo3SN/DGy3jr/
suyBv93q8HIm0kFgEJOLUtHcx9N6zhJQ37anBZ8P9dELET6S55jw5WCxHQ7llt4MgoMzZHJEfFVM
GchFtEDnx8+HOaXYksK9N5QpmBMlHgO7LYG7uGeimTNizPEIrEzDVUJH2vkJqMrQb5Jelu4q7qMB
2F9Xj6iylU61zmwZK4HSVfiwJnm+6CZhiFX5NeSOHD9XPGD+fKcbwP0gwwM7Nk5YpVg/oIi2GOGW
M+hYehQeVsHuOXerD2aYMifFXzgD0LOOEeZlVOpuG1PMTDRRoK6myrWh4KwKMHc+t4U/+vbIJ1Pv
wPKAeu9xh6mxENSJshzERIVLK80gGwCuVtwWOfXerNRQ3ZuNOXCL0rnWDSwL07JQVqEwvdu5FkqA
vyrRL77a9yPYrzNh+0dPB/+Psxyoj0HV8+hW1arJiyDPYfWNcUvnz0BN3/RZ2D8I1TX3eiIus3cJ
mgM3VYLh77rNiv7BNtwQBQa2RohAkoqft+uMiN8akPMLH866dg6U8MFGcXVQWWg20kIB83G4UUqB
ZtaCXlpRp2h2nQ5vdjbOdu8/uACI8EAtL8ctMPBl3fxt55slLb5i7JpVoTZoN+bshtELZaDjxkcz
II4DB6msm6SU0U2JDi3izd4cfUWG9nXWFCMAfFSdO5uXs/foxsXIUYfFvawdkuvDZ0KCtAHPSrcY
O+HhvjJbOO5qnf5GIHnemMPUXYAWWStJ/taSTq9NLL63A0Wy9ZkjZIkzDp+D1pVJGOJQt+Zhju4I
RDeLGm1YPC7ion4ou6Tc1mGSbL1er7GAdrwfZpXhuu0m0UvSTxMo+OFX6ur3OkblUDyhVqQa/nsG
SqKb0oXfNpKQrVtz1NfdnIozJ+tpoELbGdkZGLQgvkzraF2jI+th7s0sKgpI2Jbj7RqxUm+fGSPW
Q9Dttko2uGeaO6erFNAHG+P9G1FNOgoghkEs6sId/tWT2l5PpWXegNIxz0XCp3E+DT0dcjA1IVMn
+D5cEq2IezftJQpKoZf9qFpDfyjBP31xq8G8QTsRfQo01bzvth0h10pNRddWhYWUFAIvYfZiR230
Q8LEv6kRagKsK0dkCHEgcl4/XzMfPCdpCOkUkDtaecdzUGadVFq1qoletPAigx62UaLceB4KaXwD
sH7O0uaDOAYnDIi+IKiwKqLjefhh0HfNYkJlkuQqz1Lf7IFZc6Ng2Jdp5vzF1RsBMsfW8x+VmUx3
WJw488axeqNcU4NN17I2+A8lYU6ybqKoumzCJH1zNYtg4PNPc3oDLZcbaE5STZW7/yiqX3ot+JRS
cdZgLlBdFdGNaClcdCm1+T8fChc4qrfQnMjWjj5Kb8VdEhsUZnq0gdbIEOJm4Ca9P9njuRbaB2cE
5yZUIZqbTIB9FM7o0p5Gs6QD0XZmBspy1h+oG7g/ZkMXl4qnTqjpoiZNKJVkypeKKTxzSn3wWYGt
EbUt4ZTNQxwuAOHFGeKBKoIKWlOvhey9oDAx9fbMXpyJEk8VrByUUBkI1Q5CRRQBDsdyiwS4jrmM
FaaFu6rAX78VDQxCH/nytvXT0VDyFerRs7chM8ao3uEYmi+qzEaaXlGQk/SJM7FztWtPQSeWHtnK
zt1IrFCYa/SdwDgQ2WrR1WtP6DV+694QfqtspKj9HiC9h9MAGcKZlfnBwUkDmLY4gFwIwsekoVjJ
cZ4UIRSsbBq/mpNa7tx8QHkSyeN78CJg27Uxffx8jX5wcOLFA3yTKJWO2bGXgyso2mUz3xIQRriu
KDT6RjKoZ7KpD4Kdd7mDBQ8HzQy/j8MpG7VuSKXmMQxa236To/zvqxEKkArqA7Mf03vdkWdaO8+s
6stKtWiteEm8RlfdBJyElgf4PdVv+8bZ2n0q6nMn++n6NdUFn6WxtqioHG8gJ1pqqBn0nVrN3R7F
Y9sDWVlZ4I50Dex1Eg3A+6O8sFXMIgxnMwln0BCwrGHX2nroCL+QmfMNdXxkI/oICFCkpi+fT9bp
sW6CYaMFRScCS7jjPqObmfSnKhWOEa4G3+wsgiaBskkw2Yi4+m1mR9vPBzxtGpKY8g8qJhxktEGW
J/pbXJbC7elbBaPQvKyNNUJANiLfSb+Sk5F+5QDFtrMKG3etJWZ9aWXjsGkkDof9aIiHTpX2npbz
n6Pb6GHC2beoydg0q473vzG7USI6XfEbmiEYpEjX+ZlWUfI1ZMe/LdvLXcOuiotNbJa5BapDrR8p
TuXlJgxdrAi4yuhhx1ILXw1Aqqh/4eGQXLa9wn39+Rc8PZhpo3EiEkJTSGH6Dj/gUEs5qI2qgKjr
cevoZTastH5QniA86kgAqIixqwK3m1UYQczyNa1xNp8/wunStgwbLAdFZVB2VCgPH6FCzZbwGh1H
KarvjuJpe68zfg5j3f6pxgG2RTbQUS5VEGEgUw8HUiIKESwmBmqGcKVpaUKnlA7E569zemJx6pOO
mECq6I4e086VVkFA1CHPMdKQkKFu0R+NEV3/01E4E1lhEAmXo/iYTGlNg6q2UktXjiy1zQIv3CAi
Kc4kgafvQm3Apg3FZ1n6C0dfrCYdXtTa8VhNi2JP8a8OXMwD1p+/ywenLz1BQtYlOiAyd4+ig9br
ZkOrQ8i1Q+pdx9U4vAmKyvCXEH4Zusl6xU0o8SHYYvvbod6WaV0fIFpKPF00M6LCSbjPBGUmtNyc
M9f56fIkSdDASZM0kAAe+2txIGthmGUwSc36V5hmOmpk0nhI3LT9duY7nGZ0S4WD25V2ncWuPNqM
BiqJHBap4uNs1W60ZtZSP9F0edkhSbtuEzqKNFosY2Wrox6EdiSfOtmIF6SP9T+Wk0A2gbyOEhTv
zqV/NCdJQVVgoN3DxQZwwVTncWfrIj0Tgp6qdPC+xOQck6weKD5HryyUbgrTGh+vQm/SZ4/73o9d
+isoFoNCMdWEwgMq82nbd78MEscAfZv+x+ff/XSGATeTM/E/KOaozR2eC3CSITLGcM96lMg20UQK
SM2iQ9a+PvdVP7iwFv0drH4JtzFqPWZxYIbHOZu32coF8tsFVplRQZvjrNX2WIqA/R8iy/qdlbMT
+9SpzGutXjAxllMXs2/i8KqDXOoTXBcBnThnLoMPGtccjRxcQBoxHDeOaf3R0IooNDJSIcuM2xUW
ROUWPmz0NGuW8hMpUzQksw5ngDFp+zuzSHD4sTDT9ZdexB+rPSzFPvaCvgCw0fo5mhYsGrJIadN8
JccuA5Nm5jsb8eo/vX0WBCGcFsqK5IfgpA4nX+NNVPLRAhaGqvyosrjc0wefN25kqX96mjIUQHsX
BV6T8Y7nHn1Qs6LbVKy8wYiCPjHEloz8jyvHSOda8AG51iFT8ovDFypCJR6nAelzEWfVxUiEvnIa
1wk+3zMncQMFdUpPFKDYuIBDj/ZtnDnziBZwucrcYnyu09h4RuBavDiGVHdgl21f2GpzMSJmDpth
Lv981igCL86SbF2Vhzh8yTjsvbKwyaKIsJbSqVewTjusVEqkgD9/05O0h/lyF0Dw0sdfdu7hUIDD
8kiRuMnpeokrT+4XuoaZ0yVwaWTIz/rqLav6oJq2qLkwgeo76gydpMPhJAIyXtWTCefQwn0u/yKw
8XXd1fbg0sGc7UBPk36Ltp2xMlxMbSB6kRO5gBk0D9u1RU1gUbfuHz7/DNp7SHH6ZHQJgADQcDq+
ndyBS8etsfWgPIDxw9AhlrxS60Y1AVTog7ey0hETiDE3xC0PYJerCbz496yhDkfb3jB/xQKU4TYC
J/B9bo1pT0+629aopOgrFIF0gPh5wZUnKmtCWYBW+gz6x5tbLocsB1sstO4BQIXdQkqpVesRT4gO
qAACBvmK8isGWpE2NU9RiO7xyhSDCcqgHVAodpphyi8JPgF+FhzAK2jflB1VoWC13A44v6yL1kzj
IOJb30jFCxOERnq57xCqSv2yRe7Ej2bEHbZRnczo2YNShZLd280NfSk38SVy7gO40c6IVmGtK98T
Jx72XgRiD7Z9bLBIhcAQuxsc5Vtpt8WrcEIdT7tm+tI50vglklL5VqmxBU7AsKLS7/TUgWqrdcoN
BrgKkgrmUKHyTHRUX/WLxlBQ9S3qv8RWyCin6oyCEuiZRNnNahRvRxPto20u7GjGpaRC0c4tKxQF
8IBTA0Xq3rcciDky/Zmhf6lkgUqiXbTTFXS8PPGNzgrb20JA/1rpmjABP09aBamzDwf9xaySnJeL
kW0Xqo2agm7WuC8k9D6RDuDCvq3qRpf+SMzyBBZYhwqNesFzUwx5EXRei+MIeN7G4dM2cx2EzdLZ
sLQJ1SjpOSifDFPVvcxYFD7lqhu5q6SqW1qqrBIRuKDHUAPV53G+nCsibIQ7i5y2Q8fFhtUANfyg
R5a191lltoUTa0a7DiMgjKrGokJhjzxZHwMevCyCFOLkr2SWI7ubqqfuixFzGkMrPWSpPAujIIBZ
3Uvn5TMJvuiJMikwpyCYx6H8RabWjY+e2tUvKepfwAUBVyl4jpl4Jzepqq1aTQLTjgmgInBWRn9X
YPULhjsfkUNAeVwsHdEIYxb85lCrYD9FvggH5xn5kKRcGZHn3lRz018ZfE1t1TkUz7DpMIdxPTNX
2N3W88D0ZIvXAIvRmfwuSd31hGLw6Hey5iz+/Cj46IiySBUhBUD3I90/PKJAAc20jU2kZ9XKvS2L
bHyUUvXOjHIaKnESupzyRIj2cqEdXTHUEPRcjRLoKUO2ToZ5E5oetr7qkyWsjVNYL0BwrhJ3RkAJ
+tWEMaJfC/W2yfsz1aGT+BApKFxmIS7RECR5PDqSNb1y20GH+RMaU/gDDp4MinKW+9oOpzOp0Omn
RVyNOo+LpBKXjndUwB/MesgI+xbr0srZVkYW/q6kc8679INRtCWjIeSFT0kz+3ACTW+yHIldx0qz
23QzmMJ8imMpzqTbH3w2YhACSpoeQMaOW8tokmNcU6Gj24R9irNEM28w4lpE2Z0zidMH7wOyiS4l
cDtURI9lBRuDzriDtfTKcrkf09iZNmEFqPXzZX8KuGFG6IeCh1guaApOh5+tg10jkxgncjSyG1x9
CvDZq1lNZ3fdhUVYoZEwdjVCJ2gz+0oyDa+1YQ/larSGBK+Jqu52ndFl/ZmN8sHbEyDTCLRJKJD/
O+q/yajOTGTPkexoCnsNkc9dpxpCOp+//QejwP0GZgX6hdbE8cuH85g0SUrLxhN4XlB8IMD0cGz5
fJTTUsBCugQ4xaWJOCtFh8Nv3Dh4MGW2UxGzhsOdnmJU4/cGxzf7z1jRQ4vWE+3Ve2wwDdgbVb2h
I2vdUAj07iUusyXV9fkNCltScHdmyfPnz3ca9vKVyVIpiHgWnQz98PHMxLXnLqPuoNUQC1fxIvvN
VuWsj2Pzfh6t6RnEHwJQDpTGnPba7vPxP9hTlBTdRauCgBRAzuH4qV5LHCwpAwMuNC7KAutWLKjG
lZqh6vHHQ9FYp+ROxYwE6Rg6bHWp3Q+JVq3gV2FniHjImjoy7LPGOVcyO60CLAx7Crn0FhYA2THC
ErfXLMRXnWwimeQuwmflJZm96bmLrehCR+T/ruu09F6EIqY5rNuv4LCS5Mzae1c1PgxweQoDnDJw
Bw+K6tHkRrSd1DAGC2OjDRZfTuGsfonSrv2RuRPvDCnDaf2hHgp3j6qX8ZI3aZPvVVqBqMABr3+Z
FEt/dKWd3SFzpjcr7EdrxFY4bA2/ny3q0kYbOTfNkJvWep4H9VfaDqOBK6egPo/zRv7bDYdGD0pR
RopP1dA+s35P1w9yaLQ6COARkuZaPVw/bWKPlRZOiLqggRWQXZirok70L3Ah3TNDneZNSz3XhAUG
0wQs5NGxZKmVAU0HieXJMGL9slH12fWrpDRvXIOW2AX1hwpA92DV5/TcPxh5KbzDTqFISLP3aGS7
qSdESbDgGfWhfSkSPEFMbZQbw6mNb3qUjhszrP+49wH6hMamDYueUvYJIA+bEMnqQejVnSXNI7Qw
rFeUuaxrGcYzIUx6jjj8Xkg+WK4LD4bznmmk8+Edt29T0goVpbZqlaZa/Zgj+mmvNHiZxqYWbmfs
JmGIBjczQwGz50Hxc9Mqe3S8ouM0bbPoLh5CEoqyUlDnyshtnpw2NwP4EHq9GhsUcndaV9c/S1k0
DxG3mhrkVhR/xdfIQ88Us447CVUZo8bCVXtMo5SOtEFJsnUlyjS9GsPUVnwME2toTV3VNH7tKrkW
AAPWlIBMx/ytOJMsLhIck7GXriXauHWDDGE8p9OXRmmcKKjmJOwuRkF44hecUt2fnnKInLPVaS2C
oSGzWDbM3xpIjYXsCHpJOHjNUl5RGuvgGGAxbEIvCD4/UJer63C+AI8uMR18HXbfcf9UQJJy1bjv
KGE72XWqQ3ZbtLYarD1Fe7FgpuA9OPpNWKYo+30+9sntTZkEJVzURiGx0ps4ujdgailgQ2ZET+iL
XCLOW6/4AeO/b6f//Dn+L/FW3v33y8h//Re//llWQPlE1B798l/X8U98M8vf7X8tP/Z//9jhD/3r
tnorHtvm7a29/l4d/8mDH+Tv//f4wff2+8EvyMlR+rrv3prp4U12Wfs+CE+6/Mn/19/8j7f3v+Vp
qt7++Rd2DkW7/G0iLou//v1bu1///Etbrqz//Pvf/+/fvPme83O7n2/Z9+LXyU+8fZftP/9SNOMf
sAfomTtLWQeIKtMzvL3/lm7+g+rSolENUYh6+yJwVZB3R//8y7b/QR2WiqG5SAxBn2JtyhJjFX7L
+AfmKIj+LlDXhQ331/95tINJ+p9J+4+iy+/KuGjlP/9610L4n4VJMZJkAAwZufOSbXHZH+6BHjAM
5oIYbHQZ0oVZkqNQVZUNibw30Mr1MKmXCi5Dix2XCj11G4VAzSJXx9E0F912gmsWaJNXrgY1aYGj
DXA1ygmNuSlxHlKvUAL6OjLwcgXj9wkf0M5sra2hLJdj5eCYgJgm7A7uQLWqhjUatm5QAGNDc5Cy
haxxl6V/oAaZ1JOrpHazRakSazAAH9Daxj5wiiF6LWZ93nhzquMVVJ1jgh7JgSwfiWwJSNUCzQFu
eCJEBqN6dApeJdbS+iY2lLBbqV6S7bIpCZ+HzhmeoZ4DeDNTcdO7XflL9omNP27fElE4mo50gWhR
85zzxHwW4CieVWm4d4nmKN9LiGLfFNlY35EoOpdTHlEZl0enQLoQI+iVG0z20aVP9XWgpIOsJV1x
d1+2VRJzASTl3tUS64lm6/wwzUXyirGXvg1VO74diGQ7f4jT5sXOmnQbG7WF1bXdXaRj1WxFNCq3
qsjFcOaY4kMeHJI865LGkP0u/yfI9Y6qrXZC7BV3A2bwpihYHq2G9S/oiyj/5dhNWN05TV/W13on
9eJGRwpS3+i9ojIN1dCo6zZOom6NRIPt3bV07XoDBIcxNsFMtTL6hnZBrt1EjqKnzwVetHnQU0y4
wmioc1d1OFvxzhidsrygcGnWT2MYYtWmaYjrYToe2y4VLVtWSlDjqltcWmk1u7sJb6KGddyDqKO8
n1hXhtQwb47iqcDgOXRwKzQ6AI2Jg2Lo89S5svGNMSof9ahUH/JCrZ4TwBjhukR+czfMimY+qnQS
tAvNjNxpPZoC7ZFK9OWzOSfeozlPxuiTjs1fsaIs34Ss+kektVDp0FwKeOkcQQHO6ot81EMoj1yg
/hzV7J8U62mEydvhR6nVmBMiPO0ByodAhVawgP89GOZdixfA95yCzi4LXfWtjFIIXfniOunbdt1Q
E5VZc40yYP0lnqvhommtOVz3Q2Q/p60rrmJ7MPWL1imm+0yN3YeRetGD1Zb5l7nomi92bbX7LA5t
9GiM6Gcv9HJYOUY6f5kr2CqTEcMmIDz/pnrjWGyjqAEgNjrqFWeLvcmiLHqMor66n2cbUUO7TPWL
qCjb26pNwktO0XmPJ190aw3IzVCuS9F1TWa6IQRn0w2O3dmmmzR8eA2ZX6uxod3ks4lrpzVmIX73
Tt48U2a19o7Qx5sktBGmczqYvr1d7Cvsi69QFjatIFLoyjooKXwti0p/sL2p6wIiK2sfd854jbug
3q7UEuaPOyR4kdVT3m29pDVBB/X2ZYVaFgaHwDpe0CgowcpCdoSSqtbVuB4NS2mulbos7XvyH/vV
iXvjotKVYd9ZtoNtnup+H5oSom6puXfOxBLbjHjXRvsQ4+zpIWtk/IhmsLuumtbFntXrHgekGL60
ST8rQVLIaJdrRV9sG0XoF6PTVDtH4lLqk1+VVF3n4gUrAaqz1ejqb3OP8FsQxWW3VdldqPWmrUT9
dXDpzoo8rjcgpcLvY1nrl2WCoXhQSi3b95UTbhGPqjcV0jbtVWOG7UNhhiNO1c0gSJun9CK2CxQr
PfQFVtXg5ANaF9L1LqROvLtDn1LL0UpG76V2rOaVo20KMHQvd6Q4yQOmb9q+6Wfo9iSMhJHxxO3T
GgjSB6Ex2G7QuDmqS2A0Pe+hxvbh9ziJzlhXrQzVoJutRsGee+pl0Iqhvi4XUFDZWf0ezS1dC6gv
i7USaslvq1MxFwlLkV9P9N+DVkr9HqjX9C2Ku+pHyTxsExnlP2vq6uvCKTQuo3HCpjZNw21fjRQD
6CQ0P1vPSX/UxijuNWDr5mbiE17mo2rcqDjgAcJRadnlbRzetolbXsu6mm6ryXY3dW0WVyJqkm+a
1ca1P3lVszi2i/YSXke/7Wyt+kHthi1hRcNEV2gY5y9IYxkXZp2hZTEWQAvtLDMyv0GoGg9EnSqK
W1vGk+VY7TMt6GpjNgu3oi9Ev2+GpLow8Pd9KmsNTJALk/iyiOz2Vo+lvG/L0L2ZaBF8By7sosJg
yV9eqFUXnHnhhYjn7Fvs2Mq+pQHCaWeL/BsKjBTHOqH3znZICq+/wCvAQP9Ca6P6wqmSaq24MkKT
A7XfdWRXJNvob8V3toxC/CYdrDPCGEGYC+794Tn2tEIFP9znfOCSAMSOy/CyyjTru63V6vMwtG3n
67SJrmrYCNu2BbOHYWm8HyK99fE8r6ZVbRWAbNH9MLqNVFBg8E1cHneqPdaPzJALApNWI6rHcyuz
zTT34UM2h3I/qEWOT3qh3LVdVD5pyjxe9bpQ0PVCQxmEYu7uQyXEK7zsux9xUdABGGmUX2K35fh6
LzwK2jgQEhGIbidEptxyCsl2P5O/JQFqQ+KraHRzIxOMy1dpGZuXyiCqDSgJg20pUmuXmEjgrSWq
hzcVxcYNAl7Di9dKY6vLZq6wah3EtdqI2g6Kwe1vExP1Q6WJk2arj1MjAgn+9XG00K/1Z7uytp0h
cm9Vtra+Q9tCLOhTrXpRgO06K2M2jfFW4/p8zHnjcDVbJobEaZzf10bVXs5RrztPzVQ6XItlH201
Y1Jv6FuGT1Ndcx1VDZovk2qlaL5H6c1cl9WrFQkt9rn1iudYUO6nAVT2F047KPf9lEq84jyNeAlw
7KtttiNrQhM7t0fhN8xcPPc0hNRi9KZcXFcV92KkdLOua0sDqakXD+2k00pTu+ymNQb5mPWe8YaQ
Z7d2rWyB1KnK9OYpWP/6Ca6jkk9vuZvGVIYLirnRXTRn2qZwhXepOWM07dUIdSG/5fBFHdwR16is
KlezYsh9CxHkAetRogz4MtEQSDvtrujMhf0qxGW9WMtITTah46HNFI2jYq/TyopvcLDNtllad9eN
kphrxWrim5pG2B4OknFlpLp2bRm1rq8GzD+fjEiz5z204fB6rjPtMrUn9akTRUjGHjfiyTHmYfIz
pRUP0sF6ZICs5oNCGX61QpnLq8oa7Diow8KDkqoW1iZH5PyuGjRtV3RETUGdhsZawiLOdwuhh2of
sjHhpRzzotiM/SAvlFzxUr8Nq1Jdsf85hubCS58afLU3jh2b+8kd9ZemFMneyPTyIjTb5n+zdybL
bSNpu76hzg7MwxacSY2WbFneICQPQGJMIBPj1f8P7Y44ZXdEVfT+bLodKlskASLzy3d8EWQOUWcx
0vhHATwWcGwZ+AllV9bPlqfFCRpszPYj0fqf+ONwq9gQMfFmtrVBbT+8uNE6XiR5XKARVgrJ6F6j
N8hQT9ktRFvdzm3oPTm1L89YytWFXhpk0NiTSn+Tm1peglEvNJNodVpq3zvkQbme6rjxSOR2pvXr
xFDwXCpLfUnpivvO+BlHJxESop0zUtOwEXktNpF0Rp8di2mHonY9A6iofldbs/thrOb0Ijrl76bO
9vdS+dkD3KR75LKSdhQbdoOuD7wHxbvbmdQp8+0yBEGalDoLbyS76wPGPkEoui1OSMPigwtFvrd0
Pd7x1qsnNXjzvK8jsf6IqQrbo4TtniJftHsxtN5Nj/rilkzR4UuZaffG1FVz77FD37Uj8zHl6Xrk
BerGPziTM36Tva0ubZxnx9ZdpnPld0Sxp2WaPnRgeResO/M+lghut2NTSnuDeLHZpeuw3nOQzt7t
BvESJb7t3lOluLVLMhjrJaLCxLOjVu85xkmfgphIfg4j0T44shT7lIKkidpcab3Nqc2ZjiB8zk/0
p5Z3MP7hUZW6u6yuKW9rYgOOjdcqKlDc/rIsTvlVBAsJLGPankVw9ZGJZnSe6d0w0YYs99oC1LKb
O6tly4RODr74NTn2Da0FwaXw3EgdnTZnjhZj9qMnb+PeyeuVWL2hoqPZlZ9I7M1u3ChXH73ZWGdP
W8txXAOSOyzW4EOYYSwLTaYvnqnXk0/8XcOhI60fS0nyGo+7GG+7VqS7fm7z8LIWlex5iOflMChr
/hBFTfhe6CIs9oU1Ve9gaOp+WAQZyIwGXzTry9e5n8OD67fqUrXCapO1Re1uypE6GNPL/C1zyVHY
oPgaX0tR9DcEx7v7EQHQsgHr616tVJcXNBttSMt1XJ5mZNcXS0SCidl491Vfd912barhjtpmSnFJ
riFsdvLq/G51q/jByq/xKEudk4+Fz5Jn1wnN7ZBxkKZlPO4+5UtUgiV6wx0Fp5a1041VuDeD319L
AeP5KaCn+MXxV1YXlWvrnSKT8uTn3fcaX+67wTz4AUldfIfMvqAsPnTkWWqPUEa71o9QY3QNNN36
VK1KvGuq48ddnCqCqIKhmt1zGpON2GGKbY5t23UkOC7FQvVDLr8EUO83zjVxbueJuX4MC9eeniM1
WPfemNrVpq9ryDpCCouvYum0ul3bOv7aTmJi4C7d8OJVhHbetVbU3RSMcqCcrR9dLFqpD4OX2xoN
it2/+Zge0h3sxXgarM78oHR8eCuqSV+oCB5f6ZzmhooxDKxjTpXA3hiOVRxB56c25KubiCCq33PN
E0fITv9ArEn93Hp284N0WXOpp77+MCq7nlnCO/sxt3NziSZuxU54xJAmjojMaVqW2juowXdZDZzg
aQ4XS25Rzs1fOqtdDzAUNYrgIM1OE0fT9o68ZTlQqB1a7ZbvQN5cAsZemejIGb3N3MQc6HW3MNIP
KdUVbbfSFds71c3S43I/Fo4YvzQEzH2tOTPYSWBX0ZcymtXBVnH7PUR28VmKpb0bHHecEFM77b2M
nGkf868/4aEQ1NGrQFPdbqzqbHAP5lzN5lr9EHWPTlAX4QEHaXocFl35hLOEzTudv+2D1w+MjflS
P9IbMn9z7Vk9F7N2PhrovQ4PrEVeEO980IeIArcfMnPzh4bDoEmytRq/kvTgmQNeB/fNCSlnaFtU
TbswosegCjXmIzdr2wNsT9SjzycpKUM2cOGII+7WIKVxY/DVEbbNtDtLr9HbAAZVbnxs71OiRlK2
kqJp9W1KIOKHDgnnPhCeehC5xvHKDOf4nNIYnhMIEoUpnWS3OpGtv16TaMQ9KDdh9qVu/Keoid2R
yNtgCBDvGM5B9VJFnLFHB1DG9eSuaIgKeerHqnD3wTV8JVkp075W9w7ki6z8X7cLjCuqvZvP+W1b
sqsm+BPAr50JtG2biWI4s2npT2zl8a0X5R7Zja4n4AnK7jI4nf3WeZ14mzEZf3KGJXwOpMruQmQ/
HtmocvkOPOU/sBCZfRa48sbqc9r01nGYbrO5Uh9w+3sf0imvLm0wiltF7/iDHZSl3HXT0E5JYxn/
KiDyg4u1jNHnvCL3b+sIJ76dV3/91HGsP5Zd2z8MNGx8HfOl/9jpVsS7OM5oZmmJHMBDHGXpcYyL
l6j3y5c8WNbLlJXjUaODP2tXBp97ZE7Y5K8xDC5Byp8RxamjIhJNb62+bh9JYBUnNXo0ehO87ZEI
pMGMGhKkui1ZhekdfnZ0PJVnX7cHryFHEMfCvgXnk48zyegg9H4MPmG6+nMgpqkk6Hydj1HqrY8B
0fu3DITju01xIsJteJbHjH2TTWZuTu4S8pQy+n/2m7V+qeLW2i8mFnv8/f2+KefmaZiICNpWOfGM
Xp713T4HAqDBWpTzRXnXbG61TExg1hy492XgZntujrqZDGax3SI661o1AYRzTgsmCwQHS0ipThab
et9mdkG2K/ISsTUsX++h4eZJZ5T3ttAc2WRYihKKs6vdrRSmE3f5gPZ2SzNPeckK6t+SLqzKB4e6
9tMwTYxUNqmL7r1wGr6pkZ7iC2pd6oNUWoliS2tOob5nXbzKD2YMMqRIJVNNS3IAEMXJ6evVudS+
issHrFfucr8UddrXmwnNUXokziJrv1YFLTGYJ+CukqzwoQzlKm793LY/Y4XizJL8q3VUi0PCU7u1
I+73EM9KvRBW6Dfbf1UBgVL54AwoBoL5Nqy78KEUwgs3k/T9D/+qe39I65XtSKNu3o1VnD30umC3
5LTyFHiDftKu7eDiE/3uJzvw/4kSiBIIjL8hSsxbtfxOk/D3f9EkdvRvkHU0PBamEwjcK//+iyW5
EiEgW5jvkfrivr8i3P8hSbzw3zQuEk7iXO2WkCEwW/8hSVz/3x6OdJgNNMp45sg3/h9Ykj9IZUTi
V9cdgSu8P3w3PwvH/kIUtj7hbWxgDriumS5FaL0F8WRvKuO4x5WY1E3u2/k/CM+A5v98WU6kIVo7
bOoEH0MaXknFv7wssQllD0JiYWMzev2opqhoTrWIFIF+JKgOW1SqRXDTposifgDQKLxfp9T2k9Jj
/boUDcfKs5s6Vb93xz5yd8wt9rwZCX1aTx5igx3peM43O3PsdFuUGf0SaJvidl9UDBevUdVaYI9x
36mzRcQQTfOcYppd2I3ztgTdci+qrDUhIMpRL1k2LN8EwnbyMqmz2tKFF3cJ8OT4eSyLfNxPnkS8
6MTXtpkCnwVjY1Gm25FpJTgj5eZx9zW596dqjb3PvhjW7CCiALcibPNEVjnUWsgplRPQvGkKaTtJ
h0yFLlGflIU8iZeSprS5RB20tVf2kksO3NpXWxNCYyRO33sTQ1k91x90LNHfttkYH2p7GB4LlpV7
J8sihF0sUa91bd2Lbs71VqzZdKukbvZ5H4xBErhT+Lluau1dW3689gGxJiVb+ItnwYrhLi7BQOi8
biymXpTPHC+KA/Ne+ToRPP4yW5wUwHECb+OrWr1GKurvrSaa3gftSY35r4yA7eXKB4W4wZNqhwvG
dKvV4KMe+IaTVC7hlNcEQzvaGFE79tEqBT/vUYuy9NbKTyRVWGGyLtmUEffoPo1pGfp7t6lctWEy
M7uMxIjdOkyVS7pJGXfDg1yWcXwi5IfXTIOaU4Xf5psANQXlY9r1UGaDX50Ladq7UmvhnaO2ls+h
19rEn2Z6anaLTouvVm06tOqy8yXVV+TqHmbXwJGQfogrGg09HZaHSQw1mtEuc1T62BdinL5Fbj/b
7plijOJqdsmw/Z4BcLBFGsTglIN3stAPtdWqVyww/LEUHvd+9DpP742kHYx2v1C2DKGdvxC7RktW
U+5EGKf9Q6ltt3zoXHa1AwKYmbHMmZu8ABhkziRxFasjOSog4uj4lrYZpu1EzNX0YHVDU3yslZNX
Nz5fe76FQXn92xhx9OBayX9+GK22HI9z7ACAk5zOb0YzRyrIti+j6whccZxZ18SeUn9kvIgbkD+/
TEOSljNBQ92SUaS6V2GQixcwBq4aoBrfZheW5XWUY+DuRDfVQBvTwKduXM1/zCiae2xUI/NkGHWn
Xxd/9hqsYbLd8qS0/naKQqCzYcniZtOMHv9eQEZZhzac7fLjWPU8KpaaqcmlWKwqPoUm78uHiS21
fjayrfWuryXrhsHF6u5gAsg6oYpMP0tGRnnqlqJYth3EYviVhNIi3No9+uYDMUHBN3Kk5Y8KF+wH
47TKf82baE2KobUJIbaBsEjV2otsjT65gJPxfvK195x1MrxrB9u67ZbqCO0EWgXSbYGD5V1fbJ0R
bwCk6UHq8FQ56P+bLEVJATm5XzMfFwojoZ9xr0wzJm7HjGzGIXyIs7Z66PD4bIY6kmS1rnK+uKWd
EjYaDcxGjpDhY+A0z8SJ/cBsPpmklbN/sPBmnTAdNpQVIllPFuneIdcGBelib3pqbFbCSjrtN8BO
G/WhFTxWbQ1RylgXZv4L+I5Mmib3YBzsTypqv9fc6Nuww7GRe/ZRzJM+LJ1KT2EzvDemvncxpOwc
QyGElYonUcSQLQRobuPrnYmXDhQy6s79Em87MX+cpDkoY+V7ncucVOApvB01+vphhBboOXguEr+K
BmkNhvYOCpuVNYpChTY8k3cxoSxR7e7Qmq2bKnPoqG6xxJaFVJ+Rr7mIiz413nK5mkM3pHKehzU6
BFbenQ3cWB+U3mmJuz1VhDcrEofE89gM3GG9ZC2IeYYe6eClFd8Q11zAO1nAhuIDu9e07alvTTKv
PjPCPVAyEO1ZpvyXNVye3SqIksHKuh/QUkef1mwOT+tNmo5f1CqI/22oKIASwURARHdil1O0iWME
RrA7B8oTkxUBgdty8nXcb5DMJ2i/I8G3aOV1vbymJfoL/MzclhwbbTKC5yhb3DhF9kyd8p69fk36
eMF7OPdmoTmt7jCxA5KWGyJmh701utFjZ8UAwq7pbr0sOGclnbND6j9aapw2Oa4rwh6Gl3EMHyHN
kEFpeWNovRijRicxEgFHpizVc1wTUFscMvzdOyDf5cQZ/jNL54Qfrdz3punmR1+zKVH6KU9Cxe/F
qOcp8WC6mw05JhZHbNbChOdoeoyj2Wbij9adP1WPGEiZxDPm/aQ32hAlHS3N22RWliGhwlps1TxS
l7v6pHUW3djtVFBNh9Fu/OPU0Fy9WOmEZYXibi5yP0mZeEH2OaZbjqdg1UMi7EGqbQ78QiAKR/TG
hPZb3NXZl1goFWyCsI/LHQGaN6wSy32vcZC0lR8BDTb22SOR8i1PdW/v63xZt0NdlGa3KK7WDD+R
hX55zAKkvQmhNarYDZ0TPWuqF4okhz5RSbp6MCBT3O5S9oZbahwr1sFszbYErurXOTf2ETtF+EUF
Trdr20o+UlngsiWU47gPaLW8H+z4jTSHahdlgmj5TrZVebDtrA3efdo/7JvY8M+SCIkmYc4MBhag
+qgOKhgRSBhO7dkq8vvOzuYfMaLPbUx6DU2qi5AvfqRW2rrSItiA6xNkNNiEnCQl/iC5ozAzGMEO
U3xEjlUt3HDGtxerqMxdjVEKmZiTWxHy5tJ6zGqKt7aCvhuVACuIbVZoAXOdIzAhMTw8DGODHHqE
+K6FrQ+pM4XvsTWWx9WarDPmzHATh5m767UxZCFfexNwcS1sgcWskkpWHcts0DFNxP5jqHwNdYIp
extoUXa3thOTvZyPYZe0pVZ7vy+7p65b1qPDT6lCTVv7ZNFjuVU2Ia34aLLxK1a65eDqwv7cKdsl
VW6tqpXu3znvKLga8mPWFt5nPeDfI8jVOPtsRJGR1J20PoVTfOhi/Cyy7gw8AiijBdiOFQcnHrFE
iBkxkWGOJVzwnDl1+xTN5C+y8Wy1Jgw6sUZ9LAfV3ElCkjamCQ40ENgHP3MQBPQuiH+v02u+AbWJ
cCJkmnTzdEBK6j7KypNHj7XyaDpqF6TbVnA3oc/KJ/2EkBV9oemkPzSDGzPYVOPJ0BGcuLIMHul/
XB+HfgDygHe7GKy8szVXJ1Vd19sOEnXAP9u3O+ra2jiJOZbfFuVgnQM9rHc5GqGaLJdCWrssraGT
6cmtd4Uem1MUj83dOsf7oeWYS8FQQxc7ohYebVDz8IPByQaMFxTpATbSbCOY+Pel0vlnq0cunvux
qk6h7cbpMRzteEu9RER9Kk3Iax+0Fx3WFpUTU/6d7VPbSWTMdAinuT8vOQeIiOTPjTtNHlYlf3pk
6RkAEXPpH3JLLcy4CMiOK4DAYRQrUhqyvmnshKSH45DzOa3gAApI1I/GdcW4KQuxHAttFReTFWZf
O5P7GnOoab97bRpYG8cE8XAZg9Xcl6R6f1KIm7y9qoOA0luPnogEPbZ5isYuunX7EI4CV8UHTo/A
iyuEKcDeyIEsmrM20dXAMr14a9sgctXz82TZ48gDTWN3QOVFR37h4nzJQtvf6D6g4t5aYhedZI8K
lCYCOs7HyYoPqgFoT4I5irZjB8rawa+9q8lR8DFlPuabPnDm+2ACrEVfGcn+GBi/mtDp4Em96NV/
rMwKuz2XcdsfetQD59x262cIH29DCiAm/9Kdzw38L21RUQFOWXzF9GaD2xubwoY2FgLnSd49kqE8
nQu/SZO4d6udI4Ejwb/p+6uyyd6vnk7LDUY9OjLAklucdqDlG+jIzNuNTDbZfc7tJwVXBREeTY7k
iY8sOnG9rpYHZ6DpFq2DfSTm4k2P7fJBYgTHJzQVZMoydpmNZ1R1O6WNOFFdkN0MV1XIMEog31xe
WNXtS1Sv/h30hU2YTuAd4qhz9iOewltCJB3UOU24cyIJM+Rk8qM/dUjkOkKi28Wh/5jj9FbDQX6N
hhWaOLD0zdxX46OA1Ds0bfSxcKvuZJHxcuP7dfOxnzu9X9Usd8bK9EF4zZXAINNrzxqktmUz0Fxc
WwBGCnT6tgSa3RDSTOZcKyVDPRB0goCPxambP6zjHBz8xmLEkG2X99u8SkkU9jk87vKlG7dXiZ1K
JJv9YXa68WQ1GFRurDwV+yuycY4aXFUbHhlx7Oqp3bt9M6Nk4OV5UckwqCiAkBt3aP1PgSbbPm04
YxO/ZbaDbxw28VVfT5A4YdOKD1waO3tI5yDY1wjtqYRuwk8Z5RE/iljQ6Gosa72vrf6ew6KmhJV3
u4sr4H0sIggayo52ytmIIb6kBWOhCExrXeCkCjacyONuUd7Zy379YPoCaQsROvGhmkT5EITtGCfC
wymA7FOxgBHKkblAx3Z+HqqpRRcazuvOoQ94Q+C3/Na167KrB0/tYWaIXZ9qkZt90wXuuGl95/qF
5Eh5mUJMsIniGHkjSMo/LbpOky6o6IxoeeQhXb33gIraJ4Sl67nS8OmJRS9OMsrBW3bYWh1cmhwm
ZJL30ZjtitYqt6DX2QvV3t2rX2UmaXrP/WC7gOM+ts6TE4XyjPfT5Qupq/p5mLQdb4Jm9hbSodv4
h89S9Iw+93sNd7lvxox5N3f06G648wT5auCClyWLkN04BQHdvWXCrWvY4BgDKs6aiDY4i5pSXfLV
KU+6l+Ne9HlXJ2UVZQgTMH0KWcgpybRp97wynSXyioObNEsgPNyt8Af9wuZWn/TUu3fDOptjjxBs
gUWJlUM8SlM9xUVW3qLjkc81fed33jJ3yajMytWPLiG3Bfi3L/edu8z2LkWKoDnr9AwKvVUW3ypd
6T0hFNL9ugxu+VbVAs4pW8J3pNbzWflKHYqmQWLVxxLGJO4LO9FA+Qt7cTY9mp4K86TKwxoYeLT9
pzWEVEadhqPZjNz0Tcs6djOVlpAUwjeSAx/D1KVcqCPfr5VBhjiUsjw4tM7RGmtK+Vg4HH+goJ3g
S2Vn1bABn6lhL1alcd8i6qqOoVOu9p5M/fB9UgR23JQ+BfObCKWWe6Isunm7thy8WaJeP84WqZHJ
DH1AZsrEXMrVy1HUTV5DnMlIaLZ3Kctl2qOJzeERFMMPe6i1Hnsmzh8MZ5ovaphj9xdSSArArWzY
uj6P2OzW9itIlJUlxp+ySyjd9KWrIUz0YLFzTLr9hhTYymmdjTufb9ai30qyGs5T3nD0Tn9iWX41
8ufaUs1X9oUxP01ChI+0kFzbpeqg/yhLHLyJAxmbbzrglSPyzRU9tlQjjS5rhzLBmp6lESH1oD1g
gEn9LL4ZVFSdi8qmT6HnB29GtaAIPhI2DknpKAAW5glPKS7EqHkZSTv09/lqA6UJEwIDlDQ9X7lZ
TYRybNwq385ksaAMYVUHk8g9ICtT2/LL7CGW3PRDC+xAtzXAU1Tnzrxxet9WrH/kn226xhfv/Gum
fn9k1rDLSr3S+ZdeGq3SibMDbsISggd6O1E+e9RWZJ017gk/pJ0jhRDcebr2Pka2XjdsTfw1HkqX
b288rjxEbl3gxP758+InyORfgRKHXqNTFGXnjA7nJYmLwKlOMvUt+srKCYII9IaCCALlakCG9Yik
fC7lBhxQtfd1VnAxHLtYLQRyK37xSxWPE/EFEC9gTG6Iq3Qf1jS0J+1MqdkDlZxc/gXa4bXxfK6V
wltGhUGEnW1jF7WDTR5Mu/3oOo2mqD3z3Opjby/c/95gK6YFcWAbwjSz8AZx9rvlrcaL3L3XTQje
UqfAqf/BbQCruEgIt8F9hrqX1U1eCLQWTRem7S6ukYYcrUlYM/T+UMyPc9qpV+G7/ALHL7h8v4Ac
VzEwX4TIfb2ftMU9CBT+/n3gzvyduJ064i79zA4OC3wn+NbUx1yooez5SMjL+P2G+wTMqlTT3gsb
r0sCqmbXl67vav1aheDchDika/vRcuDvH1kvs+KgcYqVt8Lr+VLmnNTRehAKSQnEEhVDeWez9tQ3
IwlOL0z+GuNWMKf9R1tbq9pPbdhed7QsNYeBUPRu00eK30aYAW+0n1q/uiPSgXcVRfEQoN+JBSnk
tVk27Om6uSvIxSBzhfcwX8hjbEnPC1wwOlzFdKpOQjXDTgYtH3GG/sNC4AzTzITUZwc5+MSmaq++
QYdCP24/e58kwliOqVFxrH2yF5pwrZ+9dJyC5F+Wkzdga55PtkHqh5CfGAnZ7Qqt7r2JrLMTMhn/
9S8syn88HX/1cFwt9//PwoGtBAOJR6QQWSgO/tk/O+CLKcO2TJYnsk63u0dZLW28GXRjJdiRerl3
7aE2/2Cd+i+/JF9cAiHp1ybnDAom+IObYJrGrcL0lAShUK9AdaO1QZPrfO85320dlAZnb9Fdl0Sj
aEi0HhqSERZQlsRMZfdYTUScbOIRYr5wmiFpZqtGbNL5X7oJw/0WKR1n425V7PaLcZuGk4uJPnrI
bZ7CzsZ4i7vybFph99s4KPp/yiy9vv3frilPJpnP3tWP72Bf/8MWswpH2ewf15Ugyy8NioxTlpfo
fVx/fugnb7p1Q1zXRZt1z//j3Yxtl34VLNBXQzu80++kT8ejNsqGerCxcJgsMUSfgIjz77mvOEGQ
8kLm/N+/4n+FLfDsQd3hx7iybzYupd9fsm+kHsZrN0ePR+Juvcr7E1/E57lYfWLd0zi6qcsuvBf+
qM5N1JN9088621jYGcRemJawyTx3nf/Vn8ctIFKSLzjsH+xa+MelaIgRKTt29KSis+ohImr+och7
5sXeohzzH+wn1zv6+x2PaHchpdklgoen6Y87Hi9p0KJdH5Ixrjld5ZVyh008Z94vn9xvNrm/Pq2/
m1ygKp0QUg3Pz/WbRRgxnOVfSb1lXClFdwljji0NtG4BFlW7vs3xBoJlsDf8/c3984vMyznXYAQX
OhTQ/09PTbPYsmE9ahP1c+ORs4RoWBZQoAPKeRb9CiUVKBQbAygyUud/Couyf3pR/3plCQuxYHBJ
8oI/DX7997/QmHJy5FxCAiUM+N3wkutqFbvC80wA3Siye2YOb9wJrJdQAxRDv6Z4NkiEyboBRC/s
LdBBKwMyMTCId7RAtWmSNiFlXsYpsdsSwSOLTWpcr914czqCshnWj02XTZJDBs6wI9WPJIS0Il/Q
D7NEV4iDW4f+nUxRsusPhrX/Fwfjj4aNFtLgOoR6LnySg4erB/73KIypxay/RNSYyUvDJOvcwToE
aiuqYFmOfWUs81BNMzcx1rPdfuRwwYYKTQMV2BUzm64ZLX5x1FhceY3WuN7PlrxuvVPK/7ajaMtd
2ab+pSML9jGLF37aIdL3k35ywyHxWPHsw2T5152Y3Fe297HmzeMqlAeDw5xfFbnZW6Zmle4lDdvn
GgNfsfVMOBCYUlLF4lLAteEaS2YALBDdeTBBmr40cVoxmeR5/mntzfpI35NhM3UII8ZGkUJBOUDv
1Y3sFRt6FY4MISYS83rM/WUZvvsVQYFHxKWDeJoLNzWnpR3Z7pFTYevlcSps/MWRRJCCmqe6cSn0
a3bO2jVL4sWMVJulx+GzLSlW03uAGnkQc8G1TGFu1mOqM0rfTT2zQdfYUyHvfs4jflfG8ozmUcx7
6RqwVN3Ms3WkHsaqL3M41UGCawL8eogX1e3Gn78ByyMvQlCVLnCsTLiUsRlTsgiR9/MihHzoEM67
50vT8mZXhvxiM9Vjrh8MYfqvJEAYiBo1p0DNU7yX9M1dK6z41hQWxMYipu4uRQiIvlaVKRS+iN7S
cr4lxg9aIWiK5Q43JifISheLOP+a0uYJtQ03dvQS0Y311gPa/GEjbXvEs0+GdEaAIdU+dbNWZ85N
zT9te38oDvDfsVQwQsUsu/jZ/3QLxui2lGuTMyi1ZKbPIBAf+YysUwirhEXyRX5HwRO34O9XqT8X
X7KEaHfGHB24DuPEn9OEM3FATKMJcruKWd8zAba8JUllfvj71/lzVCJtEkUIVhhEAgH94NfP/5el
CO4pp8oAJAQ7OUJ1mzGfh/dK8VZN/zpik/6nRL7rcv7b4hejXWF7jX38+haCjt9fESjXG7Fb9onn
ivBTTuX498Jy++6YF7FfJ04TclYm5NrCNLLa7WfDY/jj7z/0f+04Mbqan/0uiGVQBfwRiYCDoCC0
DfaVDu34fl7SSaHRdr8T281D/fev9V9fIF7L5xpfcy4Jdf0zGjDHlOD1Xrgm89qW776fYhTwcgID
k3hsSTZHQfbtl7zhf3/d4GqK9kgdimio+/0ykxfikKEcwIdN0fzQLhyOQPDCR9ux0ZW4/vKtRoj5
j9klP+3Rf729joUX2w5xrLpMxPjnf39d9qIm0KmNvt0y1b1laX1ePKsniWapmmvbJEw48rr5hy9b
+5svzFgRlhDpN5270mB6WrpvTlsQt4xexL+UMHvLVlHg8BjWo/tRNWF9E8+gjgSCjMWnGD74rZaO
ZbaYMCJS6EDd2AFpXie+XKpp62Tj+FbJ6CqbwWZ2xpHut4hB4+XNRb1OKWEhuuKGRRPqpwva98mk
ojustjOf0Ec0Ea2LIbvIgq9Efm7jqDZmk3sdoUBJIMLaPYQ/j7102uXZ1kQKh5Q11mF6MmBVw/fY
MawOmijrq6Z49UJormYUR0QvLKa5V2DM6gchCUb+eXyPe8XPm5+gj3AZ929rjuDRgzcu/IasUhJx
P46zDzjEbYjVdTJWfR6CtIh2OjIKBc9Q1xxFHV3zOxtSi9nP4vUBO8SKtCPyEIysiuW8gve77ca+
jvZy9VhfKBcV9xi146f5J0CD7HJFgZ2t3wrTXJEvGVv32q8NHwSpDFgwGvltXETzwUcn2m3cBm0N
XsofWOuI7gtKYks3Dr4+vdHXjvcb7RcgyX5JF6LqcXIcKeRYQB6Fn77IvGlIaq+H+DivmftZKzl9
8iM2fDLuAl+dRev6l6bPvGyz5AXlrk0c6UNfXL/aBkXcEQI5CjY439iZFhxheATmaewvulwRiKnJ
v/xaqvFbcIktqMPy5hdWU3iy0a8qn663ihRsc1KZZEz69fdhaKLsQkZHGN1I00feTQiU+Hn2W3dL
2tesjmYhb2RbVlq8YlwPnj2kLoA6npWuX5CmlByYRFuDTIoONJvp8+Avsb+flngyeyq9r+WA6zCk
t0Taombua6O7HUKMur6Vk17IeP4/9s5jOXarzbKvUtFzKOAOzLBh0tJ7coIgL0V4DxyYp+8FypSu
olUdmnVF1OQPxS8lmcwEDj6z99qzZWqBQGSjoLIVXMy/SVDWbuEtV9UQN3uLiHnqioUnGmPpJgGo
xz0Cvvb7y8261Fj9xupq91wv5IP+1+fN3x9YRGFS1cJnQAwI3ubvXVqFJs4diMqFEsjww2OQmCu3
9YAo/uP7F/0rtehDjR2g/Dsp4yfCxj+SN/5/5GlsiKd/lolevDMrfv9JJ7q94DedqO78AleOjSN8
YOAYAHf+0Inq6i8gNgzuKweW8xbR9qdOVDi/EN1pgeW3tqBkdLt/6kSF+IXSgz6flg9YHSanf6MT
Nb+5dn95HjAoMOhyUCKCLIQ4r/3tWZvjyqAzQQmFXrX6QgvuvlYlbQtiwy1TXYl/zStJHsLIomHr
c3Isics4X6otpIud5hbmk9WxlkFdAQLHQz4QZ+FiNOs+Wxu8GsB8zdkXaW6roYY0HiGaWYDMjty2
fmXWK8Ywgz1tndx5ZDfajRLxQ2njy/JzEaGlGWl8diRtRzqSnNzCXzol+QOf2hZ9Uay4kUyasj1m
OcJK1sZBsxDXTJyhGE0L5GoGhRgZyZzOwrpNGX8lpjp5Yo7U1I/YX74YiOtZaVhMajHptF0TGkZi
IJaR+DGKdG5nTnsLqsdKOK960KdcOUUa0yvRT+uNdKPqq18T5YS/ijA5yVKODJDuNhI8AAJ11Xvc
cIZevJd57YzPizYS5GLg0b4c9HK5EvqygI3PzOVpWWaRhPPYJEfXxaxKWpqjveJRlp1vNaZ0d20V
rS9dAmAiAFTSwN/gMPOGXMFIkBuqMwSUywWzAKl0Wuhkg/3ZkfWN+2FITB5aTSou7dFCEdOC4Ytx
MXXjF0L39Ck2+TVhwZAn96veVmyfKV1SsISesM0l7qakxIb7uDRmZxCDPa3PtFMUSNWYoJZPJX43
lraR2wXsPeKnQcWmhptpgwp0ElSAZ2cWmqfGqqcBMxXdFnFBwsTQUCR56S25xpQ7WlmwTUs1jH5M
EPXnCLvpZDRK6Xi4mth2S5mPVz2Z9jokXv4cvl58aJ45RbPYNXg8Tljexw3iOLKmyqN0Mn1NL2XE
cWyLOKiYY3cHyTD9xR0comfACRipp+gyGGsF357WIPRkAd8yc1X1frwYpZFXAQAe3gOSkhjDrWUv
H9hrqxcabIJae6eeP4DwMlpcWnrKYDTNJA2A/c6RP4wRl1KHAMnw9RF8AOkVUQKfoG9vTXybz5m2
qhU8VJF/bitqShes6I94Sa0kzJ0MBWrbxlkOsqIC5wac52WQbKQQnBaWJG9x++prbIXEYbgjYUEz
rqBnc0FofGBxFn+pTj4t+2qicwwmAzL09YxGB1kKcY1tUM3Nsk8Qarq+hqANnY3eJU8RYY69n5lZ
BD2la1wHVq6xPjU8yilSiW1N/WHpge0pXTcl6Md0O9kpOboGv4TEipovA6HQZwXdPkzETsGc7Q5v
4CaN58jpuiigkWGh2DRd1F8ahIBlnuZmU7eDwbXg9yztysRoXo/dkeFXmVH/xGiKXTPND47S91dF
Rt15vSDLVQ+Tra2AePuV710jurb3zS5CHNQV7sq4PrUJeu5aEnkRZwM48RvXJWS31ft1Ps1aEj3Y
hECztAQ8kwRpk8pbp3Nq7ZQqZiEOeB3N6X5u1Fx76x0900Ik9SY4jAKXV9B2a/+CQkeYXlJPciYS
0eCJri9Z1/obuSBDXmJleZch5uNLuk7xlUS38aRDzGcH30tWJJ07XYwINbV9KSszucoNN/0arDmR
XpK7bLWrGZPHptkx+j06E/WJUC7XwSU8u7/q8Uo0ywTpTQ8KaAvjXnYF7sc5U8yRaIbKPmEhzvSj
0lFC7pxFVeP7VQd4BGClJ4PVtNhnIInMxVet2JIlXy7rM5LW1A6rRgzPVRkhiRzpkhYPcepahHMP
RwTpN9MZ36z1IQ/R7Fvxrb6UISsKFPcl4McPgXR98eTEQ8SfrQnmSOMIoN9GlRoPOFbj3h9VbcTs
p9pK69WZBN6jw3ZjTE5cLHqCpX9uzaL/MCaykpk5tr2No7tW2LhphNb6PWk6i4czBp1LNEejFtow
sdPdCFM6wHGmZUdFVWyotO1M4ZlFLNQzydl9RPvhGugONU6pNEpwovZ9ziDOMVs7RL4Ej89pGigy
0IMQQQA2mdhu04S/pBz72l6BN//RqcT1cGRklhp0uA/7U7JGA+MlUETAf+tm+NETKKx589CuDwrJ
HA+97Tj9oXScV8VmKmiWZrbuwSpbpzXqpg8x1vF5JEPF8DKmbRKpi/THeq4fOtMZLicUVl9ju7jO
nmDv5TCgWODU5Ff8aDLRfM3KjNK70FSbR8hUSB1mLloxbwKThaKriOc3Dm3b8mwuyhcxmJhPFUZu
d6tjDc9Oq/W1L9N5vLFNs5vCfI2m5zxVaqZvIOY4frlK9nbJ97IBg4rjukSt4i8qU8pd11p0s8Ta
zpBZ8kXXAw2rS+Vpg9ybXSHua5ZrcVBKpoVhIgp8w22lWOAqCNp4lU2Z2KHpRsl7jrrMAfSXqYW3
oj/qd07EJNzHfmwQX9ll6xd/D20DAyrs52DbKfhRpWRtsCCRRU1WdfN10iVLHFplRbarXG39jVm6
5CCv0Fb5IpHufEymaLF+W038q+r3H0vbnwrg/25QOUrQfy6B//fmph/f/wOs3H94793H+PlTPcxr
f4fLWRrlK6FghIlsuzhi9v4ohxX+FX4pki45vXBCUZH+WQ9r9i8bXsthxUTtC9GWInpb1wGX06xf
KKwNFhP8LMxzNDb/wjelU6f/ZfpFki5XEjBOwW/BOAUS9OfxyKgDxWqyDrAcI4J7boX+NCwOQ3i7
XtUPo3Hh/guZRzuEeeNlBSSCQ3FaWqynMrGPMo2buzSfpkPi2O0nU6fYxQnguJ2XDur6gb62wGmh
IMG0QQVd/eUzv/mtav/rpsb4eVq4vXt9a+22jCWV5ZjL5/7XaaGyeXiWWkxBMorlHVirfp9bYlG9
2YU1nCBfeNJkQihLEVFCUCrBoRl3izptkAOmRcduLjntFNvRwONtRi9IQLnxGCcaslfVxmXrLDcj
iJIXA12AYN9pKDdyTtEZ1NEaWhiXeOiUSvWCrLlSr2OmlImHX2i5xTyVXER6lR8Z4xUpo2lzZi6w
5O0eKo/8fw1of54h/v5RWOxvt0XcNiP++aPQRjprQphnQA8CXBMkW3Ta+CncRv39nv/HBdnPI8Tf
fhVif9KtftsW/W1BRtlvMrPLQfTbSxcyRVNPvRIpOMekw0w+svfxWN1+f9X/c878Lzj9f7nqNzjm
T/BKBjjJ+F79vd/mNb/329YvDh0tC1h20RBM//OA2fptgQQAdqTG/p9ckD/PF2GBvGTojdZjC0rn
VX+eL8L4hQBcm6EjGTjfP+7fHC+8rb8cL7bKVJ2G29I1i/OFq3Nbfv5lnG9GoqCUE01g21HjQuCj
jOH2MPV3JlgDLLJSLs+0N/Khm+c3NAsRcyfGsTsMkIUWLlpi90EOp/iMkbLER9yXNpVhDTsjxK09
VOGYttK9qWLQ1Od51pSFXDJrfvrLR/5/O2i+x+I/jw34E8CAWgTT6YLV8M9/iMMm2F5J7QwsPCbu
YY3bZNw7a2KupxY1YOzZeZF+gpV2z4i1219TugjcB+3EFp4aOwbshRyNx7lYW5QubHMfB1RCN1Zk
lgacgLE4zwzNs2AAN3unxsSce5rpWulxFsA9EAyWOjYTxynig2JDwDr0+oDZCIeMApx6imMmwm1d
vEQjlgLWYCghsX1nCUqAbNIxWE3lk7mks83mUy3QnK/ogZgcDMWPxklKGU6xPX+PUKMIUmhtoUhK
B4kAe9YhXBAtnokQVBVCqHSRecKmFdCNJ9Er2L6ZK8wEGUg3NwkAw4JTJ2clC+rIaXY9eRlkhPEl
X8z24Nxa4LvBBfelOoZ5rzPhkHWPqG8oLa0/WG6sIO12pu4CYfDinBjTRCAtep1KmvO2+XRSuz21
q8v0FIQccnWCVY8FQ4NXIC4EfqcZaOWDorRth/RdqzBXGO56aLsxfhVMp29kMkAUK2Y9lQGVqbwi
1ZGiVR3hlMI9WEFAaYWNirApyYTEohWPMbo0LbsuU7xF6A+q9TMCdTdAXpyMLxQhtI+yLqYHjQAx
xccAqv8ao7ylV8w7dM+Lkl2hUMn06xr61UU7WZtYv6i5AybeMZk8HSgjO1Nx2KrT+pAbsTHd2RhB
STfFFGXs5lb012oJjQSP4go3rzakbgRGm4oLp8ev5ycRhJ3AYdge77TOFE8VpKofUKSp+azv+s9C
xVz7+nddyM/Q3+zvajH9rhzdrYhcv+tJ5bu2XL/rTOW75py/608MfpSi31Wp+12hqt/VKpcglWvx
XcWakCbfp+/aFpyu+7pYAxVvgX2t9qrvShgy1xQHUyagQlEpQ7inZla+62d7niYg1VFBXU1DQ42N
OIt6O91Kby48qvBpK8hp9KjNi+86HeDb9ExpRfXO3mC8cb9rekUOw3O0FfqaMa/Tg6H32Uv23Qmk
jODfzBYulJcoCrJp0sZH3RdVZSXH5bufcOum+VK2JmP87jfWrfWAues4e+yQxVclluGSkV39YNGt
UL7Tt8jvHqbg7j2rW2MDktM6ie9uB39W5FV0QMN3L7QmC9i1rUHKE4XLbtrapqJBQ3x0Aa2s3Nhb
Z4UWki4LBSAdlw2z8GMZ6eT2St86L+44yuGQfHdq7nfX5n53cD0OYKygW1+Xffd4lAIYjEdYd0aY
f/eBS8f62GOWSX8Yk0Px1X93jXJrIJ3feknFHjQ0hluPqYJzXJh0br1nouqEaPTfPenqxj396daq
kvzQP4sqpn81tlY2RpuU76md6HBHwxzqQBYxne8mO3wg3p27ePnujW2IfLg/bWTkuKYYMeWRXsOy
momTQU4X39YGdqUQ8LiNse+7A6c7X4pQfnfmmcJFA7SsG55zzlQXKxfpwMwYRoYdikhsKxxSevGz
apdliM/FPbE8BvqSWFH+nDJKWXbWvCFo57ktsQ7Ba7lLXDb7PrY5umStd7ZUTRVJAuPUIco8s3Uj
zK5phMGpNgwQrR3c4QTwqpZqNzEterxLIG5WHknB+KKtvMnWgEQrKCWbAjPdMcSNr1DzY5tiPBHx
CSG2R7vF9LPALlJM7/gikgfH6Jm4VEVufeqja84hZgEpLyxO8vLTSpPVB6qqW55D901OlmYwzyXI
y11PCloldCuZBSq+0avlzOTFKQNgoPN77uTaZToPDcPGaDJ/CPwKzMUcZ4DHhtPUr1EeqYgwBv3e
xVRyntpieUwWoyi4yPvqFrC4c20naB1Imui/GBrpH5OsZsZYOWHbHncvBLmoJwqZpVWuu9xhjGeZ
YOBGDYEGQC3GGRhf46/iGVFPoiLViqsLG0QUaxcO6M93Joc5g5jRJdrWMZgS+V3TIBRNB3t4TE07
Y4aJLjv1e2mL5RApygrvbkrHllmPHN5aaH6jtzCpzNBo5+kcAvvPf5DbKOagAv2ceS0WtSxwmAg/
pNHCf12Ug3ROw7gQn2Zyf9xYBthPT8QK3oZ2oh/yFX0YDWSzCMLxsc5bBObUDz5S/R4hoDBBJ+ps
sm6mbhgeZpKRhqAapuhm6VoNn5WRkEyqtRVhx/9TFw/LN9R9i1T45w78vqjle/73spiX/F4W67+Q
t4OgQ7Vs0mCQiP7Rd9NAMySnYUTtxqFDouafZbHpgjIhIps9k25gWhO86Pe2G5IJzhkN9SGiU16j
/qu2mxfyo36qjOnRaPm5MAx2ZIL3+HNB2cPX7YqiAULZUdm9bsc1CwtXlWqogFvMSXbtWB7FlIA4
gAxRfDoZI/511AJbYn8E/70Atgbr2vsI7J39Cl/xbUGZeowmvX1l7YAvu2R+TkD9/IR4lDtJXR9E
w/6gFMsY9DMQAWpasZ+YDhEEYue/FuDHz9LMk5fJlusdoUJBhYfngvwK5aC2+Rzanax+6FSSwVTN
8qmRvfAA1Spg4gblosGvBuPJ7tudQNh10FVWYktrdSdzqJgfPsltTRG/YVFB+2b+ADV7A2QoMZ+a
CGRfvWJzFkYpj8To+NY4mZ8NVoJ7bOvz9aSO4NII4R2u7EYTH/EChWtkTnFrE7j+gpGoUHw7m6K9
jizvUGaTdZsVsXV0JZmEmdoVjHCd4dQYjm8LFxfozNpHHTPnENXgM9qmsHZdrFqhO9btYZpE9OJK
3byKTFD4uD96MuX2EsvqrlxIh1N1Z72q1uxxxHjAEKGN4eRjvp8vjLaZziX4yl0tc3xjZpwA4+uj
fWSxcejFDy0XYzAwjL2pbDFfSqOsLnDYaIwdFdwtZnrjGI0WDMj5d1QA2S2E/ic86Yk/d+iQxrLn
TyjGwrNi9Cx11M0B3t6TVZYNz2zzk+bKOqadwElpVQ+KUMSlmzSdN9bDvEdXVl3MekMgl5HFzxPg
QW+yBAQQq7ces1S8YoYSN8pAI6Cgcryo46TZR5De2MeANvYwyZv7pWp/QHaovGkpjQOPYBRySRmF
RmfU72P5BIkdP4/IultLGfXLibbAl+7wxURp2cSGo3ZdEi4cVFY9AAmFgkHF1QdWtapn+PZy5WMY
ijsnrkZ/lrI82Hlc7QnJgPGwBRHKYR6eNMxqT7Pkg5P5oj4b/foo1EJuz/z4LKu+PeEckDtdKFMQ
gxlvNrh+2eqqj0tpa8Y6niz6rE+naKr1HZ4D860xJiY0GBCDpGvUS8w9c2gM6bqHbK+H5mJF1xlg
yUsavGzwhjYjM1HJ5lcyC5eDoAEgc8+G4SZxeAVyWJ5VXuKvZBbHx9JA64Qo0jxEy2AfilTD8oR6
9JoYBxI5B+ppeA7r4ucdVVHFsA35pQ4kbtbt0+gqlq80axN2aRrBPAEHxNR8OetSb3c5hqofA95K
Nodo5oxy0B7N2OiOEVxPzUMgVZ26otGOmtoZOzZsr5MNuKhCSOOXRauGRZzdzUQTSQxZkwuIVLyT
Vpl7rI3GUzLVdWD0jvSypeqxUqHk7dFS7BNz5p/UOoZxbr2tTpKNm2LaDSmwaKn0LNmVANzOpR27
Rx7EPFXtluwIAPFEhpo2J1COA3gCgHcNE7S7L9NUnlSQPX5CcDj2WSnPQjPLc0SmIf2u5j5Y2dSe
aZkUT6X55GNSMDnDBVSO44TvA5iJfmABaL4nFa7r2gBXg0y8I5d8c8cnRQsvo9HvlVTXw7gwL/S1
vhSOlb4ie7zr6/xVQW4fNog6r2z8zBdJEidHJWeNtOCgbCzrGjUS+xIbYjCyWyb6TB6xB8kxKHp2
u6JlMd0tdu4pYKF5PzXfYD3lTANVx1dj0/4w82V5nPsZ1Elp2vcVyxigFmp8JrsDw8U4TfjRDeui
K12Te2IAtDKR3hnWjVSPi6XeQIz7SPWDaSp9uNg6rFnzLVYOloUAipRUC7i5vZub9mOLzaghOEwX
SzLmBxyPeeZVWOfu2GOt14azEOfZGMcceC7TpAbGOyNNdYgHovpkEyadFu1kM3XHriAz1O2nZyUX
WaiqpZ8SqFQRqyTQR7J/jDMKJ9zKmq0Ehp7Lc6zp1XG0BCJxnKsHd+3vofRdL5qFp0tIPeyNvLwC
Dy1vpjGNn9VoaMJRV97Ypg3ofYVzA3XC2HVWFaYyeqmEfWz1bTG16O5pMt0DupETc+3h3l6znUYc
2F6ZbHCw7W6IFfVsu/xTtMRLE6oxgOWYEckunpTTbLhfZJTdCD3Pw65VIo+Yn3c48mDOtUm7ylKQ
WqaVtoFdUrV2nbP+YBhC1dhzn2ZWA9wkYXxiUfcpuTqgz48sQSMPIapdmi98Ea9Jg/nVhP/0oCAS
26kFuBZAEb+mZozxx9aSgwS+Ap5MEa+plToXfcNKSGGoSqdhniVEorBGX1F48C1pO6Q41TzKjxmT
9l285i0F83gJLHw52eyzO0O75SbbaVYyEYfM4tWz1yvNybPrsciJaMGtTiyrNI7LOiHJoOJm0ySd
Yj9LGuqd1SRoGIs6+XJlJB+xFTWHwpwADawGsPCpeKt73SBRNraPVj8ZRyvpvmRSFIRxoxFk5F47
93mDX6tyhAr+M43PIOOVfT/YvempdpwHUNfFHRhT8yp2x+bGMQlMYIi37BdGUHcoXNQ9q3kLmMMQ
XTKasXZtOzas3Yr6nJCMdlRS+lmQPExeoFI9qgz3fVFPE4aJjKfdsKbj4Kngch7JjM/oIJym/9XE
iJpCH2uBS1DNk2fRs5nY3F+2Mpgnt6oB2CNFINVuHG8yiRIdu+30WTUGYMUVj/WZ3Vx8CQDFCS0k
C/EkL2ydKC+ztA7ED6jgxVQs78PS7Gx9DMwsuRdNbX7C8OWD5ZF9LFQD+5wxkDTc09BFaoXVmQ/f
RlBtWaFKYs31nC3i0FJkBYmiO8gZnPitV1ZKPQeHtMuAcDlbNqhG4KBWq+7UDf3eiNbP6bvzdDxC
5jp0bnYeMdDA8+LwnuCuEXdbXIpm8tN4MU5QjZGu07cGRgFMMoeEVjuluWv7ap+P82mF7Hu7SMu+
HaGM7ebNI2/Fyw/2yseIcckKfESdl5tlOKdD7Gl1uof+QoxH/Io6hxXzXJPcUV058bz6vbKcB6Fk
kPYjeEeie9by9VLaFTYJem4L+gXArA7KBX1jOby7zIF88C8KlPySn936tlocSsUkx2etAsdWg9Z1
fySaawdJxkXMPbJLSwQrSje6+wQn95hPH63yNjQVBCE90eZLaA8iMFYcaFCD7pZF3DlRR+/PJzmD
HdsVmXmBJOAxd4kfSVzJTt+m4opJ4FmKZp9W1+6S4Jxexb6PwQ4teID8rB+2ZY5aBuQxfHaaPgXE
aDS+SmoIgxAyIAwHRg71t4cw6ujEzg/8+k/COi36eFlSdnuVoWWhopZ3XWTx/uXZaDNPDnzGUTEY
3DAcMonNsxHbtdcwUvQaN1p9rC17MwaKrtgHEoKaYKWXuI6S4TOZ5jNUHYlVuLTCyU6eBpO5jzq+
GVV9z6T3U3bxV5S3IWkt5LLkLbRcaBcp1cqSL0wTRXob4f71CXvBTwkTASwhhe8ox4sFHGqgoew1
Y32XjJbpMQFPw36iti744hHXCufe5bumG4AVYBk5zJjnBDUTziatJbgEjnySXsUCSgGzVzaMTMhr
HLdVjQ2fMctTbOunbA7kzHm6IOu9neMsiIgVQFtUnzQMOtcb7u+ZpeJhhVTiNh/KYDzItVJQeGp4
ibiTgSecGlwbyzweuq59AOavh9rgVF6ZCn/OiuyqElV3UjaQ0pLAd/K56tyXhu7c60tF/yrWTLzB
jd9c6kAhsIpssiSjHsI2ZirBugP5a3OVcxnSW8zYk4DSQKsizJvT3+5+lcybdzFYC79uucp18ChG
a6/homaS4q1SrqYOMtNgaR/8dadCUS4JorIC2+rlNVwg53FwLIRWDCGu7E5EFEWk2LaK1SEvGtug
g7FLGjs4Ai3ryedx5XWpjRp28aLey6FVznAlVR8deHnZurH16ORMlilcmr2OVTccmjtCinjbLged
Ewit8/sMS4keoVcf3uXAyBZG18RXuKrWcuFMDP6WwbdM/aqO0lOTQjPw4io99U66X2T2unRDfZ0N
glVrLk95tZ1MbAl2+RTj8neuUojHZ0xkUHMZiFxSk1iemHAlVsa8s4r6crEB5KvS2pnzetmT4gxU
zjSOEuDSoV+n7Di2zg2PAN1T1ug8TKCfCwJ9n02k/ZTQ068Vpmq6nVgFvhWdUI9R6HekfUzI7Sn5
u3lfJ8YlOrS7oQUIQReJ8SluTO6T9KWQ6GzWkhRDDP7RtVQH66VfWN1EHKeBrZh9CD73o0hTCwVe
zN9VGPbOteJdj1TFLMonQFAc5a71JTX3Xq/zO56GQUXsrMd9eiSXFpOybqmPxTZOHEuT+7hYFh+C
12YccCNk87xPUJ6M0bB2ldCLPbsq3vUYqameLEqQY4n2c2dIQxVM5w92VPuKLh5dWOFPxAeoVXSq
8roIFFJXQtjwcRjj2X7WLDe08SeceiECAXaJpzCx8XZmP+laDDnKFSeUmqBJ3ItEn6jVXGM+NlpT
Uz9wqCL1vMO9kISrEJeFY4ccYFHQK4nlLQUMySGy0bVug2zELZddbS2hTPUfgz4+URhdIy+Mbux1
vdUJd2Hg96pn4NqKiuqnFHrgOBHRWsjM9lATns0cJnJhVtTlDlnUbYeDN+/qp9pdCZVIEvXSsNgd
UfCSzbE6za+Y1ZZTb7QTH+K40NAVJb29GD9Hhv9cxXMzx8wiC4LAKiV72YadlwJs3d5GHASPcmVB
lkFifq8gHu+hfsqKbigvTjrA4xdllcbzuvRIX61UOadZNvlxgtwgi8eaDUy87pekdI9dtzaP+sg9
FpW9MXIZzjlpeTYF5iI11I/ZQtypW4rnUikmcze66UuSDQwFVk5pz1ZhrfO/y3JltcZCtV1Vj1Zr
vo1zXx7jrC5Pba0LP4ePE+C6wBylIJF1Yj329cSG05Ka5DGNIE/sAUuNTlqop+Y1hHunSh8qYWU7
Ojzlyl0Xnrr2YOMejsye6BWdgBVHVd6nKB9ucWVU/mAO4gvqyHjK10W7xM8yP7R9XB3UuBCeLsRa
eS03KUPPrH1O5WbkU9f8yM0or7mhdEAAVkRZtzrV5DHHju7ZQijA/Rgfh1ZTtXekY2VvY4/9Ql87
cRCJnnGV9cod4tkVrv6YQn2np++aSoQGsgmeLZGzI8xUhSffw8iu02Jna3aGa69Zk1sXEd1+6pDy
upg6z1vai98bvfXBssM+a2PP7D+rsaAmbFJ8s5f80rXnRpQGhKaxXXmMz5VZpmHjLBGhdE4z8x3r
825yjW7XjpMDk2SGVVbKCeuIAuqarBh79AeRa9dkU+BaJE9D8aqol+SnCevVWkr1sovx5ixSFIHd
5i3kKVeBIaL1R71iEVum6GpI2sse0Qa+t8zublGnvwuF6V9t2gqQtaQ7iig2gsJlND0lHFd5y9Cc
r9AMEbBQ+dWBBf+E9fBlSYUSpCojumg91mxs5LDiWKa9t9ZdXkrebPJAChXBTYScNPOI3Wm0nRNF
vhsotlgPqdI6B9EAmUmqkdg5lPqvVTv6WRUVBKpDz1dig6qSWZpyQ+bA4GLnLZOTovbpoVNMghvA
vx7Q5SofDQrP3VDr497qkiYJBzKdH/OstO61nnV5hoD4VNkoSKsqNu5WcCu4URocnCCrbpSI+QKP
eyXQSqc7tPYscT1NSIj1xkaIrRfPrhTpQ5xE9pWqzsm+1nvjLhpjDoECxNpdRuDqcU214gnA0RXr
JIW3MFfTGpRTNN3jDqKkQxuluNRXoGZR7GflFRJX4xk3i3Y5O22ZeGls0n7VUaYe4TVrEGbMCdVe
vOQXOWJdROOmku1tBLU3sTrXdyYjG2YCohhfJ/yuOatLEb+QJbUxhDgT7hO26CQVOIqqMWMyYj0k
fYvEPSOzvH+/GPjvJrkjsv2/Gvlf1sUnQ39G/Kjvfl8SbK/4beJvqL9gTrUBipuYq4nH/WPgr2+A
cv5P11DxAW6alv8c+DtAzbd8Vw05E+GWm6zjj4E/fHIs8SpN5oaX2Hws/0IIo4m/p6irAs+GgXrE
3DRaNpffzwP/1m7NMU1M+Lxud6EAG5QQdJbhNoMBJr1Jaq1CJ8W1D0oEaKithTRn0rcpsK9zUy2z
A/s5td8RBuuQDuMkg864xzaeB5z3+BTlp4Ew2BuGjMi/HmAcSElakH4WTyrp7RjQm3MHwe8Fdysq
UvjkwNQqk3RW81JYClgxAorAiMPR60rlS2+m+VKzlnsGuZ/M3qSx42xpmJq7A9MpDSCFhvG7Xc1T
ksJ6SEx9fFzrMr4yRdQH4Cwn9QZPJb2ZFss0DzI10p2d007KQCuUqsnD9rxJEBYa4pC2C2deB/qL
tL63BFfj7ClGRrWdxJNRBm4bLfZOk656QEANFLNatszbWNAipiuOPTCJC2i69mlYSvCPur5Edzxx
4jWUsyDMKFFsE0TAnB41RmWRR5RpH4q8ZRnZD486gKRnJx7Ni9nqmepNrsa/jDFuxkblFvy1IPBG
A9oBcGyQYhg484Wklq5WaehBvl0jn8SWTvQH8WH5HF33Sdl8OIxxme+Vujc3lnmgE46uWZQn8tTF
rngUJSJ21DxtqYSJHc0PrqKJ294sqL8HIbQfqqiywFr4cjwTo96JAEnDr7pchz+outSs4ziN76K0
gQ31ijhJMzYVWhABiNE1s7DF/Mnms8uPYJ2p9buuemPu4XoOXvXaE51NrAlexzNgNHFOMhIXIaRZ
43FyI3lmfyO6gNLxMdre/GhZ/hD3DAdZXbVhh9z1bnFviCOKKbwq6Qb5ILI3vesTfzNCMArVCb6a
UU3aJAhhj3DTw4yi2s9yND/LanIQKnMamNiC8c3HGDiAvSCPps5oe+yKEf7O3dDNvQf8etn15Xie
a+c5hpEXFIhyNkTE4Ilq2insf3eiM4O4XS4tWlkvdU0rrO0smJpJ7EmSQ/4PksIbHNvf6BIdNZG5
sJxyenCDtFY0vvqtNZP5xeUVGJ1u4Ee1MzThwHpqB1r1pjYNiAd5ZbKh45DhakjWZdk3piGC1pS7
lcwBX2i6tZPRWgYrcy5InmqKdzMjByQ6ufnt9H/YO5Mlt7Fsy/5KWc0Rhr6ZoiPYk967T2DuLjn6
vsfXv8WISnuSIp/CskY1KMvIMGVKLoIkcO+55+y9dl5qW1QtBS1WalrlVpSXUAh2ZqMi31YGYQf/
MLOTzLrHVdluGDeBlB5y3A4WwDmSUJ9QmMN4lFdbhhN8r+jz4CgCTKwy4geLWcksQkBB4UadJFAr
i9tWMY/SoO/SHqdoFD9rxjz4YSc7FGKOjC/M1KRHhHXNQ5NYhg+zmsQ880utInU/TUy8FzX9XNYC
2jmoWZFISJuew3NtKecsZ2kBqv6dHLbXJcc1XDU1v12Ae2Sg6uRN9JEWVuyssSzaNG+0vUTs0rYY
9O8LjpoR3bDTmdHoxpOwntu5VrcaR+oEYSCXKInfNbop/txO+lejDW+FJZ/mSVqfoogjpIjl9R7T
WDEymje4Dpw64PAwc6OPvx3mJBqFwzjLQRGJFSmUGVjmCcKbX3eY10B6nMgDoofI0xxmcIvB/mH3
G/NHvM0ykLehqxlvMsQ7l6bi9lJ2YCwdHvRlQvPTFZoXqfRPFYijyEGuK3zVK/ox06FN+X2Y6mqX
c1wIBCnRN7moCzitZJ3Qm8iALZEg91BwBO4bpo15nceObNQm/e9qqHDZ0nVFJJfQM6r1NXehqGX3
gOBm8gDwxyisRETMoKRobKVRJQ8dTnrlzpFre+3lV2JczG3F3e6BLVOvJAZT/hZ9jcwhb+unWshD
Vs6Ytddn5IO5pqiZZpkynSvCrGKilA1sFd4ET2szwQa2ax4Wn0mGtKXZQeG7zghN4gX3UZVXjJT7
Tn9HhBj6a52rHpQtLQCiGwPVQ/Gzopam50cvPEZZRFKgkxcQX/vQKjbiSFZfPs4hOyE6uzEz5FPd
WPWBQwiYWIYUd9EoqAeOpaHHfJyAzXGKDkxnWjdqVUxQVFrKXYJStGIIk4Df6MkZeCOByDg382D5
olZkxwiaPzPT2h54Lo9d1r5My3bMuXJNbwOQGl5Mqu6RJsmlGprKawl7pRE3kuoI6+JsTpTdQhu2
raNUc+bmeEUYmKqFaw66jKk/1WFp4m3pVdx4TS88l2Ek7GKxqy55RPKglC7hZe1Y4BKl9HTuJnno
VZpJ1SFp8KAXRXkuRsRPrYptaqiZ6I2MUcbJFfOc/U8QXE2TI2+JR8XD7jYzTSJEoRyQIYnpDRsg
kTbbIWIK4fBCRL5HxPSRmIviMEITAvzu7UabMRRJUA3phS4pWUkYCy8WLEEM7PWJKPuLIlr1TskJ
YRpmQb1P8+aryyS6GhIhlcJYsQwMiF+khsCH9GQAa9s0Fd47jTvvrhF404Cp1nugq8Ra08c7RKSy
+4R6Mf7R0+JA6oF4KfUi3ZnaPGzznA9eLqLmnJYFEV25yLV3hfQhmY1uV2U4+mKFccZK1WNiWA9W
uVSvMpCTQO9U7sdBfmoFgOkkErKhgWbALq9qPBIxqWUZ0pyBGdi1GdqI8Lo0elrQLUGWYT4yTb0z
V1N4SuqMrhRHSLspQEP3un43zvXtr4SCDSoq2RB8oniWAvhThuvrVnGacnwS2l3TT6LTqF13LLX4
oBSA7m/EZYf8j/cG1+aDAVHommVTvdelSuHhL9ct01WKKCkFUKYN9Jqrpt+1RtkGfEuhA1iM+F9W
LPMQqjVIXHHeVXQSDuhZBHY13drqnOW21bLmn90kqzTc8DvQBXusK+MpjUqsbcq0GyUMsbAKy4sx
hrOHeoq2H1ylx2mypjODNPMc5+WjZCI8w79C1sHK6Y6N/k5YQlpM5JkHJGtV+5Z15R5k47xf67Tz
kipi4CvT40WMuRrJa0NUGUoFHg9tkyxJvedgV973vSB42pJptFPol+5r6ZZO07fZxPm+zGuXZID8
PdNEjKNVa72vrVW9SJOYHE15NUmBgVzuCUq+vk/4UfFjLh1rfxdpd/q88vT1c/VUFJp6WQbcmnqs
deiEjcelF7SASMN8LzEks6G+ilcUoXAB6y6m4KTd+zohhv0aFb3wBkJu3ILzOH1wSyD2diiaYEUf
+kWC5ngHad/YZ02abELBWjx43sW3whiaHVPn+AtB9Pe0GEKnnHQazdhNfY6F8OCiSb/rFY2oBpZ+
QvMwzrlYxXFmNkoYOYCz5GBRR9RkOXS8Y8vDILh6rhkPaX77wtOJVVBU8opdt9TcsbMsHzqlonm9
RvKIHQppug01k15/ryk7o4tPczK0gYoVkM+JxhCd6tWvx0w5rW0jf2Z6rXFFIAzKfu2+eEhw1qoI
Pv2kQTlDqWmpO72dn2dcgSh+su+9xuJc5Yr+1IPj2HP/1Regfx+pMUbbOZrDQ2pUyI5kvXIboZJx
ZGvDY23BYme++2ro5uzJkjUwXhzdKDYfIzZzMv62cAp3mj6ajkns4iaWO1D90+CWa3YoBkQM0SJ2
D+UQ3RPt5+hVfGTD4zQiq0w2E6gr+WE0xmvEjH3Svs1r5yBvYfase6EUfq5hTJZN2V1KUxzoGazv
lSmckryDalLKhLekguirFJrI26l5GplESLWj6JYNrwMAAgJ2E9drsi278XjLNNiYxhB5JpsJUqTy
W911eOcbYq6F6pHjCOGP9HafBKZAtkEupCsu8k5YpNLNp1U6A/QOMbeLaOqNJX2uEMfAbLFgu5HL
S7T6mLoorxkiKfOHYpCaAHa7tE0KW7vTci5llT5nS0DjBRCe6SYj8EHvN6ZKa32evEbUFl+k6KDz
jOQCWeYu68IvKa13TYzWIuRw4QgL4imU/uF2mSRCf6yodYtsJOwx68gKBi62G5Bj+wSKCKxrdHnW
Fdz+LNOUzY0pCTRJ2AkEDTtKFtbBSPPvEFUYDlSNGU8mth9STOCLROtdw6zrtVqJwXdF6tAMUKUb
g5PMXJhRR/nAsGfpp3eksemxEATlzIL8XPZNe1+mGpqtXqbgWmi9GosaoBefXf4Q+3pOEstI2Xyo
+cwZ4fUF9FjMDUxk8VTMl+EWSV9N6kMeyxL3tcUI1HAr2IAqAwQCa2M3bEnNBajzROA5C7mgHyQc
6pzMyIuCjMbfQzaWV2uxQqk8A11bBZbRakihXDJ/ra3yQ2j0nk+ZnOSbj+2AkS48m+byCjK4COhA
7YwQFxoBluz8QhwftaXtAmz/vc8piky7Wak2oao7KxojTxOk1W9VsQlgPTHOka02YDDwqCoreOVG
mAKr633TiuPHXMjyNys6JmYv3WgCk8krIYkpQSQzQKKGD9MYHaoV3rHVjz5O/gONsmDuajj8chhY
EV+JNFaY+QWvQTioSeWj1qTsdNFNXNs0QWVQsYnTQJVNzA+4UB7eAhZGtvhtpjzl4BBtuLbZFjvL
sBeGHrlU/ydOR2ZvpNCAYUrWe7ebCdGVMyP2UGOUfhTTqS6s/KGMBOacdQsWLQxa4m9slWhOt4MS
40lRvUtA17vCZOYQCNqMuCI59wVhiDdrOsCpUrl4Vv6tjAFGQa8EmAGpxQj+JliReMHwv1G/pfLC
tLYNsnUwgrjoq2BJu5BSW1+3qHSvxUq6SW5QMa8e7exlm87ZzSKd9E4ipN/mWLnQGbTjvvGU0h3i
UaJkZEw60QckhrV/aWtJcJRCeWt4i24uZfAFWCQOmXkyks+JoywdC23iQ5e2VsqgGt0MpfZLppPB
oRdvWVqDiiZ4e8onmjwjs+JS/1b1xZtgyCM/wkFZLoZHiISEiof5KZ4DiWyzxNSfldn8QJjcurpk
xt7YW3QtlxCScXvLnqEqubkY1q1S8zBOSjI6sqAkXlGs/a5iNduMeaPYQ9m+IIwDhshM9+Yxrlxx
0CKOwxLcP2XVduCtiaM3qmWLZKyzjYVjqtVM93oeAwmRb3oXyBxDhwQhGu7FFuKUZA4F0kec3FN6
1Ebzil4OVnVZJmyMsQw7udzAzvZWXfNAbauBIfV9gBNFdTJ9oYNExSbj0glI06Thaiw4XkR9fIl0
YvOs1hEBb1FlwzlG3k5FWSuMlk2D/g1fVDiWo5MW3T7vn0wry9xx7KaLTCPrZgC9ZV4zDAg1Al5i
xngikShbhveC3cDx3JPmS9s7JrBI7loOKjUxa4hgBe06wjFJqpmBc2N6CzADdxYaXEPduagnLJ4D
pz62TbO5qeeLyQlDY9olYRMhCp//7N3tyYPl1h90L4lYdwlAfEgU+RjTwLF1LR74CibBXpdmcfpY
Mr0Y0xvKj8RCNjYvdwxMCIVmD16sIO7M+qOW09aWm6U8DjR/AkFIvwi+6Z20EVOsULTzLW2lTSHw
bmoOWIh7rK8yW2kG5SWJrRNni5TPCpKDsJMY7O9QKjHB74RPSZRYldRqtQ0Qp3ZZIwZIKrnYVBJa
jERbFRwTUuelSkfJn/TzOVxFy7XQGN9OGdmRuv12BFXuec2raWKvzcL+yMRPoPkRjR7wMj6LGZgw
2J8How6PU86GXWmfYdNttFS4KziCB02f3GkTqUUcvO5aHFp7OV/IhI+uZlWKtlQwhu9bH/XAE3PU
b6TYZb6UA7xq1wpp3zhOtlq3pQdjdOLcpt+muwvkyGc9WVSfEdP9rNedu+rFpTGXj5zhoQYbDiqp
LjpxLJMZXAPRkCT2UK2DtqIAC1lPVTEfIskIOrHcNer0bhZsAesyjZslmkePVAGRHsZQuJm6ln5R
sgrInHbBAEuviiSUG1UWLl1svuXw76ib08idJ1ivN/ETHJlUs3pnLRsaS8PyNTYKccRqRGBIMb0v
eXiT+8CPgJRlm3hP3KGhHpLncN0U1QLCyFSWIMFb7g9j9E7qgD/FM1I0lfyxVtnUqQzCQEUlPZMr
6Qy30V0hRlegKGyHpvCK/ugN1+OFBrTqtkaeuGM0+IUkuAvuTMbOBTC6/goT74luAxAhACb2XCbE
vur4DYmyVm1wPmw/axZusqU89yMSC+N5qaovmCTIPA0lt8O4uFg6K0IkG/kFv6oA8Tpv0I7SRFnl
yKUbjORw6TZVDQVI71CxsTZwcuAwGYN4joQW2ll/HHLku1LWfJ/l/ilqO39O5XdCtTvUdyaHIJWA
aS0xAibttPBIrMH4VoCEzovVGRfzDNzoTdGsDxBLvI/BuMssrB2jUTOLm9faRStABIdFwZgb9ClD
RnLkPPX+gmHENlNti6hwdlapvYO6BM9EbCKvuql2wLPcQztJHauUK29ZdFhrOInoZTI9myUawIjz
b9x/obL1vHkUJvEtUyHkhzNoEEIfnziMYY8FtYNwMz2RV38Pmu8NOumnUc5uJFngVRSmZdKSkBpC
nwW7oNwywDS+QTOeiASqEUzFJF1MxRkQeu7ON8EjrenESaTyKvCDtG/l0CURdIP8bAf/iFaovtCD
4+WcEt6pPalEDDCHlpBxZxoVeCY6yipE3PHEeWDy5r5phG9qWBnk1mh4lEyajwbyIluvSFkdS7ok
sYwlS1bZ2hXO2xx55Lr5UgXIRP0NDNwV6GKKkMI9EoVgoGXKKZHlzpJdNeolezUxM8KsUdCtAU2C
vYqWhxQ7OrnCl5GOW6Gh24hKCpIxwSvZtiXqPTLBysqr8pQYMoxhJT4vaWm3QgyDj/FaxyO3Ss1M
UspE/Bcb+zlDkhZo+KLYhlMU/SPPMEjhxSfWyyLenug3La1IslpKFDZzdkcvAhkr641ab0FD6U/x
0O45W31waJ42iXgY53GDEvLC0PCRkFMUnGN06xOHu5mKucvpdyafwFN2sTa+DCh6peY9ka1nLJtv
KEH1p6JvK4zSq7GTsMZGlXpDNsZEP7L4oEMaCJvBjQZtWFVcstgDyVw3c68/abL60ffSU5Z2ccAg
yeXTMhFI0SmsvpsUTjVgq0jJM1dul7cef7RdpPILJ0RUB7OsuUIDgITmVeb2Udk63PvupCu7Tq8/
yUCdXEvO5p3J+GqT4T/fqg0cWM4OWqBLE7aMsX6Hfda6TdFel0GgEZ8/mJNyNWvhRVNQdIDeqzxZ
7JlI1LRK0RB8i0Wi+cJR4HsY3syqGh1zHPBUEFbmGHGYQR1CNtwKi46w3ARSTzLBnj76fs6tPYjR
A2gayUmM9bVaUfnIVWyRCsIeWBjIAe1CaL4b6wSOJ2xj9MPaWTVgPhC9dJ2HniGMShLfED1UoXoh
Eucyp9GFkm72yCBgPDutQVlo556qyC5Bqdn4MFU2GX2xk6kvApNSgogM0s6sROLsM0nXcUATUKDm
UKaYgO2kc0GropQvrYWdxSJ1tDPQvekY30Szs+5i2hAOjuPqXIkNM0+cUP8flvC/JY0J7f9sCjtW
5ftn9fOAmB/4a0Bs/MF9AZXQAK+HgUtS4Fr8lWDN78CGZfaAAffPOTBEi38lWCt/GJBy+SnghLC3
TAgH/5oQ81uyapBhbaissXR9/pMJMfSFnx1hjJplzGDyLUsa9Ij8K8HDiDnRh+MyUp5e6ecSSLi/
ki/vrH7spO4YoJFzB5Fl8x4TwW7ySrfYJBsSpRd/Ze3FMLJ/ikAgFZWzUTa9N+KUeZlbezfgSnVT
f3rBn7IbvX43RQFCVHFwqVa701PnEewX4LDxTH9tD1gWkZt6SJvl4knESIXIuLepdSlU7OI4and1
Yo9c2OLM/uiakjf7IeCoN80dnOvAVVwHh1a9m2/ire7Fm8TNbPTbV2VyEBMOe1Cvg/002PFBPMnX
fCvydjjQ+fKuPugbeVO72utecHP+EsFFFBa0O3LUPhI/9IbgCdDhPV5j+/YKnCSNM8I75RD6HHgS
wxbvxlf5ODiDfQ2dzpPOODg1+2l3fXqy7OP+9j8Wpz3k2857Ux0kbnZ7aA/02nYZOnt7X9iF/eI/
PET2B56qA+Ytr7jDMGdnTw3pNMiH6KDvxQ3tYr6OZCXZ1B6eYr+kMcDfbdhvif3AZ2Wn297t+f9m
1/i0bIhwDgvhR/uquNkdbGC7PBR2dFqs1EkesUmQ4uYkmxSk4wC+zShZR67N57oRt8Bc92pKfYng
zMfuApM6OmjX5BI59aYLBls69yvzLySKhSefmc3A8OEf3TxPxqV9Wf3cNd3kEG25D55mDzGbS5TT
DpuyUlNCuwzrKQSmS+Pm+QXtu9A52bX+UCcGK/bwvT5LUM++a35zHTYgMt3+k+qKvO49+k+okdr2
bS5p+mNvdRe+a4qU9ft41DD1b25Urw1KhOfyJrayxUc8BbiNjSO2R9lr3+gm5m4Wb2e7ireXMt6+
tmCqvgYKY9L8SBL2kY/uxS3S5EP7urxNzKXo8DO+pcKG0K0imIZxHLnStGlE1zh0ojeOzyvGMxJn
rqlNiOrGfK6P8UE+KvftYdoMj7pxET6sj2oVXdEkP9CyKXL4hbjLTrErnNHOOalwnCZPdNqMQZMt
an7Bv02HX7fA7RGk1ZvpYGwpzUDuSTEgL1hctE2OSofhxSbkdvhCgUqFhgB8AtX4MLyTCa4d+jON
t7YC+riDD1fFgeKGu/iSbtMD4o3hK7zyV7ofyOvsy+Ww4/obR7xvXIEloJptJq/xC0UkYa7EJzPa
aZzuS3/Tj8U+3tD0MxH6OYJHyKEvcIPRGEnow38CN+QekDYurRnIHU6ICwazpd2Ptk5yKdrKF+66
hlzyZ4ksbkd7dQW2znvxM/Vt5IY24v1AxafoAEAxHe2TNwamz4/9wb8sAU5vJs57KBB8OnA3afqe
lHP4KPiZe3uCReVxeY4zaAZ298F1UbyWTv2isW4YzvjC5O8S7edvOhrn78LHgDeFQzmbruI3c6Bt
yui5oYpcHjiTScFyLH3V8RdvQWdq99vVPePq2n8INmMYJFv79Ft20nc4MvV3tCd29j0ECEB/yzFf
8w9O/20gv16io/UO8w4VfnqR75RLYj0q6XaUX9dl2zvSVTnKr+ahBvER4agb7E9xK61H8+ytjrEx
XwhuPuLncPAQfsiXrXK3MRzpFH8pJ/MyOgzo7pXdqdmi2fGZLojRnZFtGSeqT2rLG2pPNUC5IHNZ
lr339zhIW8faivZ9HFSXHVHDzrNX27F9WlxPuzIz/WTC6EZO900+8CtbdNWX8v1VYTGn+U6bwO+9
wZ38+J1euk0pZ0vO7M1eHhBy5k2Hk+xLzol6+KmLXfW87ngLNl2iYlsdUBB75plEOf4I1k67tkcH
JXpkW/wZREG6nZ+03eRyQfzzfGCkb+cVgh3bUhDFOdlRf822KgzDL3xg/DL/ejU2f17FqX/iFEd3
ZgPJ/MkA1WNXaLEZnB+aA4wXmZucynT8SuVd5+JCpcOJLtrXbU5Nt/dUbPnlwaJ9xTLDVtXvsArS
GilcBDLSZlj8weVnaOJucs0XcnAQzsztKR7Vz4gjXq35ihddtM0rTFfeA146tAyRHW+4K11jgx/K
fVfeH1M73d07wZeAiNaV9/re9B9x9nKWdELT1t6R3m5Jq9sZR+mUMdO5MBBwB79xG1fZ3P4LJ/5q
gAd9Y4/l8o0NJ77ooXzPCqezNt2BizJfmFScpgNDfRKwJzs+Ws3bgsP2G2dvA5AtgZbqOfSulsvY
CCbBZknOYxSoOPLYD3MuGQykQg1r+rUQKGOAHaMX4VHudEv4vxAPArTmn98yrTffq9N78b379Q/9
v4i0tqjpflM4viNLes/z/7Xtcph+3U8l5O1H/yohAWb9AV6NGlHVcVyJOlLCv0pI2I5/ICmC1ada
/6cY/FcJKal/QABRkRkCvr5hYH4QGf4BFtC8hSdxbvqPYX4/0/BMUQWhAi7fwl7Ha8H8+VlhOElF
XjBCxVA0iy3bMWdp0bwfOcohVm7MfwCsc9U/AAz+ejWF6leHbQgwTL1dzQ9oL1q405wLdXFnJF3m
F1d5jc4T92el9MdKYbBF1ZwEP3wp/4bD9W9eU0UMj6xRpCq3xNvv//CaBVQbeSg4jI+LcZ4Tqwpm
DO3kGUNIqYxNImf7xJKc37/ov/lYCfoCYAJFQjb/9rGO+ggPQMrzO3lFIz325rafredeMBF669Jf
PI//ka0naT8TGflcb4QJWecFb58rh4Gf3yOKztJMEQvdWWdt9E2sa4lrZt9Eej83L0P6LWH6UZZ0
EO4hUqXDyezPShlolBXA0yL4unSo3mmWpyFjjG9m9M2sHufmOR4uImnY45eibgkwHihPY7xvD2p3
1uN9jgFEw2TL4dtpi43Zva64+8oIXyf6rgfAxLet45Beqxja+bcF18t4H5enPD6vxqsubFYKLXOD
vRMxQS1fRfXOJCG8w7rWyHQL6msvChsa1Uxnkg2CLBLTXAHtl4Ibb0tmxQ7tqx0XHOLP1tP6rsdu
oaHQyHfJq/qcfci1kwmXVfvMBSIIyNLgDNJUl6lLHLX4boqvi3mvme8NloBlJK2uvsrNR5NSc8CB
qeXvY/jWa2CYLOgtfoexiO56ivZBaV7C9RqWbhf74kSFNoy8Y43J6YuRsiMpz0Kyb+fdjfWar7Vt
SXux3tXY4i80NGWEpAL9pMi5tSwlL7oVxns1ZBDwOgj4pTaRQAdoy7Hh9/fkL2riv+4SwmJuBHsC
Dv52WGzSqI2KydLvJkLYHf3WiUVNHLqLyGiiDUPVN7tEOZQTQ4pFaB6qXh3/4Rr+9lzwMKA6uaUr
QHYGO/nzjboYfU9QK4qR3nzvlz52+oksUB14gI36WXZ//47/3atJOs+EBA2Vh1D5+dW0G4CnIin3
Lh+sxxBHAe1ntF/lmJI+DW3n96/2t4WGk75h0kLSNZ57GgY/v1oI/UQYlDl/mBGH28rc3OK5Hhle
bPup2OtW8ri0WGd+/6LSz2BNvlReFXk6cnOFDcawbozPH5a3JYxKEQtU9tAu2it8iLgYzUerD0U7
MZHcYvYDEhDrs9dlU2Bwnoxg5z8glbzqU0l9NJgMvPus8mbIdvqc3v3++ozbZ/zfEESuD+AnUQwy
d5wBfPDWi/nx+hI4GkUmR9Z9WR+NYcO3bShOj2VEdi3FkRJbFYMlCyR/3oqTV4cuYj0mh8L3jJuQ
YxbRfZqt3vdBynHGL47tXto1W41ydF3sgSzvxrGO9M7b2OEPtq3Nz0mcS0ZboheNrdYWdroP3IzR
lWgL34QD8BMMK7Z+6j6i+3gn71tOtlC4NpjHPJljLTgIFG+4SO/+KdTzz4X475+GYTAhUzUFjM/P
n0ZUi6aGEM+6Nx8xlSufxOpioqx4BG4xOk74Zeyrx5wxyiXf80HMdPtFt8ZORMcAN+BTwyGCJN77
+jjt0+/VB+/DoPr+p7vK+tuG8ue39t/XebvrfrirINpM0zrG1n26rQ8wzW8qtW3rV/sqIPWHZZT8
Mlt5Qf/kh9fxRTqXBw6nHtkW4SmTN0BnwmO8tYIodDgpbZUKxryfVNh8vJvbkLYBbqLYRcOT3gJu
HnuCe3AxMphnGoNEBw2TadPQnWwjMPbhdrpI1/luEeweKSdKnsadOXgSZExzAW7FelbRmml+Fx6t
6rKE72L12vd3JWk+ZHS95KfQrnw1IAj7Wh8J/8M3cN8e043g//5ut37ux/11t9NKxzWikWai0t77
6XOj1U3SWTya98mTuJPO0nY9p4fuVJwsWwvIHHiia3YdUJnFdpbZEW1g5l3MQCxfkJxb6PpbwRGs
ROvkdPO2nS5tu4FQVDIHAgTfQGzbDKZnJD7G8riBPe+aePQHtD4bU3Ng7Q1Q+xmjxE53SPcaqJw3
9h3D9IR419Q8dH7+1twLu2FrPqdv+rN0HE+FL1zYeBSwndd0dm45Eiwe93TWNfXeGrex5vI8NFWg
qK5Q+ZiXcERZBGFknohYAzPk8fefonKztfz6lGgsZorBZ6kZf96dP9x9qExJsqbmuQ+P4TF5GnbK
Nn6kAeDmhyZ2cKshiq4qPwb3VDoW7bejTqMq35f7hKOVda22aMl81afxScJ7b+fHKvj9Jf7Z+P3p
GjU6rrhqWNIMeLma/Mu6W6vV3KxM+665uUluk+8dlDkTRgDPY5QzgJ33gC3wkXpFREwD/udtblz1
8ZqWW9Ha6dO+q19V6xG4VNcRU4D6xxEVdwmDFJ0ZfFWc8HZfcUReznGI15/mHhq8VkS2YkOJ4Cz9
Hl3qL1n3huoxWl7M9izNSJAZ/To58wP0ubQvBgAtDuLRSvIZFCXy/Vq5HU23aVelJ6Xw2twNE+D6
fhIFPYwFhQ9Y4rFDpp9Xu1F8BEfgLOlpzY4109f0tshS/SWpYa/liexOZzAsV8Z7qpwsy+XBHGn/
mX7TbwizSRl62sNHJ6FZvs+GfSr7VXYF1aAvHwu1ol4G5dq5A4O95oabxB7RYjUhr5km7Q34AI2V
9hDOkBDFCGukojncoiVOJTFdg95k2Osy+4UFBBrDOBTkysSXcTjiMfdHk8neA65JJld8WtN/WMpo
kHQp8HnU6SNwhPrlUQ8LudPXNRbvSrVv7WlGYKkviteEyNvXxnj9/Q33aymDTpsh943aDAIODN0v
GwdWLpXQhqy9i0zzW9dSuikZUB6xYXoU1/Lh969249n9fHdjBcepacq346Gh/ZmI9MMT2Cei3mkK
KRipXuA9l5qVVIDyU0FWQ52/i1NVZJC2LcdROURNQ0xG5Kpr1AZWbezaSgn/4cP+NxekcJbioEpp
paqSwvH6xw1JIPwH+9cs3klm+NxOMbljFDaxoR8iBaZZHIWbXmFTFYqrlaHgbIyrplcFpxHxijgw
/w8PslR4lDWapVB1kTh5Mw7+eDmsTXNUiPJ6F7bTRkWBF6vE2OlN4yPiENy1YGjNR6z9Q7V3W1R+
XBgBTpqmwbZscKBlMvXLOY/Bf2+Y1SDeDUndeWLG4HGUoN7NNXfe72+BX6tZjYEXukpVM8Tbodn4
5fYWgFzFUVUMoA96ATur188GoKI1hvmavSlKSlScpP7D/kmp/Ld3qPNc8R/eJy/759bww403t3Kt
tHUt32XZDsBAkW5j9Zt1wyBVpzV31JTp/8mI8N7Ty6YNn64sCuLJFI+aBdqletWaB7W/C2voCpd5
3pfz/VI/Ld1Hg6w0nu/jHFfVR6Lv1f5AtZyV+2wNzCUom+OCalMAoI1sKeYQ19FbK5yXwnCJXXfS
rdEEmUyMEpMEyTyvrZesAb6+ub4aCU/9pRywRAaF+CpiKGpU4dSsgbocM+Gr4syx4sXvQKeGGBvY
etUXPbobrDujemoMTkKBwYWYZyHyZeUzr560xatmUpGZqQfscaNxzfFWa/u2cKXyyzJS6oGDbp1N
gzddkHa6EdF4INJl5SeH2RKezfRRXk9yfMcJ29DdkPeEdJNYLln9Hg4bbXyXqlOpXJPmIed4e6Md
wlOYamAB25TPSmCjxcknwJonk6YwvdYkkkg7QlgePmPEH2b5Lkl8ptpbFyeOBW4GvxJIacLLumu5
cNgJkHhW2hZ/kqxuOT/rxsM4PMT80STTnVa575gGmk+4bSRiiJWAHkUScnC+rdUd4sF0P2m739/V
v56WuKvZtQ2CjBQRr/sNb//jc9skJchyOAZ3+E9zDux6Ad8PmG1ZKTX4GJTTiYSy5/cv+rdqGhuB
xjPLnFZUedlfawXS5ifwryKWdf0bM5iiXSEDeSiBbLPCLfDVCSeRtKqZzTS6Kv0uUnZhuZHCo4o3
tfBZULr5VWBOYxyL+SgXJ7JC7Uy7guRotOsivSGYURkr0E+gaGx3U+5FtHbgBqWXjjmggtgzWQBC
+Dgux51sHBjKKo9UdesFYKNuXa0RPXiMDtTVIO4oPpofciA6c4fd97/YO5PmtrFsW/+VF3eOCvTN
4E4IgGArUqRaTxCSLaHve/z6+8E3XzxLqrCi5q8io7LKzjQhAjhnn73X+hZ+kl0u7sbmDaOIiqUg
dYtfvu4Bc+N3rNs+Od6g+KuHUwgtA0UqSvRVheBL6g6zeluibDPqB0MB8wzu/QQCC4pSHu3//iXL
S4f10+IIkFBSdIXDMNnb+qczi9lUZTDlinyJGGXRbWemxMxWOyNLt4d3SCnFkZln/UR6qcSwGYkY
SIFJX/X+rTiTNV2t1hlH0tE4luEhVV+X/xMgHouyBx/Paw+AZIXgS1bIEmOEuxau001B5JtxDPMj
kHZUZpBBGWsC1lDZm5XpbexbN1GeOpOvoOBv+ES3mbQQklYWEu3oZYqPFj0fi+kavftrGLnyuAGE
cJaaowHJINjjcsz1B3+67zF2mwFWu+klUG8VpNpac1RnT9BPJbNt6gBRyuwMO2dZn6bpxewOViFy
YLoIEUq57tA7GJ/99iIK9OwKW+h2uUmCOUoxBumzU+teqKyy4K7RCtfvXqUIZgngBq2+Ey0yVxmv
cB4EByiyDdRHfByrmDM8I7PAxlq20g1nepAOcDsrxZOHlS7eqNGlfoGiKZ1RsJRYV03hmDKixbql
+Td+PDhR72n1L4W1LTzK3bghPQC+jXbI63OjPUiBv0kCjuPlqWrdF40EAa17LUbt0LXRNlT4A0d0
B+MrIeSZ8SbCUqoysENzuJYKLwcUNldro/0pAY4CMwoVUMHSxFHIr71pRiRcs2YmwMrVu6zc+dMW
k16JVa0B6RYoE17Q1zL9pSl3ULt7R1gSYj34VXW6iScnMNkLKPPXhbm652Z6+Y8H+VUoISp5mb8W
RSe+CPed6Ei/gnhtcnip1srgWoVtgQ8cj0nosR/0t+0N0DMTVQRvucNGsyggppgpp1csEXSZWyW7
KXXK+zbZ01YFG7ea3RHWEZOdYCs6hzL1sBCjyeatb45Rhy98rTPpaVzWh/AZYXPxI9hb6+ImeRHO
uIHAB/WX0cWyvcE21Jw6eqn61qDvcgl/ICQdgWRuqmvEoPx2UtnLbOzI+/gRIJ9vT7dYptXH/Jsz
n/S1wDUWZg29SRGFjLIMPP5cmbGdBhl5jfLCDzaZ0pYE8lS9zQExXOkKCIROstxYzGVeUPpaKKod
ixTYVKexE4HrCFXpHsgK0/zkmz3jSy1M/9AkhBTqA64mKAwfr8yq6iwSQMRf4jAFg67JBVp1cuz/
vn59qbf40RVOEQa0BwNJ/qedCVoseXyYyy5xRFVRat2DGIpnFVZAXs4v4HLOQ2x9s2ZK5lIwfigo
6VXStNQZQ/HNM0P4+LMpGDfkOJ6kyxLRMdui4WQiEgn4CKwERGkiSFuNiqtLm1y+iQUv5DmdH1LW
2AUjuDXfpMh5Zfkp26VlQSCJIV3A5tij8GxUFRDem0hjzdhP4Vunn+fhTcqejIap/2vfnav4XMQP
JC3PMB4Uulg2UDFCxSsB0STsKqfTbGpOiS78CnzlgsFANIMUZ4LZ4xZUUvEuqre5gTzakTvSHWze
mCFi5V0xeQjTnUlbea3Z6kbe09DYUIjcokq3fWaltUPrypPWkw2HZ924wY156/8o3v375L18KlzN
KfbMUfjnmBqtK1d3++fkMXuVnqu9tJV/TLcCf9fOA/5LIvHQI3EKLRz+yoPNLK2xIPfCZsq3inEY
h9vF0bAps9c++Tllx1Hei/1a6I9ifGqHrQAfUWL6FS12qWtcHcTiCUhgdeAFn2Usdzsp2eO3FoJt
Gm1yZW0l3oiYFbQEtj/0xligL+Jd9ZyUq+x5os2NIJJ+p8TKxhII0mplPEevf39gOeh+fXgMUxEV
eemAfD2NTK3JCTLt5ksoESqyGfVNHB/g1kloNCyXopJfV3VHjraM4FYiHmfyEH6gyq1Vt0eNYrx2
xQ29eHM+thTWIEwlD3kG4J9wXkPKQO5Kvzwo7eaSPgtPZWYXN41NcU2HAIz1lbjDQXLiRcHkX6cn
ONm4j3D+arfqU/8gvYeX/CHjabgNDgCG3GBXHcM1fB3b+pEODiq34uCfurXhco3b/KF80R56r1gj
BRWY3l9Z7t+hYhg8cEhydCeSnK5cIXYqN+EJEHO5El9yhFAbfVvWq1q600/6utyFP/LCTtVV6jbb
9p1OIBsnsePP2jHh0o7KUXMttCWZl3i606yDA0w0dBriunY5wQgvMQ0aXqjYVn7QaxGv/sG/Ewf6
HXR9xF/yNvDgiCsgEwklOBa74UbZ9Bv9F/RClB1r+VV+jPcY1bRb0ITqXQVM5Il3ith6ciUA1yIi
0uih4q4Bz8XMqv9VGrA7t5NyxciI2/tghWukgfweILplUyCG7SI+54+LagOzM2EIwTG7r6oVfxml
y1+ElepwhIv1KNlSu2p0ImzsinQ0Pm7xpe17YW/2xwLns5UBydsN9DBZ31/7DaqSDDAAXXt3QPWn
OP0teRDS/fBLQxCGNj8ykT7Zg7nKmFEmLh0kod/Uup0C2gPJkHiNhg/wJkmPork2sCQUKK7sRVL+
FkJvqXD9AHB0zAnj0trXdj5+mXivSGtNWvvKVpLWZgGq+jahxRps9O5djainrgoj4h7FiteoxwIr
Y3MaOJrEbts6/GJnrMzSA28NoJzdEj0XoAAa2wwRMXNZjO+YRH5zivjaAtF1cgZkuk3EYOOp/1Tf
qhphNYafzZesM7oVISDqyo/GdEVICzbCxMCgeZHqgy5357xwTY3kOoH/2Jmo0eJVkm927C8bNpfD
tqHoTBKZr30e5dVKjRW+C6WL9GQhWHZFrWTCWjDWGM1v9qn/BR193Kd0TaYyQG/LKO9LN0JMfaVP
pHK+jE62qXbdzXgYHmQ3XlvucObVQFo0Y/4Id914VyY2BjCJFvG9fFbvsAKYZ7rkcX+O4cjQMRc4
j3ASXkfWqsltOfLMcGX+nO8ncWVrLxnaVQCcGFSAMxYOvcyGZ/uM4TdrTyma2d41smWD6mKChOFq
rpnXiOf4fXnRT9Nz12+U+C5Qb6bexYwinqdzuZef6w0o90PrzrsABa51STwBmeJ0Vh0k+sfykX/u
xPL+kL8MhxLx1cC6pNyoyqoCmcAj6TtN7Goz2vTdFHltcpzb85gcyWzBcqoiRrfp+KrVshz6CuMv
VzBuJbYcyVYN7o09nIX7ZW08imcuP/iBTjO4F8/M18Qn5V1gjUzhtqwQcfnP8+wwh+FAxBqjn5WL
7uhOYUsrbT0fqG/XGAbRlsnr+R2avIhS9T5/RZRakiqsrJL7gffOXFVvfNHLUrOZd/pTCCR9Fd0V
dxyFhF15CzMkfAOcyK5p/bLOg2CrEmnkK369ecWXlTFKAhonI28s3PxYnaIn2iY786bbQfC+xG8B
+/OwQ5V7p/2cdlCDXi3c8axYZ5rC/F0Yd/G9ojBWdtSOIzTir71GJhnqNv2Q9reNvzebm4Vit05A
rvSbaTyM/W3XniP1GKjkiq87ELuKU0rryGTRYXlwUsGzGs9SkD9u5siLIFFBopkIgLH1HzSsdUzL
sZMhhox5WlbJo4UMkkUBKa87teeyO8oY+bu1PF1k9ZiAKtHthp87PwjdMW1P5CfgbDla0UMZ7Hzc
lN/0df/NO8ukAhGSIsuGLoqfAh/NTjEsf2znCwSb8oTfM9/3GWYEvx9Vt2q16T9eIyzU75CV6X1A
Cfw8nI4Be8bDICQX8gQgQQEhc9q6Ak6R/JpMkgn+XpFIXzoANHeoOWTRkiTQbeannqUVl0rfhWZy
wcUL43jKXjU5786ElOCIb3+KeByJBXODEBKshfDBCIH4pcAEvVhnu2ozmd5Tw6h+Ery2jwjftrp2
TW7Vz79f6OfbwDdPN2jprov6kpi0nDj+aHICmBHjNs6iSzlbxYKh5jHV9dbhsGPPg9xt//5xvxMT
/1w9l88jv4aZ5CKDII/m4+clpYWTuUmjixnNwz6tpsMYI/tNmrBxomj+WemcqKYYNfxkzgxaQhNu
moRQs1DTet8vBAl+nhr3iuoTtgdFrdBK41CSj/r3K7W+fDPSop9ARcGuwnejffpmQClXflIr81X+
0fF50irtV+mdcFI97ep75i5zi1vmpeE12BVvyiNLPUPR6Eea2NCcqVfqaK3H5yW8gAIM8SQCiO4m
o+ESrYWIyCmHkkTzQe9AIccboFw79UZFFnnJYpIH9rlva9WeKg+7WYzOd2LgtLZMwpFdjRyLMN1K
7bqrKSLWjD6JgxFUHEzHXKZ5eyv4l4FyP3ajyqUnQCEy7fmfCgiWVwx+txijK2PVozxoVnQyevDX
DFEol6jl2I8eW1Y/NFYGBnMbO1BNEajZ5fDNV/xb9PLhYeArNpZnjzkCsS3qpzUg0SWD9msqXrFf
EZeYJY4CcsZOQzbKUhjlFW/tS5+zf5YJ1VUmnlT8rbGVFFuGIudvbvinI4QuaYrGvm7yaINLFD/V
NByFQ51XNr8SKyYxxUlPqopP1sf0JuPjz+8nmDLxQD713z93+XM/fgl8rmrSL2SAi4/n00qRKyWR
AU2UX3tLWLdgtegixeQm6v4qk6MlNBLU398/8uujzeiKAGYOTEw4pN/tyz9eekGV2kZSquxKyhhE
b2M/KbrPIY9qPs6S9X/8YcuLBFID/Y3Jt/zxjYe3okUlKZhX8GZPEZkmxImZb4XU3cNb+64y/dwg
4Y+niYC0gXJw2VY+tW7wcYs0t4Ph6s8JLbe8odYm6eCbW/Z7s/h0zzTsVmhiTRFZ7G952x9fYKyC
2ZAqvb+aR5putF5X4x3+iAGk28zrT9Fnmxx6o42ZnrXGCUR3AXUhaM3vu2hb5Ps4vAjWqRz3JXEp
vldYODXTdaoBk3JK1PCjM1Q3Sn2H5TvFHtJ4sGShDzRYHKO1BkFccg0OitY+UN1Jdet5Y2EogvVW
O9I7x0mm1iOlEsxzWAB32Z30YOAU1V08A+UNtRe/nz4kWFqAU4WuhF2L6hNDX2sXjAzTmwISCLjD
7CaGp/f7EI8pxRTwim/ral0hSze8eN/CDsE4PXj9Mfe6b77kz10obuWil1MQH6MFQ6n38blRRSEL
o1QE1JBgU9L7EzO+1WzJI2Dg+qnTihPs6O9WpM9iI0irZAQxatbory29qI8fmhuwBlJNF69Mb2KO
gaMzYYp0FY2YCqtvVEdURFpC/bghcCNwq6L8brz89cc2OFYpSLQ1ctqM39vSH4+WGMxBOGhjfk0F
9SGNCOqpVezScZVXbhvLshMX76SGpd/85F+XBJZg9Jh49xTE16Ly8QdvOvLcor6sr5Nek6FuegJa
PC3U7EwKhG/6i1/Un/QUqQFA2eqA8g10Zh8/TGjFzoeizYcN5rUSpU2Tp/iDqvdwOBdLAoUgdbB8
LEZIaVl8Uwj+m09HeaoYMuUHpRlR0R8/vWC/D/Noqq8ExVrMLGanz4Oj0mmVo0XRcToMVUxykxI8
MJl7+k8Xw8WKqSqyRsQ559VPny2rEUwJM6+vDdiPqsElZIpYtWtMV6NFxN3fP+1zEbos7UtbTEVR
j+T8cyPbGsQaiZ/WXJFWtBsaWUO7HYmgWHWy/qDIIcjGvJwYMIMo+/snf9GCIgHnp+QW08hFlaLI
H79ksl0bQyiZgGXZhMitFu8IIbXz7tq1wj6vFd5imZH02BrCymJDsFGImq4abQlQRoJZpuK6ncW1
Maj6tWHO/s3lfflmaO+bqsJuz2AfzsSnzT4uUwExbiBepqo17WCc3sO+atZ6gbNJTpjuUwwAqIgY
ZVrJyMrccoiuwsc2khl2qQTOtGZXYDKl3CuViwwymwBfFG9l/M2lfnkxkataFOcSm7VJpf7pSvt8
HvQx18urVaLfJkBcWlklgX6+TCpohaLs79/Mlw100WTrzD3QXEiUZp/WAavpGikPjOI6GaOCpBzd
Sup36TfvoPZlnZVNFQkNfRsGAShxP62zg1YrxDGl0bVCrAbKypLBjYyXJpy3YRUVB11FrRZMM0Ng
tQI/qHEdlpAqx7HTT74YAO71rWTtz8h7RgNbsJ4MN6UWKftEoqegz0+qic8xr2P9ZIVLlu9MwAi5
EyQAcqjwX60gFAh0o51a0xSW0/HGqjS63bmFUb6eUBuIFCoLb0ZI/OJikZIXKy03YJ5VrzTE5raj
O+q3Zn87G27qy9YFWcGktcXZqNrppo2+KU+/nChx7ODW5mFYlFBsTp/uTBOp0GmaNL7OLVD8wGQk
3IsVxIVUKkidp+WXxD3pBQ3UCTUzUe3CzGPoKlpvYiseEwIpFGBUj6ps2XNNK6CG27XGaK5+s+rI
y7v9oTparpSr5BUzOOz9/v0/trBKzgOwhnl01QaBeKWhV04SrEAXPAnpyUQIpp1fICiAmZ8W9E4V
BoxizesfdhWOUUXCdtkQAlL72XoGYLydreiQGX27TdTOg4jXHFQh2Le+JG/+/vR/2Xx5FrEEWMv+
iztA/1SLKzCmBLCH/SLtsjyFp+PAkA3SBxp204LCkQIMcf7zz2SlXAoPA7WR/OkzB8i3kmz29UWO
259z2rxlYfqY+sk2M312QwZgAqzDv3+m9NtM9fEeUfjzYYuozlqWlo/rc6IoUGbgUF5wfiv5UVev
hoUXe3wA4hcAyQ6kJy07Ykhqq11GAkGISBNqnW9xWIVAWFVuFIEXx9gzZbaIOSMyG0fhyNZMCAz8
mQANNBnyq4EjPH/VxyVvZF/T+cMEJPenHlheqm6AnEzZRR5vlsyeMiFW8gz6xZjcPOHQyYnoocEQ
3Jf3mfQ6VG7DHK8D4GGtrfAd/W8a0iLUPZ/Weqbe68XGfMzBmuVPirIfcNyA0+jt5qxBJcY2OaD8
YV6qu3pnW3G86sZ3obwktMmB7OTjNjGOqn4y6nufRp7+qEKVM5NTwAXXl4nmWbEuA7seacneTKUz
mSvhmeWXyVekbX1jbSx6U/4oN8lxWbCvo4j0pPKb9fnrdkBAAC+XLNJ/X0ALH+9bKpI3DrGXpVJR
kFCMdDmhQAfoa4uhT755NFmMv7zKfBxvgsW2YC3/8+PHwcjJxKhSh0unrgf5ttBX/nwi7XFFYJyt
gaBP6RhoT4b5YpVHn5tY+NewfQq7XaM8K+qbpL6Bu1755Tko31IBhNiqml01eZw7D/FbV+x9kWHM
vWTeT1O3UuPHBQHRdtbK8vV1xLyMRK7WZ7SBuqJHPALGz+8uQ3gsZC8wnzoLrVT5S24IYVNoZHCH
GvJXJD1etVXJ8/xITgfxZzBOMLLrmj3hsSY62x6bdtuHWM2HHBDEgJJOHaAeQQ2YWjrMxN5OPToJ
hmpWgbGBLL52ojkpAkBjENhlAbS8N0n7FQnA/KWz9TRyqqoxgAko+nPaBsFTVWRez6VPNLZrflfG
yzT40Lp0Eg0AqEfTSmzYVsDxZf2z9gMPwUBTvl7FDz2qpRTc1m1dXuLkl8oUeckjL8etiePYCu6s
4Daqnwv9IiKdCZ/wJVuAuC2OvDiLULxl8QVs1Uol4avwuvIZHRV65tFJFWQUPLGdJ2hEiDvopNVq
a4K4fijY/GwStCzLpuHCQK27l9+lKzBzRuGSisqLjHAsC6ptcMGh25W3wi3jwf5V2Y8Z5E0n8gCS
qbU7sCKAaEXPQeMGGZvsFEj62C1FJzFfB/mBfNUicBkKkfYJIbpL3EABcufoBBvFmzT3LA7J/i5C
zzj8sBp6k1vZ2FbTOq7Xw2LLm+BfCYf49y+P06mtUaNjlGvGRzGcGMw9d8XzyEAXOe4QOsbD8Gs2
yAN1O9PDZciktpbvrGQHMDSXd0H7FJBwOP8w+peZJ9PExUKq2O+hdRe6mKBLnhPGo5ZXdC65eLBr
EcazFPJX3h9q4ZogkUogPDqjDIgDBQE8WDcGSY1iJG9ek2WwDHWw2ebSrcrFC+WvHuZOevXHa8zU
sdFcXCNmvYUszczwPg+PuX+jSJ4ceOGSWef58SHpdjHci2455yvzBplkPp+kHDazk6vrTLtMwyOO
PqW/79J1tu2K02R6o7ouo7s6wSN4kbpzhwLAf5R5PeZxqwGKMg8o2jNtI+cArm3C4audzmSy+Kbj
pH6tCfAHs80tcjiJuu9LGVuQetRO/WVmEhghMoU5Bo6kndaTJF7jOB22c6UPJ7WtVBhbwSEnY8/x
LT/0QiCKdtXJNIiT0eJFQDpXJdTBRq+0tqFnCBpgMsxAK6z+zozzu9ZfBrmgzFISF4diUYTlqLba
LBy9aoSIoPWluIbkiSnSEiE6hY9Wq0ir0oCgnKFiUChG9Aq0Zqoj/JwLL+nRaH2zB3+pgamMsB7+
ZvOIovZbhvRHmSSUWhNLoZBeZV8czvCUiEHKHcisUOV6ic24x9ViBq9j1zQrUQy6747hX+4JF7AY
BRcT5HIMXy7wjwvQOqk3SEVLr5zi1ENQnmkLTOuyVd+jZoF1tB0+/pouMVTHwYbH+Av3OMOnkgf9
79/Fcvc/VCPLlajWEmvPSRX1z8crgdAfWmncZ9c5FZ8DbWbvnjh6FdS8ni7faBbr+t8/8XdZ9eUj
dUVkcixqnAM/ncTzTEmbWVbpgTZD6wBpHMivNn4q5GKfMzXAQdHJW73OM4Sxje/6ak26g3ynsBnu
IDAi7dOz+0Cu+ddMkuxFFT5lC1bGkt+MkU0LG/T4zbf0W9718ZqxG5hUp1T/iNM+F9bR7EfJFFUJ
ejieDwDfoUeA2YJb7YDkknvhlhD/V3LAuUlHthtbWXBu0VoEzB27nNwINbAkbxLFzpM7oo6rhiie
LpDWgd/oa40kWaDRixkmi1FlNG3jNVKpb6YC+VUYRj+n3GgOE3TdYZLFb3469cszoEp4M7klmoqf
w/hUajRTOZJjPydXGXfFajCbO/ImN9/c9S/1DEmBf37Ip7vuB1oCp9lHUdOITDxmI1tHUl0iqOG/
VBPrn0E+qK6n9GRTPXL1xnqquhOJFeU6NsQaPg26kkE+jQu6e+jRfjF+skU0Dc4cTwhekfv6ZEus
M13F5SeYm1IN8CeUAoGLDndX+a6U//oWL111mXaWqZjIyD+9xSWA3VALZ+GityicCiOcgWsTbmSZ
wbANSw4tOnVBB3RpXPq8QVDjr4VmTdyK+c0t/N3L//SAMsLQUU0uswyOqx/f49ZS/YljknAhPNTT
WqX3qpZvUZjVbaHBnJLkEtoX8jw10WxZmpSTFZHiXmKYIO2RIkzLGLnExneKxn97YdLCelh4Zwq0
io8XlpdDHqd1LVwqa5oBSQ4XZa621Aepw9qGCzhvn3tyIUefe5iFwl6koWAboCRXvUCOhyKEV1iq
T988jsvZ7vP3xQGZN5n7xqn+09mv7npw9kFJuoNv5jcz51ld6Tw/NYf9nPtb3bdqgJcg30d1hJXC
P2WTZ6XvSVdyY4E4oYPCuFQVc2ETNG1GraC/5xYUSFi7oj1ikPh9wf+fzPdfZK/9ce+cl/bln5i2
hRDz3/91fEnblw9UleWf/4eqooJBwQ+HGQzZMCNNVrZ/qCrqv3gpaeSjPLBog5rse/+A+RT9XwDz
FunUcoojsoxb/w+YT9H+ZYJmof2P0458Ks7m/0F022/E3x8PGX8+OBUFOxyjbOxzcFo+PvviEGRC
kAi4mRV0nUTqyANKHY3oB727zUuO7tNLqyhnKX2Zw7PZ3XeF10Kb1KfwVuxiT4F9PMYHnPlu01yJ
2sRVs6nFB2CAGyXBn5tBjkCzUMcYOHEwSbczEA9de5rLo84AefnoobyTR48AIrvfC+XPAuKz4ErT
JrjXx1sx9YwamA/HIMNGBwGnFiRzuSJ9EZSW7xSAx1lPgJbpSwJFWO8KfslIRUePtmaWUc0jboJj
G9Vvaca4GpiI2JxLjCet+qYWZ33JQqzqa08eWVK+zwMYJutpwr0tZdUrweynViScHYO+mmD9Dja1
phzJHF5HeF3H7MlMXpmc2ISH2EakrwTQT3qkOxJCu8Fy60mxxeSnXJaHQrsSE+eF/QvA/AeNPO/R
H9baRDiJMhSbzH+w+nwtlcE6K8J9wOjNIAVJGqWtUPR8ieD2pX5dBAuHH+ygUW6GAr/D+D4OnCWB
fKOPjH5wYuvDEUvqcxfsaZcibUImvwhL6psMpJpiBa5PF3DwfwJyyji3avImFd+k+ac53wnWi0QH
pAX2L2W4BadXbSYCI4jOFNt3HYD2xNhodeDWzNzFxRdlPBHZuwXDYXflQOgEAzCthX7a2Knk+RBV
8OI2o+RYeWoHc+JBYT6NC8tMrWy5GdeJItldqJC0XEE/p1FeolsjgZpZ7aqRHYlCXUwHN8SvNQiy
LZmVG1YvObJK8M2IqGlq7oc+3EVh48VILhpkZv0U7UtKn7m44hYf418AVYncxHpgDMAutiPz17r+
IRLQJhcc8zSCNcGUCdCrhkDxRjSqupa6bPf270Maf5QSNFu98YRCdEYL8vVgHPSMHLmAsCpfhfkW
ebN5KlvNVgw3iEjBkYE16A99/7y05rP0mDbIuUOugTdh+cRA+yF1KFRyjlj5c7LQxOgmico2jn4a
hGCUNJp7kqwr3jYTNHyAt7UXoYhhKp58GceBsG4qBbk5QNdwSSNYAqEDe5ZGB5Q5nIKfWYIKOxsg
xucT7YoASDGr/ygBxhsd1ZCRDp51Up8EAL/StUzGU+Z/s+sbHyuQfxYYMitlpmqiCtro4wLDoE+2
wpbmjJy+49QhAOk+GbiXtG/B880yBhaF7r3kzLV5UKt4OxmZK/WhW87jWvAHSi1/Dd4ct5e07gPS
9KDa+uFat6hiBMMupdd8vMyYTUynfYOFTj4ZLvfKltC0qRhSxGI9QLupEzT2/b4IL3htCgO5KZEL
k4mBGyeSofxAiiwrpGyLD9YC9OVt1nt6RibvOHO4maHDr5AmZ5wLe53pHIk/abONwxcFcSZK9h6d
5HBHbrOTmwsXQl/pOkGJl6ydbG387nC2lEr/rzT4+qUujcA/DmedARi8IKpsNaf3YpsgJIqdEIDC
PFKg5D8m1JS5+KTjmzM9aarJ1Mq+ua+/CRGfL4Ehnv4bKks996myzHtBMIclyZCZiqvQMyBvMMGj
1ZxBZsT6K0479IVzaLhazUnV1uSLqm9z4akytqPvJsWJpUKUH8TowFsv4GnS9oHppUQt6hH8601J
Z0zoTn9szOf/vb7/gxjoXER52/z3f33skP7+4iBdicuElyvnfPvxi5N4YiLJSum5QUqnm9wh95uN
w5TM33w/H88S//eDlpISETRDg893KOjSThwy9M+yLQMpTfGp4J7yInMTVN99lvHlx5IoEphIWIjR
VCQK6scfazDFUSDgvsOScjBz/WL40jZqhk2QFRsYX7SAZofSD1iM8jSUKfuv4knaFpqOxhQoGY4p
Avo2h4GbTPE9AHg8guk6WDrwafYoAnoK2OdDAeCsmNGDK65xQMSg8hDy8nK0/CWQTsD6b1tkCEU9
JpNlNUefVgY3Q/NTUlECa9N5lpzGHI6jXu/GkyreVmAfFLleBZi1Qlo2kuaQMj9pRLco5DzyYgpG
grgXhyRnanG2bMsvf/SZsi1EVLDomVWJpWQYXQOvmxw8pAA8u7DC5xAs8RebIMVN8J4J5yBpdnUI
EsCweSrAh41O299IUOyLBv8GKHOJrHo2RLOqaSnfiek2otWntRiebwsFBI5RrocIk4/RrGq+BuO5
D+g3lo+C9rBsw3DFPQ0QKMGNCskXyN83BFyTUHAtMWZE0Uig53EYoZFOvySRYJXK0RdSooDuG6dI
is4024mZS4byboLTlVjvpvTL4CtQRFfAqT3kLx3Hx9A4GdIlzk59uyHGOmnBxQEQ4mBfCY9B0pME
8nsHyIpHGuVOZWq2iPepE3CnyAeamwricmEC71IIDKzomYeTNyuTo4dog3lbVYq21iTOewQvNrJ6
Yjsk0lRtDhVt3lq3VsQj0qdXtu2c3Zlp64UA6leotRyVdm1qqJsRB1TTIvQmp4YfXsHtY7G1zV3H
I/VTxjYlptJ+hlApKTbBqWHtQSKxY1/yjOlnHCIOp+BReE8KmfWeva+rMQ4e0sByCkIsVWozPi4P
ddeq1W3c+yurfkiMeTfoO7nxcsVrQjhyEG0hz5NP7fZdtTH0c0tbw5yNzbKlKgDRSO7gBMXKTUKd
KCCxTXXERDda9MvvgNUmrk9cqxS3Ho/eWgQEKD+ZEi0UjX+tCzZMTL1AM0GN7HuT4nEKd1psbcms
pUOhY3wmOXgm48vP6fNecNZfU+W+1/qjojLNMPSdVDIKuDdxrlT4yhr63E3oxmQFJTguM5/xk+KZ
wjn0aSt0t1X3k6glqq+B2S4uG3HXT5QEPoMDdFjQLhoL5CZVrJy9d4NOPaKTwCfD/SCDshy2En1Q
uXwvRLrDlxJLaayQ8lMT3yAx/gImi9DDCp4iVO00V5wU8mZRyNvQOlP+DebbjAmd9EzymDC/sUVK
D5V56jTJgRyoUHFlCpt4ZrFRC3da9IjDAT3UVjC5O0NIKjlzhD6wpby1a4xQuHsNIo265qdQcL/U
p6FT7dAKQb4Mu9APrktJSXiS21m5mzX9Sg37dVj+zBvUtOVGptackpOqIwXpnsUovCeD3JkBTegE
V1DfKc1G8I+LUMB86PGhzIC3ouAdbIM3LQgbjIGgjExk/hTdy+BnotdQaJwtMt0eRoNH9ZwmvC/j
4pC+zJSjZvdoyMeAZbbpH31JX6kRzyUj8lZlbKXLS2KEM8lPhbhrBCK3eOf7zgmLbY6Z3hfatSKf
pU1CRI66pIg+VDh8Ayx1U5E8WNg1CEayzQhSIcVHJ6Ungxg2ncGGks9elWWkAbeusgwbO5XhCHiq
NFqNgBREvzlVEkoVfdzQ1Vul+naZTo86Wged1xgWdT2trazacrdW4/DQxffQGXJqJSGGTKOTwSmq
W3+idoofGng4c4Ff7ZqOvwiohajUIfaDczBdBEH32mne0UpYaT4pT2F9KzSXKpm3PlZqFHIrvVZt
Pdog4HYYMUNxAxKGPnlWRtdExiriIwhJB0zxiu1DvNxzuu3NfSW8SAOWdC6lLVoyBc/JwKyX80oQ
TPifuVKScEyNuGTtf6g7k/a6cTRL/6FENOdhU4s762qyZcuyteFj2TIHcAIHAOSvr5eR2d0RUdWZ
lcteZoYtS1ck8A3nvOeHMeE+cXltAT/4PK2QYhfbHz3+ORWKEw/SqaCqzV1yrbmHJJ1tMiCnDwmh
il/C5VMTtIdkRESGo6JKfrr4ujjy5sy95WI/5yWoGkjkah+/JetVpxcTYJwK71HI32bTs3QuswHt
OzD4v2jnm8FLTziiKoHyxu1NGDyKEArkXpqPA4REfcmdc59dAXn4QD7kTmWXmqogce9i5ore1OwZ
m11GGN+jeB/t14zei9onDcGXS4+z4LaX4a6Kzka9rtj/tn+nqR+aoXoVGYvPUL2ySNhnCIyqL6ob
4Z6Q8Bl7p9F+HuL8rlxoJHhoUzCbTgVTOXf2s32U4XIwhoQTxudLHz8I+u/JqNNaAOLT3WtSXqTG
mmXV7WQI5V5PAT0sozjHfna7my560PKbjl9dr352MboF7q8GROqyEkbYHZYCl4vlOYXwz153dWhM
Cu+wvpKSvZdYWlkn0hAV5Y2PflpkxyRhDkmMGqmziwPIPuYAl5xE6EDSjyu/sGqFleDioQ24tXlU
2XzsVlrXnmRIfbAs01OCjpJhOqktZwN2euFeBw7TsD83E+ZD93lNg49eFx4tyWJ5hJ9p0CeL95aE
zBfFUW86QuZor4qeEfDdjGQ/TtH1Z/2dWyM0g3OF8ycxxTGNv9LcP/gJcxL1nNl3IZaH0W9uth0x
PordMspfhLjt1KYKKtDiHplK8Iv5JoABEHF2bBFIhLXdT057D4qNsBwOYjnjY6ad/2zYXREBynhh
Po4+/QqPdR8BhUAAv/38yUJ/hL4B7wPifHS5Kj/PbfW57BSnyXbJyesKMitFa9BoiAJWHCOogq13
SFKc6SSX8vmQ+X0ceNhxeOwsn67PTxiyYFJri/+nP0ZFcay5Ymr8nQLXM8K4XZdi+MV6TcjtxL5b
9gSiQYNYkLj53a1uuXxxlcqA4oTldolE1LEPgncZ3SqZyL+UbQ5ouy5FSyxU/MGm1x4ARuJvqeD8
LP6+ARWRB+IQM/KRXnhuBpclS7hbm/XOp+MXWfWu8YnpDbzX9OcB7D6sm1PjJHjrqVKwQFalffZ7
51AGF3dpTsuoDz2m68jp74O8OxCMQtOO2mP+YlkGzhjWULg3K85UfFRRZR9qoHeJbO776bGRlB8N
Y/Gta7Xtd4TqD/OQ35DmhwYfOKeEatjMP0eOTB3V11m7N3mUn5LA0K4Oe6s+rEt5HJvqVBHXl1KI
FgDY+vzIcvInOAwC1eu9gpw3Da+jtSfPYrvg99jV4SHDq7UANiP5+mT4jDBL7rU4cRhPzq3vYH8T
lgSp8hRE35oE+WSw1znXX/uVpznI9u7inINm3FVwC6Vg0wCYts5eR5fKRDSXYKFV7la2oF8Gbz21
xDfW3TM6dJoCrx9PDqjCoGZ3r09D/z2vYZ/r+2YVX/NBXufAvVUV2/GvjaSkZDRvlnvfduTGjPWj
MMODITBgnRToYsOuGmVkfdWUTk1bPv37k+f/AdL7vvwxdGP3a/or0xuC8Y+uX4YSR9V//H8E/mZF
/If297/MpT+Z95/v7R8H07//hb8Ppj3GzzAcgFdtguu/q3f+MZh2fkt9Np8ps2m2Rsm2jv/HYDpK
f2NGzA6HrfCGjtxWJf8YTIfhbwBeN8MOC9Ot6fX+ncH0X3TYsUOLDncXXRHys9RDjfbnjlY1QV3b
ul0PVRoiN6lAtTXkY/QhUjDSk6gzhDQ/iEYq6WaJICLGo5zlF9AqYbj/w4f238wMfu+e/zDq4Hth
Aw6Wl1Jug6D/dQE9qLJWWY7dX5vCEO2arTkJbA0Kadepigiavo3Jz1g7Q68/5RB5xEz2R0+z+mjd
xK32yzLSyHptSRRHXaAjPnSLsR0kzSrySGq3LmxNC+AOfbGJczKRc2SpUnc1yYLZ1D2W3sAKua7c
4d+TgfNBb2uETdcPmnsbImyjpj+Mkgbb6DbzFwJ7i9U5C1LoKgasXvrTDBWusVyShrj3I0WqcBm7
g9jbtJ8u//wT/ovgkG9i2wpib+KRg3gV/dVzNMimQXO1FX51CkBMeVOUHrM+pONo1ZCED/7IrXqy
WaVfV3dEIBWvyv9sFOU8tW43/iul8+9Wwz/9zgnahN8XJA7b081w8eePxYYZGWrTTG4akyTnkxJz
t/nzZyzqUz/paT8B4YpO0eplBCOzqHtuRwag16kMWZF7Js2G+75c4eZOYgyoh4Zi9e/bNom+iIbI
t2M9JRCA4yV33lqQyJ/IINaUPxmZ3Uwci4ompDcTnlwdMIjIGaqDCigS97k0paMviTN5as9qZxWf
jSPSaOf2RdvejYTwAheoHRteBRG9nzWeke/1TGmDp5CEaG78hP0A5L+a6iqKmckShhuCHl5ER/vr
g6m8MX5X0znFNp/3LP51/KiKuFenUKNnslVA6K3rTFzlZRgRmxs2iW6oc0SUfhJZLv0T+doTyemJ
resfZqll8+LhIS0veZutzcFHsg252A5bICqq9X5fFqL9FumgDQ5jP8KwSlPm1Ye6wWrHxWGWlyYK
gUJHukyhSXpcV5S4K4viHrmcOWRtt9Dt+DkTFoKt8+WSuQ4YMJ2qNbrUCQHnO54eYHxAwyNDd1iy
eP8XTzGHE0/FH58aFDs+9hGwBwAHHPevohmRohVvDBsN9h9yemHhVujLSDx7BDvL2vzJhGHPqNNt
hPcos9mb7vrUnbE2+sokJ38knPlLr9ERX6a8g3Nf8qyoizFuy0q80gjgbF8FcheptCUWvpwZuUiB
YHtflTOddWEaEe8CfzbiFGl+Q1+HIAfpBwNSekeADBjYedmHjINGMZ/1xnBwObSCAChyHqzYiLp8
HA/NLCZ5dpuykedySNS3JDTzesw8vxyfCLJGA5cPZRtAEO27/GL6soAgNvKVH2Rm8uGZrf6KH72I
aerHmknXPJCBi/AloE/0PWKnmx07g+GlxW2wBSGHa3K7jgHDDetGCHL16GJry23QhEcxmrm62oUU
v0sUlDY5pMrPn/p2FPUJTU7cnk2ZQe3wRLi9LEkdhndNVYwLBfjqvlU+7cTeAyQ+fQTO4JB27XgL
zyrYfGpatjahTynlgljQy1TSwXhrBtAoJ8aXBjSa3/qknKfv2eJMFOEz+rSnoeC8fKhroa/GN6M5
yrQZmZpUlveKdFHb31s8jN8LsWThYcx0I48iRUIAGidS64l6Em5M4FGEM92Ms3nXOTWrwHyOVcy8
mAzj3WQNv+su68bms7XkbBwbP1DZi0XNW+1rleMtdHuXniMfXMb/pk9Vf0LDTxS4WuZg2nFb02P6
TQ9aJ+zXyh5EORj2USKF1meDdnrrpc4RshpNQywyzWfgJSkIstro+qtbrxPlraEZuRYqQS+iVM2b
tqhM2VM8EDa9a6ekfra5wF5Irdrbnda6eLJuq9ST2w4MLkrtMgtbkW5AZMTJi8NewxpYuLEJTeiZ
XG+bGLAwKk3nA3GZZFMmiP3A2ayxW511jQKPzKzJJ2CwUDSboMnpzgY5Q3np3BywkFuhajgFrUAK
Liei6fc2grB6J0Tc/UorA4cuj4s0PDrCFPWlntKSW1w19DfwuaIPcD1qSNKx7IG/2LZ3jk4WsM+t
s1q85Snj9YML0OsVLyK6j9JduvpYWsMOZsw2uCeyLzqeQRgv2ZumgLzidn3df0riMWEB1wfuu+e3
AtpOorFozzbvvSMys54LzebVJ5EOeqNUWKbD8+qL8TJ1Q9kQc+FWqJIbxlunqa1Ef4DJleeHyBlq
mqbRXV6b0mIr7bw6+RpHRUtYAeYZdKVe9DFd0jI+GnZENMsVq8CDWxQENtZpaV+WzEnWvYwtJjON
GhEYt4yzlwzh2v3kKCKqCieH3xrVpm+PHOYusJHQJIxVgxbapx3DiXm6P3kfvEgTc5n7ZfrkT4MH
Ra+wZAIHPA/EwZH2Gxz6HFX6uVKm6q9RvC7Rbjt7wDS6SngfEPkxs89sPgBTnbx1Rc88tNs37ZA9
1a1jslskvO394Bhk5Y1fDC3tDWn2p4KI35rs816xDNfqa5oyDTqQmeJtamdmb1jY/bm5huMkkKhn
Ln4NnNbhihbLU96jI4mrWj0GVWHpxMmdDBXCuKIZvLNtRpXu5UQC9WHIuY8vtbRl+2I8rdxbjzVf
zt4rZvlumcXimMvhv3xwOp0Ud8TfsUexM3Hre7LU8Tp4MWnu5DHL7qyWaFNHD56+eEshDKOfeNlo
SpIUqMHK6c3pDZJs+iW0DskYig3go0lMz2RNu+c78C712HCr964ktq/CRG1ZLiAxA/ZDgjjdNS6b
Uzeo5okJ+fgjynX0PheZj30zzdVdVGAQvPUmhnA3rVknZgJdYjesFR/lzi/RnoBvap38HIi0YEvk
RyuquLbeUmYjr32tkwVpQb52yEEthr3jirWDiMaG1ReWi3L9pU0L2AsyN3e2qNvkyeq2dM+d3l6s
pq5bVHwb2oLKO6PLrmYCoaa8tz/tjLdlt5aEDZ8jQXLEvrPriMQhWkAvCSXKX+S/W+JM5nDB4FR5
vQSfHvL5MfmJM5YNesb9FcW6r8iR7RDiN3Gavwx1Ax8C+XDy5Ds5/JwQ1T4/G5pJwgJsVPs3TjSw
khJhOTHS54XN73vbp0BhugpAemjz9JmycxmuUhfdj7AZk/mmyMqQjRE7SfkBzR97mtEIjolJWP9N
uJBbzyW/zos3ZuL7yBxiS72Y1ePaOD3jx6oZztmqmujWatkzOQwXPN9rWq/iRsiEtfNSdM4HD7wt
M6g2nb8ROuu/+tCOflqnI+Kw7kcQmMOgVtT5jCCQx46zJM85b/342gx+2e2SvKjMqZ9rAUMvqhi7
1G4Vx5gK1uAe9mZ0TatMOsdBqxyjY5NSVbNjYwseLDMY0mSwnGSqqx2IktrDSFNOzY0f2IE0wT6z
n7Wr+aLB5DIZK0UM52gao/qoswEdi62sfqrZDZJbl/Rg8hvkx9BvTAZ00mk1sczjlvXYZoIleoCq
+K0YNVaBjqHMd/KQqIv9eGFK2Dd0obuRnacPDAfbFI6M0lF37TSE5Flrf9n2HnNNYpA/l1/lGBJS
OMVp9YO8Yp8UpXhNvGPA5frZYaNKokg0D3B3vIaYNqtC6KQiT4eeXejSreesrwZ9zpuK/elUWKIu
mrh0fgiNBvwSoT361HcuEYrt7JNv2tEX3nZ22AQLNuh/jNPQyJu58Tvk89hi32Rvw58MV/SPYXFA
bZTE0Kf7hHwTu+/cwn71fR0RZ53UpO8k1Vh9aVQ1ADxSvUwP1C5BcJ1MHhie/dx7HintBQnZgmue
rczIdNGTTHRJj4fQRAT22foc3/taOHF5H1beAp3V88YXep4cxGbvRc1xtiJkD54kiAlrSlMmoBxK
rKBaPaqdk64DYqy5zz4GQ2zh1zUCZf4SVtyRBXmPonLZPrSRV34fNcKOQ1tFfbijMGGhHMvIOnhh
R+Z3AgjEY1vOY39olOxTdCxgd3ZuUgNDnIJ6FPvYUzgMZE6NkeTsRPcu7xFP6txThwx0hJ8XoS0n
U17LX95gSTHAoETgkXJVzuYhjEn7cDymmATZkIg+eayx5ryAcNBH00SSqTchR8tkXMXApWFA7Dyx
OHfdorMVbRB0zgDtqTirboJkiMqBsVtTW6BVEg3YcpjslHq0n1HPgQNR/YDaIFuYiY7216jbSO+7
2IEwpcq1eVsWf8XJkCZc1euywp+iFHvgBC39XbCWw/c+KVIEJF2EiWcYsoKVoMblQb20fA4LET+3
6E35AzpGa0XNAK8liOfql8nlhLRKuCCMl7GlIU6LlBgHdq2pg7hGDx/NyvYAvKOd75JmRLFdFN5d
pYXCbRcW/sVzy+7suON0wL7gIEeK15tWpv2dxvXAVgHEtmD39rhmLsIh0I+gzQfqr4nhCyxOJuc6
6R87PvB9qatnf0ZgM9T++NnECsaWduRju2aXolqAGdYtVptAJO4PJwsL2sZS3eTNZM7ZBPBY+jU2
23m8T5f2s/A2zTSLjgaAz4HjIbpJWhsQX1hcHJt0D6FfVSieOhyGAdBF3m5xZsXUH+syA0QetO6h
ayoQ1GIBVzFDM+zTZTwHdU82ZSvVR13my43B/nsYlPe1KMFgjFvxUSIk0Gsob7ucl7iY5/OoOLQn
2bfnzsaG5EOhj6PufmR0c+yXKnVdXD//1CdkBpnkvtDgEBJ2pN+1TSxDZlnbQzKQSFbk6URX3S+P
MoKDi7b4BGlB79Mp/+kFHMthI5JdZ2zBANovb912U+5krjktG8PYsNUjxuOGau8xsXiEqjIJDoYi
+nW2Dnd9FX9Mtzwyj8Dt6xis9yF0IiR53uw9dmpl6dRCLB4rP//Qtc05TFV74/YkIwRU+l2a5k9B
7dSPKxUWAeCOcygi9YDdu94lSUu+/Eh50CcdRleX1USyjM9j2yS382DaJ97B6FIIzY3lrtgOh7p4
b2vvEzwD1kFVV196VV8ZQ5IvrzW6AT+d7/oxlbe/R13NYqhOYxWVPG6hu18rdqN5Wh4Zglyiykk3
uho75Nh35DnQAb2b1dHJXwN5ckd51XmbUiqXHlGfftIcrY5DRJTxsPOs51KWm6coWdVDkzdHWRLc
4S1z/Vw7aPtoHvBNsXL37YDT2NbqNtKe/RiGeNDGSgwkY8liug2H0bCWltW1Gyj1IHQEX5gk+x+A
8T4HVZ/jENGB3Q0TRBnrzwUV28T1F/Lx4x4k2I/bfjkXXO2A46P0PM+pZS9ki/FYK2hXVBIfbRSi
bdVte/VzPZ7IvCruM5VuSk7UCrGoWGGj4tjxvX4jBZ4mmhkEO5w0y2g6y/VeKtqHAT4CVcxpEEMB
zVRl3yLlQZjFHwhH4WNET3wbreJ99RPxMIUKjmWW3RmhP/SJgiwtn+3UsloYyM1JNiL7NKHtUFF1
CBVaua51utulkv2dzED7c5Xts2rbhxvusCKmMnTgmjGtZVjL3cUStRpn+imUzsea391+CGsDfd/U
pwivwWkoLNEpWO4n+JeCkwsPiT7L0UJ7sP7jiJn/eU58+9BQ+xJFlLs0Xa741tbpNUvQS7QoIk/V
AkDHuCuLPc4rmYjbeKrcD7TW9lhEYLSieMy+LKGJWV4newj47hEldLz3BlectOPFX40zugcEfy55
9gltvSV8fFucBYFmnsALck/52pzAFS3nuGU12cuffdekRyXcV2XqMyuodFtxoGxuI/Ia2Mpei5Ho
5qHnteRQ8s8SE3Tq1z/yhAfE7zaGGiyAMgC+OC/LszFTygwmKi7Kpa+fI6JrHEqMeJshoZSKbqeo
fm7nlT9Vxst9ni7FxWaCCNkK+7Fi2rdvpyLecQ+bozdHUFuzGilWMzVvw4JQqlHpj1pwXsssR1A8
IlSsyym/4FqaMCBG1IjRyOhFpPqlNJCdUZF8WaDqnpuWsqfUw41oZUm9PbjlbdDDnsAEl3yp3Ro6
kJrhlPRmWW9yXAmH0hmR6/Ac9Uc1xsdyKT4vYXwbxgwIZMq7kwOmXdrOfMkG3rkCA6lgUbRLqwCu
uN+9SU1mu2SJ5Y/1m4B1czcF84PUWX6REYCyat1e4Uh417XILwtzQWa1M9u90s73jZ+gusroEaO6
Kg5hC2iSs3/ZFenWUhjPf1Be8ykqRXf2C8y1nsmRoJtFEIttHjOm4DvPcb95mc/LFDqCd67nO0Td
hFpesEntgTrq8mEiKPDY4E97IdEhuc1TkMbsHN+zMn7VcTFfXNMkl6kyuODbMRgPtpzA1nofw7X+
PrGWGXZzyhMyLvEnlOr22TM1agO3wp8+hjPzi2gA7hpygqWKM2ZiBAWVqevO9dTLq1j1CKMeScXI
4Ha/ZAjJg7xBSbvS3PTZGOKD78y9VwPOyUooqzQjqKrrebmd2Tvs5BwfXOkE6J+gz1czDiZrpqeK
2ceuSdLiMgft8yA83GHFiNChaMz4wp4fqj5a36dhGW94RRD7UU7uqLZefQ881BpumjGpGeQuqXzJ
aGh2cx2isBoDNqZT7p2bQM0FYugeXJTccpN9RhtlQiD00q/Z9yZNh4dx8udN5l2QReEsMWxTFB+0
erRqfWPPnvH5tidCs6NuvgkHBu+NN3we1sG5DJlXfi1bEj9oqbJTsSH0vbUdbjKn0Ocee9/Bq4gW
KMDbNMg94Eo6+N+Al7eXBN5ViGTsTok6exga/UHX4lRBfT8ECxrAwPbqWDvyJaY9JDVzKD+55Xib
5zxpTcRNydEMNngCNHvjuf0HWi32CJRjt0VJasgsV0ol6brfUAtc1hDVAyPgGxklXwcqrlvWJaTn
DcwCqxUeDziC6ANfcdpT8u5COywghmdxXab4StwQ89ykCVHmMUXpMbxCIuYm22VTIC8GSeYBLEZ+
ZdpAodiUxz72p4OtCYlZE7Ifuo4VvW5Tlr9K3MzB6H2Ow6qSAIfClnQaeS+n/pdYfcU+S/ofVhwM
CEgS76TMGB8c+30mfYZTs8WNkBO8Elc3qSlTtgZR+Axm7uM4psR09OO1iedX2c8B+Jy8euKGn141
Fvq70fh89mvxCREXyLPKecumr50zB6SFiGcVINUeKonVyVdMuYpyaj+7hUNzEwkiB2CU1Vx4jwtF
LHPy0Tymqk7vQzHBRC1GmmGm/QWrzFPWTB+nYq4gE1R4CEWDLA9qCuHcIbqEte7gpDumZzQTXxdE
AN8FMcAkhjXs5iImoDfpqrGKiDb3vwu2kQdT4l1Z9PI+2VdL2HsYzj/zYfwyd+alRLkwtumzddZ5
3y9tdV+yrGCA6yRz6iAyU2YJUcpNjXjIinKur52YQR71ktf6vUe+VDzYPDHZhRRYRk48DyzpkOAS
A+wdl44R/LTLkk6K9X4u2wSF6lDkLSkSy1xyK81KragW2z4XiF19Z3xMGSwCiQ28QnwiwEuKc+WK
Yn0siZ9J3npP+pWP+rUV7atkU4HcTSUpZA4m+CFtyVz5wcvmVw6vg2DAfljNmHufgyDr24ck6wbc
7ky9necBkxqPb5q2EOlI58ofPEPM6lUxz63vEtUVX8WSDAwOOrqL89C6bEl2jWzK7rbnoR/3uYwT
e4lcvYIbEQmOwPeY+q49Wn6N8QPiBamfpj7t4fYyJwrpHfVqAIWFVnrmXjE7qD56U6/bX77Qeu32
/taMoSBkn71pMWOlzdNaBKHEp79yH2ZBNda3I6+A+5JhNx8uzWjUgFupc82Dk3TkqtiOVuoL+xjN
VI4wB31u4AqhikljFYw89A2RHcyZAMcQfaE7xQZKaxVysK3J+lNYxvuommKiultHIj6K48Wb0Q5b
Ez3nKkFJwzSEFcJX4xZcwH7R+e4HF8cpDgMJtwc0cDjYdcFvWHuaaUjkBkV/kIPnOHy/cxwC5adE
/ORZpw2p6aSLvNL0YfzC9mFYkmPOUBdhaVhy9b9FCvH628yTEBOBl2WdPK1x6TeHLp8VpdFap0ij
HWCYzdc+gXHxM10FFRGNDf2JLUswwPDDXHr2qagxJ9JiZ/GtHeYIlbuvdXPnyF4F55aW62ufBci8
GG/keLgGZgZ2kDFuxLFoP6rCZ549yaK7dxBXgTxNliT4KXDgg5oRGG9vw6qbw4txcG2dMqa7mHps
vqQXKm7gxEDbZHoOtm0Y3FOdUYo6HiMspwm1A6fLUF0uYtbZrVLQq3YmBC2LDrxpXplpeu9TW+MZ
iWlAqwehkkKdIm69axvU3Ws9KxEfsjwC/JESmtKaJfNp/xf/Q1/N34tFOMcRV/6XkPca3aRXP7qB
rt8k57XSlX8b2tSHabb1BxlEliMiTS6/1r2zpXqhIfE+INa/Nn30nUH/t8lGxRE6rvc5mu1d4UlU
nTOM2Nap+clTZL+dRCQ1aCL9gMjipciLQDzmTU42ZtOjKrJL4dLSp8n8U+JNv3fzQuY3fCfhGwMM
XugWYzO2lBwNruzrL0XQizsmEo8zU8hvRRaaE1CE5K2xDrEGY9oBWmA75ukJ6YWWXfOaS8T4HZr+
b2G06DcWuvVZyrQ6l522T0MecFZXlePvwm6Nod4GbXVyolbfrrPHTxrm79M4LEe5YjP2FmSbbzol
pmhMkJV7yyuqlL1Kk6sJ1HhGEoGtzqm6K5NM59ITVxcHiHWtdR/94UeEfiwSFb/2Kq3uhqo9ZV3J
HJ01MILvfpDHdRlIHGV3Um52nnFoRp40ujI0bjtlzE8IzbdoUC4iKmq0f4lG2ZF+KOogIj+oPhZS
fO/QfuwxGDDY99L54+qv+d3SKcX/2c7yNETugvvICdBg2Vb4635p6goVrmvX4WIaG+fnUdBN4pnM
0/fGjbNnNAcE+lYFsZRFPBUfM9StAYpvH63FdiA0l2rom1uOcdbfUdyhe4MQRbHhu9ox+MoIq7rk
PnXnIUG/SRznWLs/3UY7EUK7vKxPYcfYFXpoRE6OZs/5MVe1b85iXdkkzM1KVyRtlb7UfFIY6hlq
uQdqtjy49n6P8t0amCFSZOmPpTSw2gvWDtMRn1lD8ipevi8mlJgLfWpa1O+1ok20aYGEDisQDUNc
jxNTa2rBN8tOdyArXOvuWMZUowB/CrY/KhuCr+Goil9sRFgzryv7qH0uasRzXixC8p1WWksABOh7
M54Be4gAAmJNUeXmVQhLwMmRF5DytlQFZFQ7uKTwYRMNDiXvU73LI4VmwYkbzJqTXh3vSq3So97N
izQj7cmpvnhywZfoJP6WvumiRzhNYYOkeI5W+aqLekn3mi11iTg/xpe6BB7attFPSnt1h44neWBh
yLC1lqy80N7XhygH+3lwmmz4HXvV3scdPwInOOC420FTzO5bU7pXN68QsAIwC9sXa7XIL0mxedRC
KqSHucmwt67zSqGiSg+0aJ+17nRNZCqSL23oscBnP8sgMjSR+1A5UdnwcuY82ZWNV8R+aVSRsLvO
6rmkYS6JAiiL4UhSOuG6YlmC3Swy8UOg2eeX6OvFuUGMkM5f6H4Y9UdJwMJsUDL6FSp20AeRBdN4
5LIuv8RxSGiNWamdXvKpCuM7OUnvi4kxmTm7vyW2arsudEnxil3jYpwUZc8iRLAfySpyStIgMl8T
1bjPfytYjRpDQCmNHjL5oPGJmMqWJfsgWEWRDQsa7Ovf8jjOvKpJpmMWN+OjWUuL+V4inM/8cf75
t5axdb36RJgx6PEnZIye/jF1vvcYrwGKdMU7s55WU5T9ze+Kj3/L8f7Yv7efpuH9fbr/3v9TYeH/
U364/Xv/R384/sfvXyR/7zY935/+x7GdoOB8nN+H5el9nOvpfzu/tz/5P/2P/3Cuf156nOs/OkQh
21fLy+5PQkE3RnD3v/749f/keH94n4r3of7e/hz/KC/8/W/9XV4Y/+Z5xI2mkRNCXIbkz9f7u7zQ
/w3qJ0SDzYYH4z3dsg3/IS8M/d/C7b/wF4Mw3lAM/1de6PwGezL1UN8l2OYB8P478kLEiH8W6qA0
C1B4gUuMkOngtP+zvMtN1tECtWWy3issWGPI6zbh80ZDkSmycuQEwUMG43Qc46I4V4HDGShiureQ
2QGjAUt8WWW8awKG4Ru6ivZFWZQf+3ASSX1aSf7dnEtp9hktznCT9nCDWsxQpz986v+NNHH7Nv+o
N/pdMAdfGJBr5Pue9xcTJlKERPkMmBm2rf6p5x0gJiPf4t7yiSCOulFPnQ2KixGpvHFWqCb//N/3
t3/gv3wDW4ghNIIN0PMXmdwSwDEbDLg7Rk3bBezI+8mU+ONIY60oeBiGcnTq7MpISFziWS6HIhef
OOPBXfUL4/aBgK50xTNWjI+rlurRS+14NoNKz30yDuwXUekduxGwWtH24hkFo9iXQZR+4/xkcRlw
6kf7JcZTAME2u/79o25W/S9+VHcjIfzlR91iGxADhgEKr+AvRma4p45GAJLt5lJCBhyr9GG0Tjie
1rVPoxMaBftgUM5g/LJJwkCst1g7GGD5+5pBykuqTf09HjJWpGwu07FhnGkwReXhHAqMWBVP3D//
7bjO9j39+XuOEozQ1AYIfbBP/kVFS2eta3cisX6CufLguvadZcaKS5+WO/Wkvm06k12n1NI0BOsl
bgxji3wK35ZGYzH0bVsfuhYlvmsLdc6GuO4fSqQ3t4F0zfNalMmPfOyX6ditQ7mAGGjUM0s/nIVV
ash/8eeTHxFwmwAbqbI2oCf+T/LOazluZM26LzSYgDe35VlkseiNbhCkKCV8IhMeTz8LpYh/1Dp/
HMW5nr7rVrRYLACJz+y9dqZ2RkkxXdUNTvs0V5/52OoTHEr9mtvO9FM6ESQWqyyOQRoRhRTX9m1t
0Ga40sUz1o858Wt5c12PTXAOpyrcym6oHgOvj75kPD/rPIRX16nqVSKIfDGCwt90UIzJf2TAT++D
srRT0x2tR7E4MyUqk7wcj+j//dt6qpuTpPE8a5uEcR33zquj7fjGs+YlTDN/CPq5uY3bdMh5wZHY
kOtieHQcI8s3iRFfqdErid9czARBPw2ngGRacpLaK9HM6e2YNWfETLtRoz6JmJhFnflu1yrBkhqG
7QafBkbJymCZ4QIfu7fSCVfUWPX+fhw9sSnHMMOAJmpm1SlVUSR5tuESo3PTuB1pIl/DycCC5/ft
nQqafJvDAFS5IlV9LP/GbfuDOkvgMiptmExATYD4897+4/ipfZGO0pvAKob9QH2LTmLtyaZXe7uu
9c9utM3DROO6MbJ0Og9QKE4oTl9bwzbgcuQ0pWy1DBB1tEwZey/BAp6G49AvT7/Ny57pYWD9JVvm
X8TGfGof4glMNdIRXPNPaHIV9k4QSLqBsjYIv6wRE0QDnlbbpKMcuYOolfofVtyzqRAk/ppiYnDP
cvH93z+efx4oy+dwPYekExT1lv/n2Tk6hkxmREoov3v1FKVc3yxQ6SbpJmtna+U/ubXVbv/9D/2X
Y8xi1xKSc+PC7iWe+0+irGn5wjYWzUA52cgEk35QJM1q8b0D+9oB9xLVsPcyTCB5DvErJpQrrxcZ
U/zeK+rGNoncd9WB2TUiTK412NBrn3BWiCgYx/79h/X9hXH0+wEGZpqKADqgZ5tRZC5VyT/U6cMi
YkJovUpho6y9Ljjz4T+TqXYcWH9BvI+SEASlWrRTqQeapvev+8QWJDsi+l03TbqkFtkftQvphY4B
eao9EaQH1xnIZWGxLo71Z+UYBzYB6bHvW43ErXp1JgVSyWIanlZN/Oj7dnnlU9/S2LiMwwVG6jmM
p31PJs4midrokeU9QpSBUp+tT1WtkzboiPvmX9Y2YN8VgxJ3H4niZkxsXEwuJuFxwjg9q757bWyn
hyKH1dZDtozCNGYELGI/3M1MRr+lUTAdJaOYPZkcettEIt5R7BPPLLBG7ZA8+o+gdeliVULkQtmw
iUp9cvpM8q3osNx3Lxm8ZA1AD2VUZvlvozRAZigJ6dad8uGmMgwX8YWPS36w9Z0H/O2+Nar+yxUp
aOxyzm/NGnUb/rx+PiJvHGc2ZXawEdIYN8GonFPigYBtsmFf20795seoLARItVsP5uqdkTmwNOMK
KxrF39WYFUySZI/eRqI2sXMS0Rpfz0dd+AzWYNScyxoJNeY2gdmbrQbDszrw5AHggvvZKN/atsKf
wex28HAQybEB65w63Ve1M6w0uvj15KKhHJtw2oZpnpJgUuFhsujONu2ywjbn7KoUaXdLf+tvQobm
N1kbXoU++5ky9t5sM3auHZW8+CIj2VfTazV9egoZ2q1UifzcHKrmtjA8ya6lafc5Mh6MH0Gxr3y1
uIoLCV8ClafEo9pxnT0ZntpQP8+oIU+NbMNz2LM17fOqOAV9xSzSqhkaB+ad2RjfkiYdHyY9k0JG
SNSwqnu8mIkq/C1yUxYG2mZ+S8oz2+U3BPfyfhj88Fz4k8INns/PsZqsF8po+0oKplCmyK/wCiw0
kASVeJhPT6UqDFYKdf3QTmN+PVZszOrMf0VBi6WG1cQdIqbpjuCZ9GhUoXvA2x0/FTIEQdYP0B3a
MNj0Icm8dd+xAkiILuAOi5pNRnr5RjRj+41rODwWXvsNmXV6jNrRvuv71LtBNSePvOaCN5XDUkWp
Kne+D3yGORZL5674MSHe2JeyGwPUuE7Pug9JwXGGYrsD1ImyL8P3rlXyQ7otts8MTRaSaizXdW89
xdWEW0XM6tSZVKc7bUvjvuWBuWdLnH9WUpys0B232tXyO7UY3pY+Wu6g0A+PjluCKkk8oMGh7l4q
ZT+y4nePtKkM7gsHO57tcSPPCALx69RYAEtUiIeCC3BbGYn7YXHovxo+ASjkVdjPYTHX57qx5Rul
arKdnWy6aRyRUxnnRpDt2TUUq3YohmpbNWmCFkQF2LJZYaNDzKMkfjNa39/lWZb+0IFmRIs4tTql
jYGuQLrDVSFsG0nJpD4x634PVEVggkaGjKR0wm4U+XsLQRWsItFep0U6nxtbe9eBNyLnCOZXJ/V/
Sp54/InNnldjtBOmjfAqy+7soiOqOxqjTVxY/r6LAvejT/2DjOA1mExcDlQzefASRAtpqo/wuVIf
pcMLw1S0BSyRsN+6haWAZeXteVBSfJ/yBZTroqarmwFxzlz1874TCmG9B0sTd1F8iBAN4SOU6S3W
CZMnLx+M20H11WMCgIdjoW7SfUHtQH1tigODYsSBPkO33mpTTMDT+Dl1Alt5LSukjR4zmrBAhtP2
Y/GV+sRxNXouX8NKjKtBo8pD39g9Jp3BwU9iTtwYMKt7dzhlPmsAHmjrFmUUGY6oCLEmeAFeyias
K//Yj5gg2FiwVxKVh8c2RQ8Z74OhIM+a9798n1DiM6DzB320OMeytenaBk/A8uzX9RIpUaQjUTlm
eU6L3M4AB1jE0vaxw3A0HSt7fE7htexqsypZ3XmdiWsY88kXhgxpnfusYb5y+UnZkPkncEqCwM3l
MZgYjBxLtdipu85CdMBrBE63Tn1ffnURtlPJJ77tUUUiH3cdMsyEb843FOrTpuNZ2zZNG2IT9ngB
o/hK93XVjXdDNTXgtHyZ7rNxtm6DsA6hNy3kKo/Dtyt9oimH0RrvqkDaHMSxTrwts2ld7xoNlHw3
9KkaNmZBjXItWX5xv7ZoKSgQU4wcoLTGMgxveI9HL/zwQj0g0c6yz3hk93bnomjp1i7FSE4VTBgI
EYixydoIWSkmiqRsv/raJNcd0dttTUr14fJR80i4cGHadD+xkHqqzVIfvKqwbsuO29jSwrqFP4v+
wOJlTPOmw83U8qqKecvcWGXV+Khf+O3R/Efb0s2nBx1NuDNCW8pnyVgVfpSYKIEcpuB3rce3ZbSB
3z+gzUfBPkumt5ST7kemJLeGNU6BWLkGu/tdRkMJxiYf0j07D/4is2IF1Yw6uvG8Rmxmxyne6xgc
M9RfEq/ZgtfvUadbtdYyrB/smh3U2ioEaSVRn3HDysS96tgtABSpZq5GU2dBu7GNgK18U9f4zbNM
GjDEuUiFpiNCFDyI7ZQM+qAb2ztL6kS29VYEhLuqInldjOZkbQKUUS+RkHx1Y56h0dd28+XKIHqZ
5ilB/TMT60NFMXofBQasVyvqEVhKaxzrXS1dkk0ZifycQyM7uZEMd54tgpWsI27QBKWcXR5rHUPg
6RIvumMrbWwrL/A2Q+AOcpv7bbGLUiNBgjdNeBOqexPp8kfBXvXkTfpqMCpr28xNdR+pEbSGMQ+3
CfJ7qEM9qavFGMRPTpHrcetmHpjB1gJeRDd1dIpiOkT4Kc6Bk9X3XWG7pzlCVycLfNlF6+jjUFjp
doiipVNrFjA6lcSOmNvg02pUwekDS/WgmqK+ttrJ3gRxWnw1wZKbZu/zxGQ74UwhlUrdlQfLCqBv
THI8lXFrPtVJ0uXrBOPeTJwr0hp28XX3PrfFUqrUaDsGafEGiXOAAmmpLEAqTjXttXIOTFUQathB
DeO+knMB2iVBjep07Ohs1pzroJXWVVa4wND82tJ821ZMOHLtWzFqyiq4zhtj/OEi1tq4hW1dacdk
tJ31MIZcbS+pn2NygLwrTm7Ok70u+ukltt1XaszHIBFwm+x0bahaXzeTae2Lrn1wnQCOALBohj/6
U0iAAG2Agz/hjifVjEJqQu14bwwo98cw1XuEsffJYEJ3SuglDd+bgB7E5KT3vOhb2xvPou27aykz
eUZGPJIIlYXfnKSy78o2Qo405M45E2G1dTW4SYugpvUwaXFqijy+9QFF3FeJyp4Rkr/WEq2L0yAj
darug4Um1nevTv21kaBHTrM03RRYwEhMa16EVCRJj0a0blyhv3QK12iew4b7oNUE+fqkPds6dPc2
i8E5BEUIK6hFZIAYGOQ8cKvEcgK48LbL1Xe+0gpJhD2RiMsSRBZ6+1+QXuSQhS4+hCa8pXkRWzm4
QKva8BmvzyqdTOwpPVk1Ix2bY+nPxm8fws77bufWa9VzpiuzftBx95gb2VOSgBXM0w87MZ8vndh/
NOn+v+iwx4L+W8v6Lw77W6mHj+mfI3D+h18jcMf6bzr7iKwdDPbgnJbp268ROEzYKECsZEL1ZfxM
h/v/RuCBxeDc4eANfZPESSz2/zsCD/47YtmPb8dGPrSMx/+TEfgyS/+ttfbpqZfEIBOPElGFURAt
f/6b8TvN2qlua04bNSkDNy0e4G+eJf17fAkIjrRhEecyOKCLgmLCoZfQwZ7xobl3EwUdIiSOveAv
Df8fsxmM3w7lnInl03TQPzO1/OeHYqdQV6IxiLTjsXtJlOm9Vl24CLtKF4MW7QWcFzdIra8e21WJ
yyUCxWOXjT+icwnk129X8+7XoOF3XOAFM/C/84dfn+fCQXADJhF2uBh+f/uSPA+0aG2H2OY6jIgb
W80uwguzNbEdUPpTjmood8zH6pZEd11+d3uRQHKZhGOy79UShmrRVPWaWeTiJSWV8CPNZnraMa2B
Nv7l4/5zHM/Hhde/rFSYx1uOfbl5fv+4tWxxsQz2sAExQ38fs0ZEAOo24Y8U9xOq07rJp7WFfyZe
NaPSd0xwIbr1sRv9BbT4r1eSeCfGIozaQnJySTn+5zc35CXGTrUAsfxwEYIqxqu81yvsGKRVMeue
sooyN6FdgESGOyjaGX4z4AvDYAR8s8Ih8rcR/p+3PF8P2l5A6OjvPEaAf9Afe1tG4TAISk8/tX2Y
MGVIQlsZDPdA2e0fXeCWj33Ig7DVmGSTAz0VchGzT13k/QEb5UJxM/xlIvcHuP9y0UiWcjkK4KG5
rvfHPY9IG7tnjwdQCErHLybn9qPRFc5XRw7qj6ENxFIeqaHbtE3bQtF1WqNYs1SnbGKlxPiqxugQ
JOFwGwgMxStsxJgjygLW6rqC58d36nqKHGCGQBGmrLS4mzrDCVZVYlF7D8k8TWfVqOxhisvixpEj
kxf0avomti3SvdPQ0i9/uVOXy/+PByvkpuAMY93HxMYJ/rg9SqxjtiuFu7F4b883UZ+j05rKsZdr
CAgliMARgzowN4lKS6S2+dOJGzBuiZIDDDPpdE8BD+BXYhjy9S+f7f9zmyzrtNBzOWr9wF2Gkr89
9OZsGCzHHWfj6LKgddUd1ne/NiUqZXaXqwknaoz8tcgGuld3sHdsMMxpw+mZkRplBE9V4mB7/svH
+ucsdLlPEKMg6mJ8wErHDf7YWTqYt8qQlf6mGNk70TYmJKKTVDf2nM3WTLvpeMbHGDtLe5sFGvCR
3yWfeTQ3QIqx9k3/8Sfy2PjyLjKhoyCeC/64c5HHaUuHpJ8mJN/1OwtSxEvX9hkfS03pZ1eyRdqU
aCWbddcwKmVcmboffhph+25jW//ltEZ5/s+FKN9REEBAdbl6Jm8PTp5/XjrbYiWYOVFLYalSIrTn
2B439WSm9yT+EVkNacPBa+mZrbfJc0cwUY1GqjU7RS8MUtmZ/V3ozNVPT6cdeI4hQVYed/yaRGE3
Xn8UtTHzOGY1kFLPnVkPWNVgfnR1ED0onRe3bM+GYGU0ZlZgv0FCcgjjTADQ7JrG39CceG99gyr+
lLZtoNfk3MU1Pyj2XYSRRlo8+i7Mg9UUKcvc9Tlb6lsNTG28YgPlL14dLbjGlcU2aowxCxRmb7Jm
nIpZHUbhgTAtGjbbK9djkPLo4YmsD5EnjB8RUcukVhrN1Bxr0y2fPeXraBPW0XgfBAUTn5yIxPyY
q7wjg8EN+q+wKe3vZdcN9orV54i1wPDj5zitrUOnET8DSvcQp4HVpOewYgWtKso1lMKoqaRx9PNu
OJhz6fD6NLMM5p7vcMCbSEStTU1gF/yDrFblPlhuiTUq1ck54WOIUD4nLQ94wS+6E8M4He0QqwiB
5QN5hY6NlmoAiyLYH0Ym/b2FPATjANdjXdsmZDeGQVW+Gy8irUorcTMvyi08JP1dtai50PB/EImw
FYvOy0bwNS7KL5zMBVnryMyUc62q+UvickWu3QHu1Q2WKHZGTM1yvI96bySopIwBnZmtKe7RBcud
uajQVNX0V3jqj4H/Peqcc7jo1awYb57fmbTmTD5hzom1XPbcGqEb+4+F//VNI4Cjw4xQS3+XzH6Q
5q8ZtBNZVYGBTTM3PcIu6K+nvMuQKRWhWjFkpScUBVivbBHf5fyzt80WHv4izWM+kXwMxLMws/gW
KLv8RmwgMj53rLgatulQhixav3RR/fWL/s9rmnO6KAKNRRtYLSpBuegFi4t0cFhUhPZFUBi2doy0
qem/kDAjOLSrGu6m22vjjlxHcYekKLhyGFbNK+kv5u4YjiZT/HwnSuWurL7GiIPEkVLEfvIqkW6t
rHyvkEE6g3MsFl1k0TWvFULJeAa12Els79ivkFEi+iMtcNFW5mOHWyEuEBCK8uwvCsw81MNLaxXW
ViHPBEjj3GkLVd4qpEeLLjLOJK5FuAEwJb+laSKPukpYSvem7DLGjR0bDM0v+gPYUvnN7Qykorhi
qAOQL43xtXuRk1oXaWl6kZkmgaJFFNjR+ysZGkW0JxsHWep0kagav+Sq5iJd9S8y1nrwRLSTuI7B
HS9KV+uX6hXVt0S9PCVio3WbVfetMoOf4iKXrVNMmKBT4fxym6g3BN/a3fsS3MyNpZwA78pcMvDs
LlJctgCLLhclfNaS87UIdpkrId5VFyGvGdVG+YZLSDB2kkmNBMMYDObKRpmpnOXxRRPsezoKPv2L
WFhYU4tyuP2lIwYQEQRov9gUHVAi14iNL8JjPC+hdwgn3taHybJSHMlsh1Eqt3gA0C2bSTwuKmaA
KGia7YvAub+IneNxET4b9UUFLXH5+8+OgQbtRV6k0vNFNi3YcDEo/yWn/qWtJvC1VgfU8MIioWiu
QoDWFTOzqziM5EIsnDmz9wqhJ7znsSPB0rqIuaOLsJs2S+tDzPZCH/LOTuxX4yIENy6icPMiEJfB
IhbXjhySbldzlGdo1i8Kc/+X2twMrJanpcTo74EpQZNujrz3Hpi7hMFtVWVORVapNuSPNJptFO0u
de94aFNuEmKzFtk7/t1FA+9eBPEZypnyqoms5E1VyNJvENiH1rHRZidus0HVjC8KtMyrQCtpPocI
S6NFJa2r2x5pnP1kDNiNN5MYDJAtfu+5r5FB8M/RD3vSN7Nf2n6WBAj92b0tqn9VT074WXmIiM7M
10vMzxebAFcLy4CDkqs5hzOSYWNVX4wF/nQxGVwMB/HsCncBXvd+nG+YoKpIbnohcSyxLGGmtM3Y
QmJdGH8ZGaaLq6H18S/fMvTt6x+uQ2t06oapL0DpLI4I9+KOsH5ZJWjttG1veX6djCIwbIQmF2FK
W8jEoY1DI/bLW2ybbXvQiOwJGM3dvr4OpbGkc0bxGJTPRs+k8g05qIzPiFJrGdAEzZMbYuQbGEhJ
pLi87mtXFu0JboeOTjmvM+AeZdcQ5Ic9O1Jow3QZ+U8xYsuCw6z2Q95ODE6BRbZj1NX7ERX0eKDz
IfxEhl7jQljHMXjjmzLKAHhaRbJywWYgWcdLXuFejHNUmuzAjKdw7p34bCRkD3+xlenFbY1+wF6h
sGLS1vnWCwX1yXSu52DcxhJ/pcf+p0Qyy5TsXcvhqywB3bpOxpS+xysBO83p7C3x5euQTI0eI62b
5le1jwvVMJFWkNApeOGaKr73xaflYhBQGhImC7lS3fZ8q6nLTIqgQdXlt8Hs2Q8ebwRk7d3ajLOr
wXcYEJDVyehto4Zkz05lCyLpLirdn3hBtoUbh+fIbuUaq+th7lmdpC226DnpzzJRT/gFDkCT3uA5
v6FBmu/j1n6Yh8C44pmCvxvXzhEtNUYWzsCjA3PSzMyrYY7fApUDA21eJxDGIS3R6EEM8h2OqCIh
83mer3y3OcbJ8NYbWFjaVtx5zeSh+WdYGuXyKs+t+6Cdo2vUru3Obdz62h6ifYoqXIcP2VC+TL1X
Hnplxz+1DL6KAd0ucXzxyk+nvUAZWJzqki7LLFLD29Fcqy2S7euysDXoAEriKK3856Th4xTA8e9a
GDUrJWaTC8odw0o7P+AxQYDgOfX1UEU4ykp4FfArGmJP/assB/Dcy0PeWPfm1G2sWR4H29w32MWM
LKp4nli2FCWmzMwTZzXX0AidM8IktbNdMXzDERVvxUAzkPQZLA5pGJh442PcFzSyUfmUOu5XPQTf
gk6d+uBnaLrqGlu12PklimvdqBM7n/bMckhu53wgz0GWzq4xofv4WY4cEqQXsiXsDBa+itUiaTtg
o+SdHatHtOTj1ZRZb+NsxHfx5Ba7YczxY1Xi2a3d68kqJ0IF8Hn3bXXvE6zMfQwLokr4cpoKNEhS
AFUkvIxU3R5qVfMqMRvh44i+dAk+BnRVB4vXIZ03Hqd1gNAHt0qHcMrsEEGN6Q5ROOkfkSlOjCH0
Wlvueyyz+sbT8P6D0TsoqbNXOFKnNJ2hrTjPELGX8B73rcWN3ol8PQ8SRVKX7JqxBh+eOi9NlqCn
smdulQH+awfKttG5uoEXNmKRTM/9mBYncEgb4PZL7ZUd09FBuqKtlnQdS94Z7fAkca0/UQnCdHM3
o11+EoM936iYsAyiO+wqhlEj7WFn2911GPDIGFJNJw995Crlk9wUXRheN8KcVkjhSfieIodUH6zO
Kxo19zEBa7Tyi+LU2nybiUyeU7us362pDvZp011NBTfZDE4JFMt8XUPO3PSZvTV88bNNHMqpnsXi
VA2CV/bgf9AkW7ddONwZNTlNlMzls9uPmGBj3fyIF1ctbjRj46iwugYnROFrA38WwNNDTp4VsgZY
loB3j+yD86/OlGqPR4X1u6zajzII4IGFHQgNfLj3Y2kt2S7Bk04J0vGYSVio+GB0gKA2VHxnFsUr
MAyvW/t2H+yzEiyiU3ZiZxp59MBQdQDjs8ABEzgbTeNed2g61zD1ZxIUmishUWqE5lU6oqyXoQNv
Bn3ktqsou1Nb3jW6zGhZIaov6l+MLAQNx72dvCrlVeCOnQV6GNeoz9e8QJHdBcvQxTfIpXSKK+11
ztbF/riSqK5X9lB1eGIHLIaN6K4T4BVXszdigE1SxQatBCbBxn9dzfWLyrHXV3y/90kZG5sy6+Sw
YvWpz3Pi5W+usJINpZp3b7uzeZ5MiCUY1HcplrW9W43po90gtfXwaW214Qxn1jYlFyOb9mVi99vI
ViDGYVW+wFtKHrmEvBuzsGoOM/USGeYdHs4MmrQ527dxPbJiDuWja2q7xIY8tq9QN1lD1HjLtylI
oD3G/f5HKhvaF2IniXOZ9HXQAZUG/4drLwLYzyYWDBH075PKK9gxIeeuBfQsSJP3QvNgTbiSv+Kh
/YwGcmYbX6ivuvDVGVgaAG9IVzvbJzjDi1uytBrc3m04ZE9xklDU+qW5M8OsJAoWQejYdOLVlsGL
2/gN8KkqfsvttnhoyyKBRs+wb1UXAawUNS1ZQETMT+0DaDBQ2WzLi+wHCK4MRJRLqbhn+993460Y
8AbvZjEPs0FfVqGTC6uiNQMEv0hXmK/FJNuoxh8Kis5yDndD2jTlldVr853jRR3qVHX1ulYNogPl
yf7gkhQB3KuB6B8AH8lV8zaPnHlzANZgCGKJxMgicaLv+l08dq+Dp6ZNOjIIdSNGUH0X7TBMLOpa
v7wvY8k93QzFvRwlZVAUXGeTFV9xO2o2y0nFOarkeFuV3pxyKuKyMDJvy3g1XDgtq64nOdYOWpes
254wEKJFUYmaEM2SVuCSnQAQdnX6tpBueSIgJAmf73HIAncnO5K2WjXoz8go5c1IBObakjLE+s7E
aCWiqjthSbpt7PQmgXyI18rFD4OVE3lYMI2MIv18Z7BEpeunOYuXUIWEsF5ahQC6rukW6caHyEsC
xzjfASm4GacZq7yDRzYZ2xu7Sih9awQIFVvapM35I6CsBq7TYNVrZ4C6s2AgV34G9WEqbP8RtRT0
qog0ETblzm6yK33KRUREz1xlLrkhcLyxrWXvmWd/uEbsgSwJ1OeIwwn3TvNlcVNS+D+PuYjrFfbU
gWB5L5yvarOOnkBYcEwBIiJ80aGc754wM3gd9ixP6usq7oJtVmDKXRlWwq1CLdSZ28FnaOCLZT5S
oPBgJd7vccSL7eBdxjHjO98G6S6RQqIafcgy3Bo5iAKKba5LLk6z8IjtrhhXZfhbdcQpo0e90OgG
Yi2iZI1XnqQ5/9OSxrTHSutRk/MIQ+FM+BvB25bMG1ep0Wx0EB3LvP/pdN3Jc9z0ZnSjOwQjbw78
GA6I6rFOGPWI7o5R9IERGzIF2JMrNmjw20keQTR307viOq2jd+3mjwgnvwtDPHnwBDB3cR7qRhCg
zNkcjjAMQl8BPpL0/Fm3cz1s86qCYLHQySLIn7IElj84G2IrWPCa56DjbZfDQl4VtiB2IQqg3M8r
BGh3M5P5XJQ/AQPeMJvdBRwyjW1sewcP6OQ/WVb5Q4ho37ZgXmyaQQhYQIxwneJ9oppxJrJQhX1w
RyJZHAuH2SLdisdPxwYzkpd3HgOXZEwWsuzPgj21T8J66xu3Nvl1I3nVwsOSYPX33dCdu0J+TwX0
l0KSa0oaS5H/KIzuSUz1h9c9dn30oFV4+sVsaIGl0PQex2485Vo96gmGVUh9tGm8rF1bCfcMLy8F
IVcvYkXeJp3xs8cyMG+TtlfVfQJ7Erk1pRF/iC1wRNSR9s0+VsqHdp9V1TWsyp7xvsOdRLULbHVC
CzWtJZkYJP15yoCbakH2RcWNP5FpMbwaRPGAG3tCRc8pdt3LKokloecbNbr8xs6uEQo1+tXsQ/XC
qFVhnxsafW/Oahp3XuRJ/62ZbCabBGQ7xibv2pTrM+c4d5FMkRu5WJH3aO38J5O6l4QnzDUTKQk9
uOyhtkgQRgbHIrCODdNYA90mU68I65HQC9Q9MElBKb+3UZs7mzSeKsaefZJ/0pgx7EY+MQKcIX/i
2R+T8clSMQfeaDQ2zUeds0/B7uy9hSkisV2v3JxJhUOPcvZ73JWMtdGQxWmp6yNTUJMclM7q117Q
N6ciacv7ZsbXsqMHGdF9TAOZggNM2tvR4aaD+unBovMxu+MRqWpy6/vKtm9DJvLqGEqtvavF3PAt
khOAF3+uoqVX7ZPyLhfwEqEopCBEmN43h4R35yOkIE7ZlGinfQ39bd455I73N2YVtbeM26q3WqDJ
pd9T2TssC8qeJrby/JSJNC2fyf7JXvvJM+pT3LreT3DeGZ6mVtChpIUbVJs0cpJ4M1VcQl6ywohX
GpHRfVvk83w9ewiH6ak44Cnfy/keqhVTq6Yx0uoIZNJ6Z/4Ylz/DNEGrVBJjuTPzweVlgrc/5+aE
r7arAAADmQmxtS4IdMNF6RrAT5CGOX84XFgizVFx5pt+FDN8piGcCh6pIf/RkzvH0rSjc15VTPyf
YR0aaLwMW3Q7K9bizORAfFnOREXqS4OiajCRzHZkdxFOE1uqvY4qquHVnOe9ezUAhAUzZSUpODZP
0r7FNFE74RUlEEpnxDjljVEBFscIgufI1UuyQqHRms96gM/ViFHeVli7P6KuNc19kbkW/NsEvc6q
axR8PScsyisKkVZugrBLWFCjDe3WZZ6AsjNSkiuh2sKsm1sn/s4AHtpnbYqR+yUP3mxY3w+Mb+J1
yvZhWk187TSureHm68mI7Yi1gu7JOKzlfZhV87NgENFDshgkZOXJgLGbNmP5CfOY4JxqQLW2a8EK
oQZnXPycBiNnaW+3rr82G8byI5tY7OOQIaduxhCbBdn1OHfyNcY22exDMls/lTmGwSryp3pYZyLx
vmE0mTMi0hysnIVEonnPZqPGsIDMVx+LPoZ8aJnGgGcgUv07CELD2xJzMXwb2bd9d9thmjBuDrx3
u97lhAblS47FnM1PFTMXsqV6UzA9i0PYBtDywK3AMPjKOZwI5Jmc4WmYncm6NkwU4uvaafGZCVMF
8Y9OzBOsj0C78yqaHI9NaSf1sYWJ1JIpTZIdPSXSmFWZjR4vPf5zfdGPN2SNBRkRrvRGr1Tfgswy
dM53jPV1tQIGh+yqYja66VJUbWtWftGuqhZnek2r/MCa1rpXZhudZ8zYwc8ZaY+/d2Z2by1EOk0h
7JhvVppwH2kIu+U2s1KcwkM9z1/pKDh9hrL1ECaGpepvvMznpEUln8Vbo5ap3JaGA4fdaay53Fmg
zMEiD4zjqOK4+Vmo64/ShES4QiM5oo7gCGQOPtjlnRjRO69RiHLHgVawToLp2X3iKYVGFo6GscnA
DZ1ATcjXMjWdlNOAeKc1UGQxnMg6TZ6LMK8eorKiya8a786pgBSIKpefAUkfdwUEXiJz6p7ByNLm
oo3Ng7Rb08r/D3Nnshy5sTbZd+l14RrmYdGbBDKZnGcyyQ2MZBUxTwFEAIGn/w/0W3dfVaslu7s2
mbSQVBwykTH45348gu7UZcurr9TI68eNsohF5oy8E1S0gCtPc0DuWSHIRhMuv4E+xQ7RLfV9yHyb
ulPTGQROZBepqmxz9VrXlZ9ChMus92qdh6ee9G9AD5yHs5HEKYMB28XPuSt5bF9ULW1xNU7afTYx
xZ/wiW4/RWR3v4gGmj8BfIPsHFe7fx6NNnoDGpVdV5UvKMnZwBNgJ6NsYm/OIc/IouOtG6uiOJGu
oZQIFlr2qHqj/7W2A3aPoAnJD9WVE9yNtC3c54tyXTrULTQ3vyxXynrmkLNXn9k1MA6L+6ln9ZiF
mfXan4Cy0bW9EGQGmRbJpMGi2o4DemXYj3ODvdS2TP9nNAWa5puOeyHeHYPQ1RCmW4EQbsKzwudO
kzRNOC5noZsDRQNtvgbMMzJnhTNjD/2l0c/ubU4bwXDWW/hbY5CiJOjweUMB6JozvjUUSpXmEIe9
HtpnPy9jMo9O14DWC6ZfHsiGNe6cfKAHsdJU3pXuUGOQkLRY77DyjSc2ndA74wJS3dbpVH2vtI+2
cdEvlLuFZAjpmnWKlLGTamtUvkjSLOQ6pjzTGek7VqitwAidCVp4YVYPnZ/rNtae8u6Bg/GVRNrV
p7SavOeS7Z2zTbhBeOwGiStWga0+CsPivQJjGN6DMQt/qRL5gJAX0f6E6VFj7KHPcfiLZKAefDBB
c5Ivrve0jLMJULdDEWj0HJZcwpbQP3TFxFJqhdT8JSVs0+e1rDMqGyuJpCEh9nBZkmN7sEe0J5Jb
M9zSxVo1Kwr28L1y7bmhfXke8kMQ4LbYZKuITifP996gRuYN/DxFoReBteqxYbJJ6VE2FAwOQzPx
wVufmhzxfkfSuuUsVfn13ZwCFMA+WGch3AZP+deGzpuAPYNrK+n5SlICuTDIeAihgVtXo7BnAvb+
CDhsLObupsdM7VMdQeL0rNZLd0vOv5r3C6LEV7p6NAqsFBH455NtIHOvcwWhc6E1oTj2Di0WSe02
eK7csa8+oBJ1hPtV1D1Pa6WvGxv06A4CAdFGh8nckAwpNZhnFvkaqibDfoCJLPBg7kfqa9+MHnZR
bJhV+0SuogQi4Afjd8QI7HGy3OwRII+RJv2chRDcm+qWfJi6rLiHFIccc3Owy83Q+CBpY56KyG/o
1SNfe1e6XBDssaRWIWj1eh/0TOJopS7bT2T84IHBelARtWyAanrlkNEyWrY6pPvYCZJ1MPNyL6Td
G3dN46/Z2fYJ0kfuGvaXU87delHqepr2WjvFr1VL++eshwmTjIxQ90kJuO88OJyXSlrbrD12rV4m
TuOVn67acN1LaqNtNzbXN4LCQfFUyiBsAE6knD70LNifDJfGkzJ3QA+mc6lvotXiBB6u+INiueJD
4Ipgmm9MG/BGGxxtyl3vaTq2eki/5w44+rewh1+9E2a2ARf0vMmz5jT28TyBzd43uVgYyGCIZjN0
JMY01avmA6JXix4rZesksglsxvC1J1GQFtev4sIH1gviM3W2wBB8fQAWzgl0m1zRXzqkSRISNInl
bpkx7KbGqr1jsApynptB851NkCvhNWX+BUdh755xlib2TVdbRxBOcDaUdmoQ8qYgg4I7GQ3n2pst
a2/Xnd/v8So318D22sdmKmGaRE3PLx/1JHv5+kr98lkCOMYP4fpoWKi0G5xXc5Fxq/GtpgVJ8Qpk
xYfgMX8n7BZml6baUoQz4PSraZUyuBxxaI1IMIu1FXJNSEfRmk3XZqH78CC51Nv7abQ2fq6dZuCQ
FkT/1ZLFl9333fOczxwRmEg5/d4CEQfePcrCc8PMQ3lkIiTmg1HrmnWjdjmSBeGQ631OgRBjfPzN
/Kj1otaYnWR+BqjIouB4KaBqWoRY+JygCx8nk8kx2yrjtF0/92Bn5Ai4LK6sar4PWTJOnamKD45c
dp9QF1E/eiGzN3D9ygtxHNL1upttjSo5awtxrnQd47U1LSyMadPPBxGm2+4WOhs5n4+shZRSNNRw
T571LKLWu+zI/JjQy1LvXboc6M7IDIEOoqf2qRC0oe1cc4mQ7XPJrNEvTPVcmoZKBj454IQ7mlMx
lkXOta4mgq/BDBYkmdvSxunA4nAR9ghQsbssUxCP6zr8XOwFDFLWSHoHnUW+uMtq58mypONP5Fzv
jgTYymKQz8UtS0d0Q8NBx6khauqPMVxT48IZHIV8xqnrXmXN+CktvCbAw+30zahHzu0BbELoOm6r
b1LlRVAPzdJ4sKdFdFc9qiubCcSBC+gO6EPKGfpTBTrs2m+D9s4mG+rGgxTb58Cf73p30rfspWMI
IapoHr1thkh0GMQWN42hp5CdQOpBGkV16xdtZCYSfFeNklaI9uDXgVfsGxYa/7paoqDYZeU4eUez
TjMK6cWg35nWiqcSa0Z6jvTkeMkQqfqUcSlz4p6V+65teU+gKHPd61y5XBLq3VaR3Jdoi6XdfehA
DWMctUOZJkUZqMepDCvgtxr3wXll9Wa9XzRFhIeVLg+LjLr9k1sUlEGhPP/O5c4Lm9zxeXfxJK1e
gmuWVmePuMNM7i9vqZKNAPi7zAGo/e6nsjw0Rr2efKGb69mHbUxOqoK9unkCR5ja4dxeo/TJB95f
5neaGvsWHAzhMyqtMR6Fs614gGSev9m29gkx1YUJ7Djt+4vBo4QL0JIitVvAgHktgJenZ8XGiYlt
2a466YbRyPZZpFZOcNyZn4cm60OQrubCSZ6WbsyR2l2uxwnrysYGFj/zSnLXWwlPjXyQORu0MBCf
GAPjtp9x1M4JBoFWg0ibWtKWljVTuEgCUJwJlshHg/TqqchtRrqhBt9kKFbPXRXyxO94kuoXlkzI
/DbesO+JWfAVEHR2WO6MRY4Qup1LSVr2cPtKqhOtLkOOsZcV6CU3Yyr/RJ9OxjUt5g4a5xw46YF1
mIkW3rGe6kxdvXqdQyCbFaO/kE3bACYAjSahzWKbPAymGOadmY8+x6Kob/JbRZLtwU+nAa7JTFht
Jwy/uS4yY0kTpIrSuzGddDGPJj1AE05UBwgHchHlmO5gw32j+OaSDR+YuaYiIxnnabvhmWWPjXYj
K+2hqXFiKTYY4K6BG90dAwx8+g5HmlFuvWk9sASPyzbX1zz42UJmBAds59mXYfrpWany8Dvrvfll
xhNPW3iLUZIvxGa/X1NcbediWnjtCn/JnnLaTt+xQTinwuuz12xGLKA9JUVadjDF3IIIml7LwaMu
AnXLI6jip3jmGi/HF6XTjk4JrhTTRytm7lLD5M9smj0cRdolaoEFoOtlum/Jx3NI1sEUHLf5DFt5
Y0+PvrVtl2peiubAZI/BksaXhzQVueWJ5DDlQTM3tTIhE0P4pbCmMeMyuK7byCMU1OouGDiFs1yr
snXH45Cr4plXjUSHWckbGHoE8HsYUv2exA4+C7bP4qkuRnEXRiCkQGEaFoDkqHwNUw60CGGk2nG7
qcq89t157s6RA2qcoshH1ExAnzpinZND4phpeyKtHX5XcIybXWatpApV2k9vRsVPEWdBQJ1uuHJk
PvMknQq4i4rK2eO3q06BN1RQxWpHrhd9VpMODMKi/CkwGV8LHCs/wZk7JwZNGAQns1veJ7i/bHg6
F6eJvPFDo4Mcx4VZPBvjrOhicCa0SZCT7ltXwsHovcn9gyIf8SZxz3wkXAbxqrLQjXdL3gq6W71s
eGnzNL9DgGvfHM8yGF1xyfIPoAXm7zTN6QCmxYHPF4F56lf58Jcuh1VF6y52shsCYDRU9Q36rivT
mRUQXYEqNYsDtXYs62vODKARWHaetK+jHJ8FEf0kVVP+yQkT2wB8e4DD0GA+KHwf3upIozB4gt8S
kjo/Y1mR/w/bLUNqelPfYgKjJ4rtWzGm3ZS1EdAKSqIkT9vuyCEJfjtj8U/uLEgdsvGUz6kNsuWq
MteNbMWo6YKSlO5A7pxi0xDqFyg6GwwP/5QAlmcnAFfY4ZrlYCO9/FU5bFbZYkbFoa8huwDYbHhY
q6j6SUlPxeQSZMVV0C4VevIARgIge5VRmxMZ65uSIn2yw06/+xHxgVi4nv8pGFs05/Ci/bumKgM/
CXDAzjHmC9otcJXn5l73C++hNQXDeTPNuXEdGVn90s+yui0qH6SbVjZqxzBZI+jQskYA1QVYGWZf
S3G/gCrjjGhzyYxt0BwBR7tZfg0pfVl86GU47OkEMkNqJ1KOE7SEYRiQS7o8y3TSNCgFXvA9AgNn
u6GJDFvVzAWi9OvuZfVwau/lYslXUYSsixSGMFgoG2+SMRm67EsZtnWbr74Ph9et+BK2JqEVdxVN
SegkeLJjxuDzRt7PS+p7h7K8rUJPBAd6vrm7dgvEtmTlrH1vWHK7Fhk9R0PLRSKP7Ynj695uV1/w
FjTz3cQoqeAggKB3JFpbX49Y37p4aKpovCy0YGq4LLRV5LJQam/iKB1PMlPeV0lo9dUJJwrtOUaW
Pwt8as9TanA5XlwdqYTOGerf+9Zmig2snQAaale9Sdu1ovmg2R5U2RJUMXp/7AhIzHT2tAyTVCyE
jFBA7aKUO5AUoOdX7o59jJI+fbMxLV+aCG2BMD3BfWBiwRwtEgtZQQoVnriiou4X0ZJfkbdYbrsI
m2DSulZRUWNfcAKDwyEQ33JOxDsqL8J3tVIpg6EyYxa6Ss98s7ylo1sFF0mwXg8Y5fm4b5DaWMne
hI7KlP5KzNvPN3Cyv3XncGFqrx17x728qQ8DI2N1KYOpxs7mynzEIVN7N61V65+Nr8qzfFqqD7cw
mtfRtPAmLgzyeEvpe+wOll4EzANiB18+8jFmBWM1ZMzqV39Onu436L5b3htQXRtqeQuGT11YBOgY
YEiQw8N1PqfTbTCPvpeXJ4dkTJ4wKcCv1gf2EOzH3saE16+91yW4i8Y/5v5UBKNWxRpGLwD6lYUs
SUeOLtBoFex3goa8JavrqT1Ozyrfc3LDCoN/G4wHashyymqyzudOs9iwM2v4REnO45JzVfNktEu5
l+mY2yyvhSwVgzQapoI6hrNfv5PH9IATlEyL4jLCERJTLufemkZdk9E0eRyOfKbWE5kA09zlXAQe
MpqXfpWrO5zEqvC1QJ9ee6ilXhUdRFeyVrm+bB9JhlJKt6zLxGR2VtYN2gY+pwHf3kvpEZ2KQzkE
r5ZgyFbT0XI5BuioO+5R2DVqTETtnn4IMNbUKePZGcC015fmWOGwTh2Xdi9H0SjE6wpGLs7nyTHO
dNnj0/DA9lo70845NBVIM5+FnQ3rRd3Iro1NwWeNu3dj0e7NdBPfaEVcc1jCXAMGxbSz69sCKLZX
r2xL6cynl7XXAH9TOrZ9K3If3JjSS/PGkbh/LzA1txgYSmu+n3ilSYmG2CwI2kTA84Mcamhcjb37
C6ys514VrvDfHWlYdNYoFX0PJQdHdlMG/M+Gq4maVdFSPq9uL+8zpRntcqurQJgQnv6uSCRZMMRa
58OFZJRDWMdzizmx9WExuQaPfW4Mr9Uw1Z9likSfSJBtLpUtxM2xD6JskVjvreu558J1XJl8VLzp
aYDXUxk+/XcMsK04MDv705b0fvFGsnqDySup6qsid14g57FybLaBdcOimGPwIiZp/up9V/nJjExw
S4xufjIaCpKucu76KytLQ9EAnnUff1xZ4ejjZKEPlYT8wp4VOeR+9XjpgmNbDxrpG3HT7Dx7b9lB
l8bagXKLSI/eG0tdqGGn/BGxqmejBKEZgnPaT4rdmWQOEVuKlRhxXBC8k9cl9YU0ovHl7/CfrFTH
mMvAQR8825p4OAdqqrhYToFCSx6cPg1rlDcjJI4EoYeexkQK5dMFy8iv3gf52pC5Fb1+qObMeZ5E
t0Ws8Oai0uZdnR3wdsAFxuF+XuHcyhmaF4xzWEOQDSjE4RgKNJgXr+5KSrdXwN87Z5ZNvi8Uc779
sN3zmOU74HR4zrmpd6YhNFeXajKTCvT+eqGkGb5qXn1KcnDvpjG5T+dhYLWii4BQRJBIEyJYLNph
6I5a09OxMwsxPzMsG77Az6E1lP202ViHqDR2pJmsl02q+GAwWcgDfkZA065bcDCMggl1XLA3emdr
WroURmG0QDdTomEILuoF31OujI/e9tn+GEmzwpeZH1yUTlfZN4NpBO1xzE35DkoZPUIQSZh3zJQq
XH6UuN/5nW2YH8iVRD9rAQ1a2UozUgAtz+cNlWBOFst18isKiyi6agaW6V1k01SHG6tmSr86LUkK
B79PfhfRyvciOPiPZ0hhwSdKjukm/uorTnmF7GjI9DI8TkFlL82xcCyfh0XZzifSBXeZzhINN91K
j18Q6XG28NltOWdxG80wO8AWSMJNcrkYVhM/r9pGLUnjeR3qfFBqnpJMwYggykiz2ahX9OKq5PKc
FGNokXixveE7E4brXi/ZEqaHWsPWwEXCcIuYQ54PmKWcqklMWqUvnNED/NY1XubuFDQ4954xnfzI
qq5jmq8gv8eZS8vuDu1pK/DwrU3vc4wh0REU4l01lV6+b4elpZXeGTL8SJaw80tbgYfkeZaUz1MY
kd6UwhJ3AXAWuDqFGeW0+Qo+3023FikWsKEhg7EG2CMpCnD4WtpyqNhQOvvWa8O9yKq8bEnKymVi
KdRciNgD1BBdtWFtZZfcClhK4Xlnzbl2tfGll8my8MXYSIjpyI6X0MYNr89p0oC9NFq3sAwDZs6q
XKHo9118/JHAmPzgsQu86XaS0SacUPfz1oll+bYGr/y1Gpn5zogmkpSsiuayNjCp7MJucW6RDpoX
Jq4UCkJdkXKvswyydj91fpXM/Ll171pYIuCx47+hdstwf1ncfvWBAwyfDznRSoyyDbQ9Tvn3FKi5
dsEHaS4QnJgDA9UqUybDJeW21oNuhOfsBRY+GDG9GRA/ov2gZJi5ACYPi8x2EWQqkMgG9nN/29bn
F6QYJJvQSQf7s2I25F2mReQ2O97QyHotMZ82x8xKGeyN9NzkcbYgFT9Mw5A2vxoMSnOMswnvL9UN
DpuvmoJvEoAjqTERuTxzyIIXGpswZou6dp+IHQbBLmj7bUSBxSzjAO6Z2V6CkU6TkDuBgeuFYE/8
QxULSHZRetuEmTs76fatQEtTDrb/QaiBGe2yTpQeVJLrsrvgvGjDHkDJD0bbhbnInptdBk4uFH44
xKjA+lohj9wrVdXG7geHEX9GGIDx0gzzZ8ap9tN3GsBUvsgvfxg4dmxKfNlwa9GOSZ3ajF/o3oAA
E+rq7kdQhpGBfwzsJlyIdh8ZNcsEoCXs/MXc1yfuJFT8Tn2IzPujnkdTrUHPZgkPi6shjSzTbioc
+wu1BIUKD3O/tUYra2WtUBaRWsuG0tMKv7+Z6sFi0F3nK9ffXIxO8gNu70oeyC7R5iYEYbOqhYvr
CCss604W3TeM3OskrVyxJkYmIcmlEJmzpPP6hoFs41qfnNLhXGmcyB+pm3bhZZ2Ofpr80NCn+foT
frxsXsujVdl4Yxqa2nvkCT0aiZiD6PJHno5ThYlJJ7Q4egVuVHYiDjhQknc9aJ3nHyIlr+AJyl/y
DQ2rPf0znzgTwfKn+3b/Q80s7alU1b5FPKSEsWSayQlU00WJR6c5zLPAUvujM0fmyiPPCOmF6H0M
y4CV3nTLTwkj4yNvXaxOAyt4/AN1hkIeYNL7ggKQrcmkxe8NFgdPkFFLuiptuXL1raK9paGxmdGQ
fYRqkH5iCzm+16MfnHxmN9bOB9hnwR6njHrXzgtPaw5894CnmEvpmOOHjMOOisX9mBcZ6BYn+qRc
qt5jlW5uhVN25Adbu/nAys4kHKGfCwVUrvYy5xs3ccSIaTz66MNbcfaQHttwzL9Ryeq3xgbwdaDw
bzpXEeQwHqDesvqQwCOGrK3yMxuM4Y10R3RhVh4XsyH05KGQBTMRKrWDBqoJzfU/cJCOhsf8aO90
mUPvrxrqu3Us5Kkd0vyxxwtQ7GjeM05Tvrqn2hX1HePk6jkcXPX9w4qCnAPYqPcgnTDAoplxfIBq
GajkR4ZrogKJCETK1su1TguEVZPiWx5S0wFFagzT5j6A6w3X0zT5Safx0jOQGuMqDPBee9uEL/O7
zRDMRaXc/YC57sjQ6bHCtzPev4BpsogrR3a/fjhOZ64WHqWDMxC+4nILQSc2NBVPe7JitCstY+M9
SoTBHEtp2z118yTaf4Af/EGu/HOkHDHHd4ItJA14wPmNRhpUmgUgWzSGSEcscdWOLKZ5Y8DUl9I0
etYTC8TcPPT1pcK08ZDZZE13/KnViZvMrL4apzabvYk79kpVAjNJPZgZrZ/Z5mQuKnM4cWryngxw
B4/WzOV4p6baffwj5/0foVb+Fiq+faUvmK4Cc870/wkuPCKs/v/GhUPaABX+J0zK9gf+G5Niu/9C
pjPBRJgASQjpQGWYf43T//wfFv/Fdk2oyzAboJSE/Jf/RQp3/8UUKrTAXaAVbwST/41JcaN/kUhz
whBclxuG/E//ESblz0iNAPcE2A8bWCrYCDLu/m+gAhMDLmNUZbKT4tfZO2tpTgfMPqSf5eznxq4K
Ror3KgTcuzRd0bzp/lnObPwn4T884VBh/o2Z8MeP4pi8Up5reuy43m8wVOUOMzZOIN6SLgGyy0G6
l0I86DCz/yHZ/0/f6bcYfdANTEKQduNmaby94LiCWCxKhla2+Q/4C+svXmBA7xFYdyjCEeSSP0f2
68AiTdFYVD9EVCOiHtB0bbnMLwuM9Rh/JK0LzB18W2PbXGemkRzk3v7tcfwLzstf/b7//jP89squ
WNhK3+RnyAMiPI4zROywUj0E5D3+4aXdvtT/WaX++01EGPF8nMShZVm/PU8IEc0Mnc9ES9eSEIfD
7XqrY7LRxCLSsVmzzOPZ3/9629v1+/fkzufxcbBC0w5/+/U8PAKUOPHrlbyLVFiRQNvbBmL22I3G
jUFfLiPCYj3+/Xe1/+qdZSkMABr6cI5+B1bobNBtJSHwNrbqXkNLyit8/mu5H9Xsp4fOgVURwxGw
GSCGoAhckITmudAiVGhQZuMfueTgoWhMhp9wyNt1s++WxiNF0cZdu7Fhb+l4YTJWNuy6D44rkOf+
/pf4qyeDSXkQbpRrcE2/sUDqCqZFGDooIG5lo6tUaXUslxwdZF3S6vT33+w3JhMPR+SYdGgFkccb
tX0e/vxZYMP1sbWhD9btYj6gJcGopXKxib2oo2TbMcvjxIta7hl2Y+Th5HOQiknjdqe8HnHPWoe/
/4n+r6eVH4gUre1F/Oogc35jjhSRN4IUAC9gO/pNobAeAirjuL0R2A/W1bz7j7+d67Hac4J2CR5Y
v60FWJ+ELxfCd3AlKpK9IAdxdRdHP3S+Qy9y/uFzsb2cf/pcRA6fRHLYEVFvy7TdP7/crt1yOjG9
IplWjswfQ5eK8AUAdrd389zQ7za6CzubXzcoOJP/D4tO+Acf5U/fn4+ki2UQ/jefD4hcf/7+6AHR
QnsJfVWMkpE5JdgIsM95e8+rw30MgB5dMswp4f3MhO6vGLTZNMD3jDbxUaR+QPK7S4HxLmNe7ax8
6q8sw/UDiIkMW/A8tc50RDlx2mQQjNAIxE/LE2M3Ltx8yrpntWAKfl4h22F2yWRDBSRJDOwLmavU
Efb+8G0jJXLLs8L2rs2bakk8q1Wtl6BvauZi5LJ3QQ/J6whgQKCNlIPqExNjV3EnOsCNxx7rN6U3
qDA1LO5qfW+7BWpng0/LuxahFBhByJY/Ck+5MGPQmoBwtHgLxioFzOcQ2EhMICmoPKsRfllkUUjR
Dxbz+jEcwgdrCdWZCCQpQwZI2Gn4e5IJmdJJ7m2bIrQEA391ov0sumNUnkJCEm7/7EFoC67xDnX3
dBl5zZnuZBeQ61rxfk99tsQAw+3bQIzDGy+TRy/ZbMufoeXQ48EopxBJs6Y4X4mmeb9m6N01bgAi
3dxM6/HLd3WAIUH6J1QlxGem3P5F703rF/GJlVZdq3NOXtWuN6Kcs18WWNJ71YmAlWVIq/fKCbsw
ES3AQXznerqfqgXrS9P13oseIyZiqvP1YylaGGP92pmPYIuybE8Xn3qEoxA+rFClmSJyB6Arvgw5
wo4InkfGDBQn2Ujf2IDMEL1Ih+NEEl4EAw7zKMhoSFMq+MLElpZnKzOP7wmje4Hb06iu3HTAegze
lqHSqs1A3XrZaF8gxWP5bvj4PXBCIs9GUtAO8OoHkbu+LGlmqjPfwEh2kZO6cy+KUNmELFe8WxCQ
nbB8JvSKDSjMXAJ8bYnrkItmIJ5HCE0UrqE090eX/njvnGoiJp6BGn2EDZQIvDVFSfKSyOyQRzmu
prGwb2YiecTgrJGLlys8HwWmGZb7zDRbGypqjmbcs3Ux20gdf6FZoau/HNaaZb8KKOs7jHjMkyKt
pvd+LiStFYaxmvFEvbQ+6nH1+Ki4QRntyimYnh3OLTqOwBJsrb6KlNIKQIsCWxbqj3pIM+tqcAnW
E8dmAKfWEsY29U3GDU3jqXe0mTqQPPczf75mcCKox7B7ez5zMdcth7DpKcwYnJRHAccIWEEGbEHU
XnqY18rnbghAfBEwl27S+mB7zzQNJPo65WpoXHN31vp1CR0anWG0gHnuW+7Jv9IxL5dzQo78tQuC
2ZcxVb9L/WnzIUOQmuvxhvtfI1+QHgjs25Nd5bcm9x9iA3xQLl1otyPZm0wy2x0M5xWoEpHBla0I
wtIMXNyceDrz2JR90yQoGvjJGMWL6YZHIHo16dog5j6gWCA8eVVJCok6xvNlYXC16TU8wT5VphhZ
cvcR0YX4mQxa5kdBL5w7xf0Z2ZxLGTd4pmYAGYbIkEdaPuCHKstkBWHR7Dzr1TOc/I6atPkTf8aq
TnjdChxZhFLT4b3z4c5PcccwujWvycoO+B5tiyvwZYr6Fhw7v/BVgLZLJRCDIDHYpN7M1grc26Yy
pMaFSFMcV12RoRpZ5ykqtkqKrPCfarIfijTbGnDmwZkFgI+TA228smqas9nteQilzcU7ARElIbFZ
y/Q0UFyUH5vSwn/CVJtUI+JB4UA9XKpX7ZlruiPIHXaxMUmw4MqR2Rlhtaq5drHk2sdRT2P3iB8J
5RrMj/9SSV89kUKKrgxL5NdsQ4zUlgrxkBAMgb1OyOVAXxFRpcwhS2ti08lX1T+PnZM+ujlMNlQN
BYZ3tXyJx6RpP9K8Tg8L/AJUpVY/jHk/Pm+evyuF5yHx51C9pAaCdJhtnQEBtyKbLqXZWEhQDcsN
HZsfnZsCIhjow9m3iBHJOImV+GfNcI/+ywPOaTBayAcJukowM2Np6qeRsbfJoNoyLzXuLELTFSYz
4j0zqYQSGRKIdWjiUZq8I8mb4gAcJToxVTJ2CNb3qkenPdINfVVFUXptiinYd7lB6iFvdgLb68XS
mO/pHPm4TmfxHGJg23ERn48Qi9WHp0r0TlcodlwclTwFFI+RtKWunWFwfmB6f0yD4XVYc3oK3X4J
P8ZmDDky1c2RIi55Xom0foswNR7nbmsQnViiKHYJzyiGYP0INud47y5fEJdfqyqtj6KjD5nZD0MQ
xNwqTFV/AEFVXhN87XcMGkcAvr1DjYmVvruza8HMn7toJ0ETf1rRfI5Slh6r1v4KSdEgBzfWO8MI
OjsxWOyCsazOoN9sWfgSu1Cfkv1ZZv81Hdf+yWF9i7k74KTXq7NvVEevVCC/yxxnlxHll+M4fC1B
Co5lIITceueQocszwy5fwTDeYSAAFtCwH1OGTsijrieanl0bVLiW0Sack2OpW0VNvTAPBSWzeCOf
bJgxkIwZXeBRHA4zA5Vj6RLG1dVmSi0GJy4MhZ2bUwDOetc1T2nhMNYkDabJqFDsTaydTNOg8VkJ
+Af42ZS9VVcO7y5pjcfWVqBeQnMavESkCw7bIOvvCIn4h2lQ6Tk3lCfHC6ybufDYW+yhvQ3prxVF
dGx6KpbDsfvMZ/uGIemFLVbMSqU1nocTzvAuC6BndWjvcqS8E9k5DSJj60JmAZnzTJcJ15ormmnz
b86E4SdHaLL+0ZrGuR8tsWm462W5+qPPV7B1TLqSUUJA8t0lf4Txd2bnZeNkiAoASMNX2btNdQ7r
RT96s0OFZ/DLlPyZqdX20RvJRHTmNxGsA8ex6bY3zImy5/CMAdcYw4D6SkO6JNw1HHbCIRsyZ+q0
eKNx7q75fbUOnCmhaGGEsAukZSckoOKv9cEZA3FoWsaKIQJhMA576S/ejmr6mLurTZyYpkgxpOeF
N9v4UUK1L1p937kiO+QBBaKjCh9JEl1UIXMKg/RHkwfYx9PweqOTTUH/4UaKO6kxPhqqPJ8iHY9Z
fiIz96Qlwy41iEtCBHbS59lHU7KBIS+RLBjSm6Y29n5BP3eL8+hyg2cbKccaOVlf48AQbphJqQdE
AM7yivOwk9Yhl8+ljBkLF3DrbP5nlbnpWVaW4NF0V/inDp9fYmr9DeyFep5WJ6NsVoadn31DyzpU
hTYZ/SLueswgRaDfXTOH/ezL/WpE0xVV9CyoXNBcTrzw8fEf7GoCVs8hLbr+ftKGOGuFQ6+w6WOc
mqFOK84jwoA9l0UTx1BSrmsycTg8ZR5pcSz2uWYaD/OFWa0Gwj2kJQz9SrC4SWO9x6qfPWq6A17z
2bdBRXkFFDPVZE0EJJL2j52abfMXzaMMNUpfbhEXHrUBx47PDIRG16ndsVfy0rf17CUcQPz23MpH
O8QnAuvrFA0YnM/Mwhui834NpptS6dQlk0nNTgWePo0Jfjikvcf8wmaL5eKe+jWNHcJezhmJREdj
wfoRr6sseXJGLME7KiGcT0Bedc28sB6Lfek44puXsWZK8V/cnVlv5Eaatf/L3NMggzswMxfJ3FP7
Lt0QUknFfQkyuP76eVh2o0sauwzfffMBDXe3y3KmMoNkxHnPeY4q9XUbT8BfJg+jBMRra1hl2KuT
1RxZA7L0oNwXvxst2iLKye4PNV2CFy3SHR+jpod3qV6Ap8hjV9yAKMM1zwwhvdDV1GaE303vldoe
Y74NkRYFi9oGzGEZDi0d/JaY0wBISW9NVwiJIap/2NoKos0z3nqgk+ue2rkHlIzbugAuF4B1443p
g6SxHVRB2pN0q/nfvdVjXcVYEX+viYFBLYAsDqCy1Wq1iypJwYiDO/xgmH31QpPDBAkAZofybSWw
+Wrt4+C7TbMeaS2lR51EVIjfOmNIWXuRc5bkJqaAWfTUgw64Ilnpvdu6HN46Bp7ulDwwwmehGqJ0
7wxv5OnlqQwmUuxEPZXeYdi8tHWb8llNBd66UOtkUE843eNJ+nQXd2HMIyHKwD24uKleXMYbDu4E
o96TNpg6MkOW/AiFm7wUQ9lfUw85vHiVJQ95B2SMtV1Kc+Pmvv2oGkrUgrykpzxrjUqxm4ZsFdQD
CuhKEOBSQTJ3xlsfJ/6jxbhqceAuVTwq06J5Df/OuW9rOtpXDQuzX+VmPtxYrqzes77A7etGhL6Z
3crpjNAJoqk1Nz3nkc6y5cb3W6vcaZVRfTDWtV504AV3prOkTSuy9Fhze7sOMW37Tbd2O7oRyP9P
ec2lWA7vOJkYe89lG7cr5fTGjZW76joK7SKB09Z3N/nAnmCFzqf1OxyqGU/JwcHmH7cdthDTm9/C
wq6uJ41yo0DaeCHDSshvfa7Pl5lp4TfiKquxSFGLckcuijGxcmJ7WEu4zukaq1Yu1hHZjxR+o4Mp
Uc0zJcA+6K4XpwwX9xBe+m9ASF2HB20Io5NfqF2CAMTwS5Ka150JfnplKbcl4ldj5vJmrPI8XVy8
15jhp3LXijq/H9m1uwQSi/Jd6zoLTEvUyJseMie5v7kk/QVEBvJjnpf6O8QuEJwgwAbiGyJyrM2Q
VNVMomBiyznPw6SC2Z6mM/rB4R3X9qg9571HBNSYiboGTY6CDtIB/jBlPlSm0wufe3zIauLUZEPR
yzbxgNkwULlnbjna8riIhzSiQ1Lk9o1J7R6VUGzh7/MJru/KaD2m6LOqY2NFcWSh9rGjl3KjiaY+
9B2Whe2EzXDgEOcYRCqmyMC3mapxOzsqBRXUCx/uEq0GRPAckT5olQ/03E2t+NplX4ptwR4aoIPz
0NZrKT0c4pVZYJbwm+XoozXZ/OGZoHl2fhXSw4iqot14MaHqFT4pAmOCUsVsa9e4cRytwX3i+vya
7KBLeY0Hm3BaMqCP7xfwd7HTGRVe43b3seWOrR5umh/mbBULBgJ9tkzq3KHldh7y5OY81lPd5eOT
HGrHewwTGDSBW/GEAltHwfAWW1X2+msF70/0Ug7h7I84UVuuZX8RDEu9qFCUmBxMXM4rjzvKalKO
vtNKOqF+/VL/S5t0bSJXwkH2BMTh2V+GFJiwMnp/eKmxmeatLMxsbRKFWBuY9veyzKPNr1/vT361
5ZcSOjNG18GD8lmtc/Fw6/ai3Au3Weap8XhiCXBRatr4N8Lk/3opKmnRkUy8plCV/R+9nj8RqE1z
cJs4znmpyHMw3/F8K202iDA87NOP3+ofjRv/spn450njf//fG0oyW/nVUBIXYvSafx5L8iO/jyU1
5zcDsBmWeb5qa5n9sZR/n0tqNDsI12Ai4NsmyrHOyvtjLmmJZZjJArGRsHXkI+YFqCEq/q//MPXf
WKk0GJPtxflEW98/mUsu19G/pWNeweDd6SjzPtFfXA/L7OWnFcKDNJ8pJXaDCKLABRSY5LpvQ7n1
+ig5FmVCYLReeHmyzJJzvXPi258+q6vfX+nnZoQvw53lQmAeq+u+Y+tQ0tHsv7yBOkrwzhvos4ah
EdtQPJk7+Co1NLIDZkDktWpip2apNrmg7wWn0shpfDN7PRsOYITzabSd+qGYnGeI0jyc5GgOdyLC
jbyDMmP326Z0N+Xo/N007MvEcXnrzFaYvvG5IcBjF/j81iUKFUNfzhGOg2d3Dx0ceiwtWuwoJzSw
p4mCKZqGyNLwO4UY3w+MqozsNI2iDYNff46fRxC8FwcgABKmZzBjWW4rn98L0Lo2x8E4grC0OeJF
JQHFPVxfxwvqKuMcmzGjSAMjSvwBbpzOU/LXb+BLIeiPT4M7DMUbFkAqEPFfbqNymvCVx+ZApmEc
5o3fdzxxranL9O0IgOgN5RjApWGlHqalYq628K37cN/4hdJ3Y02v/LHiwTJtBWVW9M1pkM83+RCh
Q1pJm7QnoQ+D/Jt7v7GMZj6tf4wCPpclESB7+fS+LD8U1MwxFIFkacfwBKiRgHNajP4Ioy9folAS
5Gp81EOrJ8hNBMJCAuiqMSLBBpD6JkPgaTeK0YoDrwvKBbkTmaiHv/lw/+Rtstwcwbe7zAWc5c9/
ukw9n9i8Tj1dwJWUjRx0vO5Wp6p3W3c6LRe6kMoIGozVYp/OmogvajBE6Y7aSLafGPvkuGnnhoyz
U0q8wgm4GvH7A4BbNx3yf3Il//DFfP4oXaburk1ofCHmLy6Ln98jy1xQVCKqwK/sqLnMpVk3AQD2
RUaaBgdXdE19c9H7FjO/iQoC5tU5Ap3mCXePI5ldNT5C7zhXYffWEvvZIn1lw0naWM5lCoAVVHJz
U9lKeoFj2r1GKxYR7HWjDSHhILBlFgpCWvSXqMuhvWt46If31DYN9y6CgA1gYtmmOl1BEcvffEFL
RcGnXx4pinErdTwc61zxtYTXnXNRTh3Jhz5K6zTAcB7BD9R1NlCDXpC7rUKJmWkYrHQzTEJ/jL3e
PGsgiTGYq9hsBxJoqPs3b4vh/Jf35XJnNUEamZZtY474OgnGOzigrtBHT0Vl7h6MapAH/FPke3wE
gvKNLggOedSMld0pL9ShxMycbtLBRBdS3pVf6vRjGv04HNw6H1GvtW2bNs1Dp3fDHdawJ9Lc5iGH
qsVsr6AdMFAk6jdt04xnviLjk5Qj7ZCivEywc4E3EKo8YnVVkLuadMNsSodiWr4De13C6fl9Hs3O
xdQ0BDGRSoB1QurgHD9AuJDDhkFRUBmWuq1dgEtNPn3vpYP4XZcvo97Q5CcYbJ0GraEBsqgtfS+a
OF+z0SpOjdfwTjRdpxYNyETAconfs0Zb4G+S98tSdb1Nq2OXXmmJtM/9Kcc8SXqPjVrXHadxvJl1
395RyUOJaT3Wt3Qg36JwYtZjRezJS83n+FQlZlxoptsikvWuHh3vVZPkC9LIjM/DIjGwIYbOC7fS
Y2s21tplqLsHSR5RIyjK4yiRR/vIJQuKn3nhv9kR7Rd0c9qP0mGYmLna7ZwiL7WpKg+Qc6KdofRi
WyRus5YTwRIXWNNNXYl7P5TZpcAzuzISDkfTwqBvCjoHkvJsijT3qSEo+tJA24MAradMQPRUzfrR
HnDOHn16Fz5GQN3vBQX09gj8w2yzXZuP+RWBg3EDN6aA5qdeEuGPW70rP4hek4HwJSnGNXxKRC06
oGYSa036pje4bQMsvb3N6TxMvy8e33fJGeDKtzrnsRlD76Nu5lIF6FdkWFQMwTt1aItsz9l3CKvo
Do47l3swQ2RX9PKk2y2yESoExxG+h41lCRNl1DV9sBwxI1iKxa8HpYZDNDfhwayKotoN2DYvcNh7
IAedBkHJZ6LYE2k1W89Za1Nd7kTvxA/mhHhH3vQEhmLgpD9YR7pWSXQPRW7tuj4uD0RD8v081RjO
NZspeC37b30WUVBC93Pz6hl28yYGU7BAB2veeokob23FyVtxygSByc4G6aqq4le/RHUmYUP6WDGg
9tpaPcIOE+jmAJW4gxs8dzwCDVXAeWUgptuhweIK8laSfCZ6amZ1KVcSbsVtNjpuc4jbMdl1qcW0
q0ieIs02bz3Eko3WT/KNG2u2HywhX2LQxFeyX2CGOocsY0r7NR86NazQkYOMG+ydTDGG0TPpcGoG
CkSRp0iblSYycW8nxIjiBqSW4yzZaZ9x0KGA8302ZXI+j9BUcA/oWSDi5Dy3ga75seXvl4bTE228
IH1G3drJoXur9bm7NwQrljYKMR6HhDBj76E9U9mVH/NwuGLG+6w6q9+Outcc0MaAPXN+tDezMIbn
imj7tY/NnJljZlx7DNJvUIi1g+iHkvYolIimcKHXDnFzN3KqbdcFiPc9m5or/l/yAF8+3WdubwPz
7TX3wLAsustdd3wjwJQ+KfqWRVCSGFsVbl1dTDi5cU4r/jISCUZKnJp3o4LMwLk+LZ9VNvX7SWNk
wIc07UNsngRj8hAN0yyb/D6bx2szT4vLUXOmt4UQEshJvVGx9OFLSZC3NrX4ZDZ6fltA1rnoRNp/
HxOps/fFenymWaAow1SL96030z4ym3x9ZjZ4w5rZSxmEPOfui3Z+bxLcwJamqht8qwNcL9M70oU+
4hZZPgTaw+NvRTrMB7cgt5xhhvQB3hjFZkzRWSI7pMXJaixw5UYcQTJAjzWEBlB37oGEb1qpygeR
eeZlZlNbarvFSPVT6+wNPc6OIqQsm76Ha4bF6RHtaNwxXXS35L8ppBkdfYP/F52pbNqHsKzDM+Zl
4gATamLY36srmbfZZat4NXyy1Br2sOkBH8QMY8A8uoz+dlGLIYQd2PCYZKW6yJqiBx0Fv8Pehpi9
yX1libz0GMyvsN2qZkXyJfogYEmMvta575PEvnBaDhKDo/wNdJE9/+1vxzn/wGfYnxdeWW6Swmmu
iDgWYNA9D8owlecY0x6Ygpdru1IhHXIjCWuTn0RmRLrJJMaELqR0PKDFx8ThOdkGB6v+OmpEdm73
cXxjDALuehXSXwzMEdmGgUVywCSiP0gOZmdhpTln6LlwTcIY9zUvLXY5bpBNQwvP3qhG7VvjQlD2
K3HAn+0d2fHDxXVIEfJU546G+Xto1lCfUia6nAMaygs2GUPSLXFUcVfTpEGMrrPetdb0z7y4AP9s
qa6/pDpluwz3UuhK921RGju71527mvTcVo11d5izSry4frFtwdXxsajZ+LDJHa9cmLhXISSHHZvQ
8ZmkxnyBTN1dJHaEXyVK2oNTM6pdyTrTIbXW48lM5ulSNZPc90ou9gNDrLgDmKcEsR13Uf3Yz75/
BGCHTWhwGRDXIYB24m4I/vSy00fNqWtmnexwwZRHqzT7PS1gGsmaHJt+IsSSIxyYAw351lruLUyh
gP4TzryzDZNYdkNObjcQ/tkWnlXdcmXnpxm3Uxs0DWQTjx34ygpNWN3abG2mytYeiO3qF0mVuc+j
Wbh7lGLKXc0w9OkqHpENyUbOG8lI5E4Pq+ZBRrr5pJEzgAALyObD4GB65ZQzg7YW9PjGWkKGAVfz
q+it2wIOGqJ5uBtd5d+G2di8dH0OLw7P2/dhrrKPyK/j62ThWztKc/ZeyxCK5BMgOWw7vQjQ/caD
4xDJTmg4U84c01cAa9oEqkFs2ycE1sTZuVq+M2FFGtC2kmdVltTJPnXwjWUpl4g56fIWfGDLycJi
d0Fqx4SXPJOb7EdSK2afRNdCNGTgCjtL3vGpiZMQLfpvXWr2t1pPmIaYvbI2iiTww9DX1LTWbPBh
ThUDYwx/sp+YvBOSmIrstjdtRt9Vgk23Lbz3WNhE8rFVcgewEL5XY6lPVzaxDI7axdLswKj+kjw1
v7sqY0RKLqx87ftc9dtunOIzMCnVTYc71cBhMdGGZxPEHIupEVvmWe6ziIbEXenQWt0V2z/v3sLS
QAG36cO2YbECMLCbVG1BVI/jEZk49R5sXKRbI+98npjIi1ztA3ImmL66KSwATfgCEE+xWEYrykSk
f93DIaDdaVYOfYBk5nicE8mqnT3jrOmK1ZFFZ35C28o2lY7jrwd96u2twDJSBBGohH3XKv/eiLvi
XZiq3vcc9r5H0mGz2g2FOh+7OboqZoMiacBbzGGxhnXcd/yOmbDroNGTrT2P3SWnHBv+e6krj75E
k2StFrnymScvwXrXAM+SpATl0jHBWNDpSyOX3iqeG8wznF2oJTVPMfIbZ6lv0JvepBD5MsX+Zs2T
p3ouZESvCCjB8N5pvLYDrj5TKVFC3xrWtCeT4HY1RwrYSn3+rgbTu89B61yMQ8O/uFtmlvw7K+01
5LEFPgsbWkZa043ustEKX/XZc8fVBEt8hwWCfA7tVd79kGRDuUNXdZ/LrMnaYNTgee4Mf/Ib2A+g
jQMdLsArzFq8dvkdO0LnxWH+j9PMVTrWoqrNLjSQNKSbNJp/6MkVsbd10ORvQIouexKPsQ4hFtqi
14NERV/ViaBAoeo1is/tOAchqvHXaUiG4ZiFpXdvSHMk3Jr5NpTRrqspme/A5r6U2DHPuJRL7ajr
Wqd2bA+6eZdOdiU2CD0FNGWoR/mJQkWVBtgWiWNDzNAfEpVRulLhC4IFE2msV1HiOGbvDhY+MHSb
QjOL7iuiv+xbkpOpF+4DFgSVrrWRb3QDQ46GLld6bI7LAXxbEFbKZ1eu5+61RYnrxTTglnf8lG8r
z+khW0Gfm1Y27oVzrRu9Z4hv2kiTHR3UpVM6N9U8HiMndq6kHoojBAKN1mCjYNZizXxgKRBRbRkb
aBD8qXbpmfmBs2p4NBSOQX051I/HepndehWB0E01wv/vush8Hbl5X1R53X/30SItLiOtwt8GEOo6
iRsYd2lRcObssGbUOyq9OxXQms5cb/bwUi0VaiapbRp8AAOC5tSY8dtF+zdS/iLDfjr2EyB1OVS4
qB6L39j6MqaQjE3aPjTalStrHBpgEDbkl7B7UIpR73wIscuMXoN7UXap89qns4n3byB3wSNa0C/o
5ipSl1U4a9bG8Miy0s4821icbIEdYU5U99yJMadXOhuKkw4ZyWV19AMDRpa/tQLRpkTQ65LOIwKY
2o5biz9xUutI6unx7ENIVxgalv1CZgeAfnG4/Y328VWcch3kHuwjDgEXm2jLF2+7LCFNkzvDhVml
0TdLB/Ma9GFbfcC0jsCwdkOg0z9+jWmfDT8PdDBWzmyoQNmZcY5jJr008sRi1SbWePE3b+5zeABN
D4HcJyBhIZz5tvX1zemYhlUt2fW1BdXdUWhw8Gv02ceRWsiiPwMKmdJFMurJRs2pXe3cXPZtoFmS
s9mv38vnQdMiLzJmolYXj7iB6v21yjaqhWCEj/nFmCamfH1zKjAabCLHVFtaVOy/WZyfhz+/v9xS
PuoQYWMCpH/5WiyckkOSkACHd/KqtLF+UE4Ld1U5/uuvf7E/fSXfZ6Jl+DRU//Cn/6ROFlGlpVU0
EazGARckk68fZREPgfKBZf94qX80ZrqrCv7zn5/ya//9n59mTH85ifr0Q/9vhN7EMnT56/nSTVW8
lgnfyEepEjUd3v/rP378xB+pN/83Bnu4bhkg8SAxls/+9+mS0H8TCMYsf88SrovA/e/pkscfcSmA
L+FbI7fAF/rHdMkyf3MMLmefQZXD8JDB64+P9t8aMB/aX2rCtvi85l1BZAc5lJgSK1/H5/JlvpTn
FBmmsQ6Xh3xN/Sx6RMYRR/asQczTpKQYQHi6UVwXc0IF7cpFrgJ0qo08u+68khDCRQMcyX3DSaLg
zThWCI0gSmHN5w0+t03ltbb/iqkiYQ6TR4a8dGcTXO2k0xi1V2kxwvPooiaK77I87LRz/JyWDz+p
yKvqrHTMVL+pMJrbV31VGe5BDkLdet3gnjIMtFeAnNr5kHSZ9Vg1SqvXY1HbTPujobjkfIWVp2PD
IzkVlISC37DlGx1GYrMErhW6WTPo8HKMUb/X2aeGF9LTp3pn+TmVb2bkA2mo7YnHAB+RsRiA4/LZ
orgH1lje9yOBYb51jIF+Hm4mNvLYHjoTwv08SkyuKZ5KPO5GCVXV0zxCPMAjI20bRSD71mXbDtF5
zkn2HEQ7Ql2W0K3byHY40wFDCfb5fdyt+BWSFwXO9WZysIOsJtDvRqCRWNlOTep4mwI11dpaaUb+
lq02OALdjBbrI0G3Pj+3RDU8EUmogeYkjZts8qhJDLy1mtmCRuusj2RS0wPg+nUU+mC0mqS1eNnI
uc4XNia7BJenu3IIDUvaKcH2WRnuz1C7KZiTk8K12vaVeETOXCEiVM1yP4vZXTxOOHRdCczdxnh5
FBAV2c4wbzilWivNNd6M/J7qHRxctZefj1JTbMkNYR7pv+zgAUB19BMcSD1x3W+6XbIdkWAOUVh5
eF/C8zRGbp1DptZgJe2TTrk44fEmagKXAk8sRgX96yTlR6iCHJZ1dofRKFei0fJ4Z2vM+dfmLNpb
DK+wyxoqCnc2nJsUUr1Z8tmwQs9nWpeRj+dYh+TqpxCV7NTWQXsyDEI4EsB1mMxG02aWdQz30VIa
RH7OpvuGpAI6owAcz7ERYc1IvOqx6RqpOELy7leRqItLs2V6izrSZ7Rdu055USXa8lZHr0OQjPvm
rpRJ8u6JxFbEsNP+cYipF1ir2pzuOqLyGGOQq8FxSqm0PXWJNjg8TLLvvh/H940xu4S6QuhQu3Ck
9JSK2Kn+LtsIP2QRNul1yeZHrSKsadeytFPqa9jHc2ZvnVzn4+3z5wFgA7CStOILEHipTpB5QWqU
bHDf8TOp6UzFYOhXfmI61wYUuXue91azCKHhLiZLxu6cHoEnMSUTddpepPUbXZPpZc5QDj6AKuzv
RawB0Nc6/mzFMYEmtNrth7PItcy7JE+rGxAGHdRZtxWHrPQxZhMiah81nuPqzJXdtO9Jm9DKQdf8
OZsotttQX1OslkXX6Bt4pgsdtnD0S3JMob9NoeD0KxIzdXcU0hqzFe6v9r0etOGjMps5P5Qq8yll
qGGyrWZDn8KNj4NIvlFw2rZB0brhc+XS1LEK+zkqucFpjRHEZpF986LCGreo6bWDpV9z79XYF24g
OAt0qxR3Z7GBMpHdG442hWtVdMUjTbc980FcTd+aciqvvCE30lVuS4I+ZIRNxnJdzABG40j3guK3
IKT9vL5z4Qkzh4EXmm8pjoi/k+zA9pSRz3lyoA23R06RDAc46YRnZVSN3ramXxoboYMOsWmnUPe2
CvMj1MDWZGznpQPfEVqxd28KzSelhl+23dpGX1ws16q/je1e7Cn5xQIQGWN6BVsezYWykvA6zLWi
AfhayiupZPTkUAnJ2c3y/WjPi/ZjMHFeDQ9tbGJ6tvnC1Lo3/SnZSGFW8drCyfda6INJf/fAXW0t
uYStoI69NN+6A5jxALwdTUhmJNtrdqjwFfuwcvBJxrbhBxZACjxsda4daRarsdGU7fzNDSPvvhKd
+pjB95/nrmBW1fpR9tKmvcXwrHIgTfGB896dQaOVigqe7Lb1Da/DWG7VzXr2jZ6UXlZPt8RH7HQ3
oI7mqxTHZLPGb5ouDrA+wSLsl2GxNSsPIEgW++UD3xqFO3ZUhe9enxKpySn3Q8syuZUGLu+SVE/J
iSoBELsqRmC8KwWVHuZkm+k3EU2348YrwPIEdWp1BzbsAnicmPqbmd1jsyK51VL00/TRYw5p+9Il
xMAhl2JaJkZLbVugj9V8abUDEGLPjGA5lJRKvOdRNBwTF+2Q2W9LybgxTqAQ4fqoa01zsL/zRHVB
KI7ms+GoiBJ05bdQ8AcCvCDKfeuxyyfjRtOpLlkJHP040vra3Q9GiUBZpzaUOl1AAd/GmkO50QCr
JQl02l1edddi2NVaA1FIryycq3JyecTMnbRaxl452ESztKYrKrDmImjwx3TrKhLtQ2fF4popuadt
eWbpQITNxLjnwVRlR7vvBE+1pp83SZyY2sZvMuq7yqLtdIJ7WLa3VUTB+pr8a8c/SI3aExaVrtgg
O2oXPuZ8oDsFxUNBIethWruF49HAhCyyiiXboZU5d4jIttZ23/h3hPkS0xXPEV2QVwz5ExMvRC24
vuLZOBZjFssA7r9LKsazk1t/VjSE2lXbeBsgzsgcAl/pKQwnx2Se4nNqjKec643IS/Y2k/y4kKOA
F2ZV0uIgZvEtruu0VNcGoYfpWMAS3aUQWCX1046kf8+bHB63oUihCaVimR5E5JYNiL5LE44t6ZIk
jrEKXUTYoMDPxlaCcfmjTcdbz16jNe+rzDfmnemKGYEFchnGwWFcJidTG1sba8ahCHOKVwrwTiIn
dtZUzvuqrKGdOFw07RoYqH3nJFRBrQgVsBMc09i/4qif9Bu2jYl1NgpmpBubs2q3sRvNA1QOhxLg
5NyLt04bS1jUXkigJouil6XKWR4zG28zT/NcQYL1Wu2GRGUD7NjDzYyhc4JcZmQpHb9C9t11HGtN
dJwlTqRDwdyyP2tmb7mUJqNe1zwM0jNjslAru6S39YB2rIl8KcOiGwprzBuKxLOXwUV2gvTZpju7
6woqfQuPtqCkrlitoKGAQkedbS70X5CVFBRW2UC+noYleZLFlJC9az2b9sO50xwknyly/Gujy7EY
4LmFsnTiKu3Kh76H97ohJKXrzcp2CjE/6MvI922kACo7r8DWyLuRfiOb573wyvexJ761sWlqNZ+7
qlDi+aeTy594RD4rBZwGLAwsfPY2pxXDsL/aWMJUaE6dNqD8+eNzq8lIaFdu8e3Xr/LFmPXjZTwb
pofNQcni5b44UfymLlt2e9m6tnC4s3HIx1vDVdwe2TOmdIoaoj5zMC6nEADZ6+kNxqLQTZq7f35Y
/cuT6Kfz6v85T6TNkfGvz6znNK62H03zqn4+thrLD/3LFbkYHMnos8GyuY9xPP3XuZW7/2+sDvwP
/G0y7Y6OqPaHLdJwfsMjaNJKwerBUckX+8e5lT9B6tGN5W/anGt18U/OrT+sez/ZeWzPdzmrWhxf
CY/bnrPYfX5SNHpvaJ1REFLvHLO9T/t6fo6zcddZuQ69ujGyq2rw2/Mqb7mY5tG5StltcCXSNfSN
cOl41naSwo3QKm40McudGYGh+l13+0dSyP+fqwub269W1y2q+sdXSWT5kd/XFkvB9gjs8RUizi6a
yL+WlmH+hqN2ocOg1Aqsm6gV/zLcsrIWM7aH7IHj5pMkYv9G9sZCWvlBFeIO9o+WFuv4k2jsAhXS
0TRY86zWH1fA58UFBNrtHWiZwVTrxYOJmP5merTurCQWXW5XkWYNwQSi1SPv5tNGkhvckQN7tkzy
q0k5fGtJSuK38ptqH09sTDYUwYoL3WIvvVZkcb+1URmzaXRn7YLsGvaDpfxBrLu6lWLnmQKBfsIT
RCBQ4UEvzIjUZLqMq4W5s2ria7uSDPt95CmjIklaqXg7FDLksWvV4auoU/LxfUO7GbxhC0tuz+67
Ws+U6FKjyIWaMvyqiFi3IB/Jv4xUt9DCFmaXXdRSzNnaoFjJUIQYxMCv8dbp7nDWbCMoPGcAmh/N
ym5OWWTi/x3k4L80mQfuNbRTin76Kl/y3dkYwcVGUHlvjHYknhm2xmsKVuQ8DdVwJqlBOXONihIB
BXB8DNqpLKIViA72koArNHdT09uonUwOxP7O7fqiWbH9b8VmbEr1lEYRvl0Ur57SQTZQlEfM6fgk
gBPfmOXYkjnGe8kjZcqIgnNgLzYtOZ+nIrKtZ9eI7AeX3rSXTPryMnSSHhlhdDgawIaNtW2N64em
UvZhJszApMcaJyrQ1D5gBWaDzGRJZqvKe/Cj9gQSfGVqxAhLI2EM+YPHj/r0VIxXjZWfwhrKLOS/
2Lf2vItSOoG0kgM+PZKI1npKxJYn4KsHD0Q3zirC4r03P85EtfeimtXFnPIYjlAubPK8onDZeRZv
uEjvPRwFAa6+oEZWIwiOQaU7N2y1cwqqBrqOsbZ/jDUgr+1HWg9XMnrIneTDQoJII7qUupLha0Iv
sXfZKYWll3NwEh6MnqrQwTJ3Ydw+yYzqwZLt6DDtGouwiliQzliHTb/csdkhZFZtBvdYAc5FTxpX
oyO2BbxRTHbxjoHY2exhaROkNlK3OFO6h4Tl3jLePKShn2CFVuIOL7156+Rz9S3V24M5sgS9YRzX
sZtTFVSZxl3Yu/lCE9/0g+7eZnaylAIyhqNoF4kdDsCkPTmWiwVAdt9F1pw7XnplA2M8lT/ysRQo
37WTFywpnC7sjnHUNxcufRxWBFyll4RPzxqRrD2ru4JJu03MeQ225dE3XvXpYrK8IKNF3ULb1B+x
6W+McHrMM2tTNHyn7hIOXTDDqxnRxPR8DiGolA7tJFoHSxe0c6pXLO0Xx+qvw1kByGYITTtXjeoh
a8SwYlwP6UXu2FuPybTuRpct8ypulmvYMdtMyW3iOScSRaTxaRXS0hOaFo3G2lam9hk2rLXfAoXW
yz1I1W5j8V44ue4hQt522n2cfxNdeAKtC4fzSTgpzYnym8u5VU9OSZhvuWQDf9yj732LHTbbUYwF
WJFMTdr+OYZHush/bnw7+MYdYNlqh0vsTdP8V1bdqQeNDBafjg0pirWWXQ8YBonNyjtX5n2gY9pg
umNSFlFfA6jdhg4cb+kM5sounxylIOwyFp8AWWcjNTJsdQ+M4dd9Oe+wRTHN7OW65zdzdMDxHBA6
YPxOOHzY3QTf3uqEuE4aUnPCnGRQRdlVYnkbyBRn9GDulzXt5UO4C20I5KxSuhUTOzuNoChvRl5m
kP2zi6zFsak/n2inM+fsEcV8V4FcCFyh7dqsO9izd1vMhGvbYSt82C3zpZ4kRz+ftxUIDFrOilVP
EzbR4Teftl9KHDtmswlUTlPS3IxzffK30nWOWd842znkKm6fUH1ewOzu3bJIb2ke32FgX1uFeV27
ySUJcjvRz6LM21G8eDdW7gV6g2XjU+KoHdSyuXXT/kZow8HyFHz4Kw1eCQU5N8Ny6pHZsVSvfV+C
wWm75jaHqd9r3xlV3E9mcyOGoz/g4GvQp2p24sB+KQ4ohdqN4FRxpAzjKZrP3AWRonFf/h/2zmRJ
bmPbsr9SVuOCDO6AoxnUJALRR/ZkdhNYksxE3/f4+lpIqd5lpu4lTfYmNShNJJOoaBCA+/Fz9l5b
xNEVk/Yz1Jcz5A0YLTyYAwLcCrEIEwNLIxgWW0F6mUrQC/V5CB17nRSghoiCwRAX2B7hm4uCFRiD
rc8JSAn8mSsXqQSiihLTbQn8P2cAQRaFsSUm7K0Z1YHcon1EaPopz10SMBXsXvzye7tkktDTP5yh
nq3JrvtqDtiew4q4JHgXQbIpEotGz7AbY6bZEJNAOO4U4k322bm9olF6bvzvdaqfEWCtHRK62z7b
JAuEKx43dZcRVSCRB3TfqkidyZe+5ti5WjjlsNBx8qWsx99meSAj6Moe6SsGq7m51knoGXSA5ghk
DWI+UJMQm4HK3NLMkBTcFuCxhmyB/kpzlfgcQ1P61TgpX/DGnDmLfjPj8g0V8qmbElr25ow00kTr
HW2ZE7PajvXWzpiC5JsusL4MZiofILMuGuizlqeMccorWp4sv/gTv3a1enLmWvK0fSdlmV5V+22u
u+3QaMW3BGDoEXAVulXaMb6DuHoytxBNicuti0fO0YT8RPo1IaGWN83XLs5JOgho5Xi4ClK+CFFh
BwMDvMeQySoYvaDbepE4pVd6Q0iqvJDtuK9YzIWgfdFaJsOA4By4GkOZwd0Hto7aFSKvHj3Wms2P
lJyDoRI3WsrLT/e63iJOGJH1X8LqYfOH97zR2q2qIWm55jJ+IaWmUfit53Q/GY8Nrb5TPSOqGtTF
aNdvRF2cEzEDhqokiodoTXweoBe2VQ4IyJJE/WBmUMGd8us8ylNATsrsTC40/2snsB/GODkQQ7HN
/HQ1jt8cEeGYKcZTpZcbSERrLQh3lREdEeQQ70e6kRz7Nd7UbWfSZAEeTjhEPmzqWH/A3vU9A5vV
69O+rptLQAXwE3h8ivZAxCa3saG2htv9CDhArZWKLrCQHIs2uI5LhUCceDuPMLcvVoCrigw84zBE
1UCvim5co86BgXyaGAVo7SwfKMtq7SLm+1m6Rx9714lev0b2QNROt4oE4Qo/Ch/RgqCoA/9K5xR9
eju+ZEsQAJZmc7pL42BboUiokmcjduB95U/EmpJ1N906VrU2CCkDDxuRh0oowk3UYErAT50nTyon
GZIwJPQsjNOoBlHh0FqMLAIYHLIxxI/OIreRRT7pBQIdKtssIKMMULZSazifaMUNlF/5VmViQ3wq
c7TxWhO05HrUexj1W3Tgs1ncW8UCLn+ay4cwbiY0VVF2RS4o+xTiRMvcBhOdKpSbaUpzddaKyyEj
g3FNNIXkZ7OOToiu3sxIq49kdYiJIp96vuhE2ijS+0rdDVL3HzBoM4iJ91QmDHXEypdo/i1tE8Jw
CfzvndlMXpb32zL40UvTQ9aF9hWOBA2jZYMdjWlLZwlhfQFjGUCAZXGLwqOf9PkrZyPEwoG5deob
8MX1Daw1y+tJyob5QPgJo0xoF8YFvJ/7vnpFUgy87KrXT1nZEhiYkzmHlzs2t2n5zRnHjRWe7f5l
LDaTi4trScLVIMXgfMpffVAJSXbVlOFRtcWp0dPgEftCcDMNxvzatQgeALcUivYLwlqmU0VAuCnH
iKTLLQTXi/gufTQgARlafh3FwyqvZHuPwrg6oABcLyTsmleGgAF5Pxf4se3WuKO/S1Hk5Um1H+x2
TXNrHVZ5uCti9WI3jOFcUm7X+QhUa7B/NPTyJ03/opj1uHOJRLEKWzZlHPnSbmlK08+F8NN8i2j3
j9L40Xb9cEP0GZss+wlkiinwj6b9ajrTc1UfjYnKOyH8sj/FTngxCbUnC17d5CNOrfnEqO2V/Es4
V5o3EnlKLBtboMtBQZc8vzwY+NT3Eq+7rVebCj/MUspI9FuLbLkL5Xao4i9w0repyg7h+G1Ix30a
GxcxWaiwxvFiqF1fv8Kw2agIc5f/nQ7pVbtkkWPEi1NzHXcEbBb5KbDTrUVrnRjbrehvoeGQXsFn
dVdUwCS9qHuLTQRExo10M092Yl3I/CLO5IIA2ptBsp37NyPi6CCnL3VjXfSBfnZYBy+xZezo93nd
UF+LuFjHWYwBxog3KUHVXiO0m8kKX0SnrSpGL0RjiEQuotGWKQWeFBfNGgGLdwZN4dJWZ7TPzyNw
030Q2/uxKv1DYgUkM8/alWt3VDJ0oUX8mNq38GDAcOhrYgI8W9OqlU4A0IsBz6iynes8oA2dHEVc
g9PV7U0/24a+SqEyHomD8Jwgv8CfhiqtC9bCmrb8wbc5wIjPiAQXCR5+MkQT/dIP7ifw8EO0iQyC
sBj6XQRwj5iobyoGCrsevhvyYhuWWjc8hw5Ltczr/Uzll3EADvQXxsk83SChN7WEe6V1lDNG/kXy
AGccLaZaIPcUnFvCqD8SLE7ske+eZc2j1UbRPlJds4efCaxEYQWYYr/aLExxtlWGV+YovDmr021Z
6+bWTtDqF6VfHxnCtCd8S9DrUee8aq5TE+imnZOk+l41/o7pm+KnH3fuYIQbywknsAPBKTZ8c8Wg
kx48Kn1MttV41gjGsus03/U0whdnTjcaJzXrB7NzPfLULzqzfsinaZ8R9DA5YD0h/kDKD7S1dJuX
LOh3diUR4OF73QxxDwp/bQzuTM0+H3BF9bfEelrAgTySRVe2vcfP4oHFJ8f83OK7XNkw5SRlp5nr
1iEqb8oGqwzsKGZzZFwcrKl7m6PD8tsRN+mUvEhsRhQlso6nGe2HNd6HcLrAWwCBeIoq3C7E7Prt
my9NX+6RPKLlNwkk8rfASx1UiwABHKbaJTw8jdiwJS6XXBcKygJVckJ//2rpjkMSIYOXa4BZwsPV
OPuXOa1LXBiVGC/ayeJB1gy9IcsOtDJ8fRhi0NPHYB+o0dd3VmERZt5WVXnVk9+mecWcijOhhewv
LQ9uBAZSlNpmFJN9TVoVFb8Zd0C2GDbK51jYgXVoyHEAH94YZki2VMGZxzBicUMtxPF2mntOlIk7
h49xFvF6TgBFI7FKtz7//073X1qrxTL8nzvddy/5/7h4qaO8+LnTTbvwv7qR8g8FgxfVH10/w3KW
nuNfWHL5h6lDLOcvZhTY7+mO/99upPGHi1wcZ7xkUoJC61+NbgRaKAdpIOLz/kvW9UmQ9SuB1rv/
81+NbpsPCicYiLRlKqjptvvJtU2USy6tgUOfbfOs5Ji4du5iIFFYjL0CQOiOrKsNqsn+SsNWI6ro
YMZtudVl8iWN5abLhztqKc7mY1id60LdGxmDaiMjkUBzmnQTEr/g1cQFHiw8XETu+anXVH0BKRDW
lK35r6kczJXsjRjVwJKCodtvdknp17vZ3nHzB/D/HNZHh0qwE3e9pe81BD+rCoHPCkTP3lENpWN3
yKtnCD3DSrQWXQLT/5L18uqf3+b/HfXhh5nP7rW4fMlem89Cxv8XJYpLD/0XD0H5EuUf73/+/J/d
ePMPYJXc/kAeiFSAD8Ct/Bf+Qjh/MKRzYWIo+vGCP/bzA7BIFoXOHbnQsk3+01+THmn/wWRGX1r0
NMIMxQP1Dx6ABfD/UcGNdNmggNRdk0gKSBsfm/ED3OAgrKKcULalAYzqaJj3toYwcA1v1NoRkNXo
FI+TqFEgsBt4o9XPnRdwvK03beenhF6NGf9G+jTkNyYlRrPBcrlsuCq0yXicah+rjW5nwOgz2ha3
P13rfzNUFXz3z1/CYJhhmwiLF4Ex68zHL1FOeoMBpn/rWIr6G96U/k3jDkC8RmQVbKo4Q8KVBT5p
g8SnPyWtC4tykETHuTINnvycBvaOGTsdqcKZp+QBTwh5zI3MgYijk0gAuxlG99KxanH+qACaUb5N
hbVWpU1vvU9VZ9H4mmV9V2o+dSY2w+KaB1UYuxEnaU86pqkauPwL6XicKx15lFUR/57jBEDWR2Cc
2sRWBvI0o+xYR6KsriEZLCngkkAUT6/iul9RbY3tao59ILVgomg9WlOVr4OMTJhd66j8DVFOiOIM
ylJ1GYmoenIkiIdTO07YJbEvNKhwqME5PaQ0JXs/LrHQdDDCNlFjy9QrC42Adl7kjMrNlJuUfLHb
QSf2cmWM5fSkSbzaJJH0HT7sKoDBQOKga+EPH4ZpkyZx9AUOSLkJ4NQNuxBjL8GpDqHmcAoIGIRP
OlbjM/83DFBKQQLtQpfu1g2u6bLb1j7dirUeFvotMHqhLnBXZdPWaInRwj+zROZRvlVPrS4kDYK+
gdwWTn39A8G1b9+Fec6YQFeqnPcOaW3jOh7GgTNzlKbb0Jlo5JRjEM7XnSGqZOtU2Apoqwri0WbO
PKDqWsEBbujJx+py277EslYZt/Zc9RFw2Yhv0cayfCo6EMmHZPDlzYBtgbAzMkaO5cIP25h9H47b
yZ3IK8LpNFaXRD+WQMOGxpwovF18HtAbdGBullUUK5S+89GWVbQYWVLnsWvA3nh9v+wUhurChzC3
UQymJuGRG+WT137QgmYcVoQbZ9XTEGXxW1GG+B2KnHCsH0yOxmuYhHO87vpCGzG35eaLqOC4HNlV
B590sjZz1i34vmnTNF1MOi/PVLjRAVeEX+GbDt9kEXdYbaTOqbBJZ/KyI/Qm7Vr5fievEAnxYsEo
eDETGRR5PTVeL0iyGGsz4kP5YlzdHvDwqRgrFpDKHByxzV13vM7dCitaZQ+9dpeayDUOjiZ42Frh
oJTBo86LdpNI0RLV43g9kow8mXDQlkexbdGBgaaOe16iZJMen8cCXNsezPxMFVuExoiHsEXulv0w
QZjMw6rFZMAhS0tgqJFOpqiF78cQ3pvJqG7kjWd3LJ+cJmnlVYq3lkSF99t1lpWvHjuYf+DCtYSl
4c+brhxUFOy62m5bTzZznp+RZ8KLMKyUNMm4cV5sMwDzSw5qxU3fB+pR1th7DjniV4nu1V5C5uPm
hmuCmzcKJ/NJa/3krMDfXVli4CiHZtz8NmoDJ6jcL37ESarvKZXiE6qjetM3Uh06QifWVl62qRc4
st8HWf7GfAg1HRVNsLW0LLm0U8lIwkxwf22x/Xc4HP0WXfKsq4HwbV9/QH7bsfQnchPP8fQ0lo5N
mKief3V7OJhsB0HxTCiwe0qnCCb3pOX4GrqkIwsIKZ5XF0V6D1TePVRqKC6YGEzDinjV+NrAdoLg
LXYM8tV0x14M9OHXdFR3TjiiTyvCiBQ0U+/b9saRQ9d5Lq9gEQJLF5vr09iLK3pJvcAq3XuSmSfp
aL4krhThaLSoq6rKK4VNYmRRa6GHaE9dWyIrzsIp+Q0MrfvSjQx7Gho1x8mGTepAyWdi24LiDFQd
3U4logauoTNdzXlX0Rwtkg3KGpolafs1sdv4cpLgSuOhfnBEUeC0Vz7tAiQYuXbos8J/GJP4rpvr
4NBWXX3m26de73Td0wj4mxKOaV+CHX9dpl2xY1zB1BhlceMB/c+PBEeZm6gP24FTlkPHoXRLeosc
dEhOFT24jzkJibRSafgGrjW7Y8VmUoC+lil5XDbVTkdmyb+wSZ8f3MpNNnSL6i0geTr1qWnNFa5k
R8l1XGXxGVHhEgyLh/S7E6Y06mc74tDlAut9KebF1Z7l8rmji0rXTrOrb1Gk4U+nezDdVUNlgSkl
lAuFpXQTj+lVS1PKpARGhGhdzmmaHHQMqztWku6cDYm9zoFyHqXpVPs0t+fnfgJtEXSyywgSLhdd
nh4X39gaaT2Tq4rntojbPfyS2lsSOBgCAyCWx4jyhTNxtgBw+o5fbDW2Sf9DK0bzlUbtm6/P9QU6
wsBrqaa+TqSfPDl6Yj+TNTpEHjDvb3BY6IrEU+Sva93ngBvYvQC53ijeKnHtEzHMsXvSiRS7NU1E
w5xnkPXV7lC+TjTJ35y4qa5Z4Re0Cc/epTKs9rsQrX1HdCUq1kHQhMfEZp+73JxLr05lChNXOjel
nOyXDGP3TaxZEX53n+5XFMwPiRjUqXVIGimc0r9w0oRAA+K/HjCyJlvZNO2Nsk13TXy3SwAwWZeZ
VQYAIEDVsH7YLk3uTIbzlxkTMEcHmNaUY01d9vvEUMp9AhOzCMppb4WbOBE5uRYRDBgGRAQfA9a2
nsit52GXc+8u3XEa6RrytXrJr0jfnHZgchEPZXNPviB7P8uBw/gjmmf2E3+mDxnBUiXJoqc50Zps
xiAUXHx+Vm7Y2yGKScFkN0ge8Cb2IKFJ7jyZ9K5tr9TddNe0Da7OCtoEGoaqaPWbCSfLvkWs/prF
AVnLIYv7ShnGSAA2MNt5F9JODUm3m6Js41KM4aIY+Q2cr7BgaUA7eQfDhZzdgmUuiJXziF6RZMlR
x1JAP2u0zD0NDxIntabHp0gRlHiktC/7jMhL1wMsqb3SMmIGPICdxfuckvgNgUQyHnXHdjsQvzCv
w7KPyOOcStZuRBQuLedOZmgSGrc7l8g9Iy/x66bjlCct7XawI7i2RU8exIZREVZJjJ+peC4iUzx3
BuGV1507kRCFaBKDREQpxB6gg2fPh74KN/Xcl921RaUUnYUPPo3nf5LtMVCdO/JLMPA6u7HbPEaT
Wd6wIzv90YyGRUtB1RETCRixc011Wf7oplalO70gxmWHm5hMbns02D5SVxh7DPlZsIv7VofE7hKu
2c+wTlbDoPCuNgb6Gdz/sSVu0spMma24fX+tEHLilw9FueuMxKVr3rnORlLgNR4HY30/LecOFpPI
Ok1+iRw0YgK9N/wgvpXdyL5qlqZ6ozi6tAD1041uZGUfhdGMMJmsmWO1ixhn5JYkUxwF/hifhqQw
TtDgS3OnIzRI6O81iXkqspH7X4PzDwCbASAsXuqMJ9IKyFIw56G6TNhD1RqZzo3ph0ugZEck68qA
u8I8pTfG1vNpVqExISvaAAI98bCnHN02nGco1kFkhi91HrRMbma25bmpk4tadNZrIGzmTFo4rQmg
xGQ8xpZ2maRZ+eyKgOZUDICSX6PqcJG4ZjlkMG56ghuTKUf10pBQB6J7jizU3w2S0X1OEglJmT2A
W5BSw0JSAmBW7aQdSGPVzUo7IxdyKo9Md00cOfi0CB0wat275OYq8r9y53HIUJlGypyIaAwj574y
9JDhW8Pas8YAWR7iPjSOskTBQcKpzeNbWzkfMzQKee+ghD67+cj1nwxMqmsbIvrZ6pfzXaB35lc8
WMWTmZb9jpNU/GwiCOdhSIvxh2xFdeNURTLxjUPfPKDQNQ7g5JvhoCOfSNYofskGwCDDZOX9EBCm
YpTwcpJ7mqEOTl13ruZtP0MY37fOgFzdZLarcVTxB2Y2wn8z1BCd9EgfgR/ZDpRnpz2THFlgFicB
k8ZzaMyGR1qBjhUNhjykF+bKD6Go5/tOTB1WY6ub72yG8w0Nmsw4pQu5QRq4wcEnjs41AhwHdXtq
CuDxLBZK1IZEhdAzo5JBfUf53RO1q2HkwfG+h+7BgTAs4Jxx4ZMLF2IBNgyt3pS2HR5C8BMK+xqk
X4gUPHQDIy4nQBZe6xk/8kKvCBeOhYak/caEk/1am5n51vUKF5gb1c/uGLp3weQHm0Ve50lbIyVa
vaMz9HeKBo/vq/+O1igXykbbBXm5LsI5NLycALhqV9WT/STqwug99DfTihgW+qGDgJFuFU41XfUS
76oMi3brJMSDrNyFG4KGDIQIErV+z/AtPzInH3dslvSCOVM6uOzbtf8OJbH08Vqn8tjFbv0Qwdr/
KjRpnWQNByQCPLuf0WFQvU1XplbJR/UOQMmqITyJopkNhFrwUqyFnCI1g0gD7vYk2I3m2B0wNzbb
cBL91zEV9s4OKOAr3dgS4dxfNa3EEOEv8JY5tX8Uo4DnkvihziOK5+DkLOSXtgc8sSZihXQUN4IS
ExWjPLD7vMLqD35YWgWqKBTGxmFRZeq3UGeAgtaGR8oHWfOtil2xbkmMvWWVTCHiYGwYyghNa1py
d7LXL8QbY4HfDGhcHosIhkTXBDGiC0FpC1d/nXHwW1dxX19nUUTMqTH0FwOMHZwf7rZHDXSoLSM9
mbEm971vrUHSZeamElr26sSlQdxrU10xkGQ0huEFuk/8TvoJF+iPWTTNDTksCWMxoR1rEozSDelG
VJadHdpMTANd4TKsCLxCPAjzWUNa1vlNSpaVU8RHfWEUAS15mYNyPFJetHuSlGtcDaAeHMMxr9BM
pvd9RuDPZnTqaGmRGvbDEI/TLnxnJAmJxq0G1TggciAHS3J/HnwkDMaeiFr3mwlN9TZv9JYf32BS
W4Kma09iSH0N1s3CdWoXxFO6wJ5sQVXDOukyjq7LKNkNCyTKRo7BhLXEVKYs1V83tsZDFJL2TrL8
HNc/gNfhpyCGFShV1hoPdbtMNupO5LvEtsdvfpKTbxBTdfD0TgyGVpnGAYXbeKYmr81AXw0EeN+Z
TqYdKMahb4W68tdGGZBG0XNs2pRGjlmj6cBwVb58MqtKnPK4YNiWC6QT1RCDXdC0Z50+LiA1EF8i
jiEc+1pwGDl/EB+ulRtqFPbWeuHLOAsyrJpwHdK5zVEv2Ib4OrY29A/WBZVsrJbPPFpCPJRO7mNW
gc5JO8pNrgPQKs8qIFiN03lTfJlGn9kkPIX0nYA24MRsmIktZLQ67zOa3O/YNBiRAxquXvOvAPwz
sK979z7X05qYJX3YTU2QzNsxGEyQ9K3OYGyM01vqwXkr3mFutlA1YdoQ3rp32FsB9g3VXFJ7nTFv
pkhLd/3CiKPyBBfnLOS4sa/KTZOBtGADrL51QkuuQwU2rfb7giPYPCBmecfTaXQLD6AchkPBIekm
6/utbafO7NnBlH4DCFESYlEnLjEK2Ylwr2klaj/ci4WOBwQm3JMSw/ZHsd6tc6tzXrEgT80aV4aD
y4Nwd2oACOHIsBYynz333WMFSn1fdLJpr6c6mbbFgvSzOG+RgII9LMnS62wKDx3fdtdpHQ+6s6AB
zYHx73F+JwYGttMMG6Rm2vNcq+oRwONlGUuAHvRv0SjY0WMU5PptXcfon+aEWV+jR08uoTN7wqvp
F0I1LHxsMzG9h2lPzUxYR2toVNuckws0TVZ2JsUqOXCczHeoiq1n0HjCQyMcXpAz4LUFhlBEQH4/
Ejuk8gO9HuKJGzkdutDUbpuYnYiaR/EoGLfCBulI04/IZ7apbQ1H9MI38ZpCAdLCjSRIr0LXZpAn
MuN5pgRQXXSp16548jsqu6EpYOl1iVac3KIf6c2BoLRDgxoOKKUgfHNbyTS6l6nRUVj5ZAO6Kj6O
blhfJAviUsK6nGHNrAnB+2EvGEzVNDxBJP3kV6kLp20Ym/vWzMOICWze3jem0o5V7rRPzjuUUxnw
t65j6ojxOVcOZMje7vTUa/0u7jzOQxbtriEKiOYoM5PvSKsP52Q0ZzRTgVwMoRfqVfPFzhDYrAyw
WRj9lk6Qb0Z6tQuNnsZlZQRUqW5b6NoqAsn7darMDnRFiDwtCHvzpOU6f4CDvXU9IZD7wo5b91sr
j6ilSBAKFJwSzPeHnsNIhlytrspT2xZ+6DF5j+0VISKM1tUoRiIHkSMQd97WLDOjaXPo4jd1aD4R
F9j/aZ74j2SCf9cxVzBRKSh1Cejx09wLcbo/SMN9BYUwHZ2s09WeGEWSRKYCEJ9ZdH5BQ7+eLu1E
Kx9/3bD/28iBMSAWBIswTAvo9TIR/Nlc4lh9UyFYe3GKJr+IXKPbBZMg0oemqxeJqtsXRtrdakS7
Z+g3NH3767f/+8jDAQrEJyCKmI0L1fLH9w9tFWqjtegJdRGGxKLmNg1EN4qm7z74wf5LSYQpGbaA
XGjVQ0z9Fsex2Wxx91PRDTXRq2tq/ir2JhWNyQGqwpSemL35cqdCSfo8arJqvC5mSBMLUdLQ/hw3
/8dfbxmnfpzaUHeYtmKq5Cr+Zn4aeGghEItJIJQn6y2xdmEd0gcnGwCKP27yTm7IrRcppVLCTCck
G5PCPRXLqEYbh3uzWXLT0LCNvSfepzZahYv0+jfX+d98SJgzuqLq4R7jc368zobBYmsvnjyrrON+
5xuaVZzA3/C52Lhv2nCIXt2kZVaD4ICL/D5FcguCGzayCqS1CeMgot0Dwx9j5KRm9zcPwTLF+3AZ
HUEINMU4bBxpWrBbPn5CGtthCXEzArmeuv3tnw9dIxsSt1CWltYl64ZqtlZEv96zi3qyDsHYzOml
C2ltxAExtXgkmjGhfEgrwuP5Z4M7xa/QLJwyUrYGBGZDazkXv762xnLt/jW3VszRwXYbiqdIKnxa
C0Ll52cIA/CcuiGiLGmm3L1GMqXOcxpUZb/RJh7slwzmbuoNWmgmFwFOV5LDCrQ1l8FkFeFJ2Uag
9mlakrKJmDVKt4zAmsAbVGPCsFy0WmW8TIPoBEAZhZgs75XyMVu6dWoRVkLimbmtqJuJfMw4alBL
V85OcwqMOjWPwBsnpvgWMA+91qhiZoJAz9FeSgzOw83QhNYXdzRIHYFTVha/eTo+QVeWi4PrUTiL
BQrYEEzujxdnZjCR2Qx14PmFY3ipRQ5Hm65FoIJ6eywQCmKONy6auuVABWdNTqfZtQJczoRaTieT
Q9sV3f8GLUDOiBZLtyI1k0U0iU+6NTkmoBFdaYSfmbLxKrKZjZWTBfyvckT/U5HDqIOZd+oudl5K
K0vmA12X+JEGvz59+fWd8HExtaWOvZNlxFxuBgAzn8Hb4QBMyUx8oKwOmmUq6GBN+GZ6yPSsPFro
9teBTsApFudWbibNReD36w/wnu77r1uRT8BFxseldNxZysI79ulqh6MiShms1hxGTbG1AmFSRCJP
ZmDyPtLhMtvmATNg+BhpBfibNKyXlVUE8rsKFYSytFSRCRdah14rU3qV28wYuuccRwvFN+eaA9xK
dF8K1chOdQmCiIrDLtYaNWtZv8qkr22USaNy95sv9/nyMmE3kJ8sZl3DdoDlf/xyCg+07lvtD04m
1QWdFiTgskv59HQI3AtOkZ2P4Nc2jsBuwpdSz2kn2jbe+A2QeN/YDG6OErnQLfdqojPq9VMc38mR
uDFmSkLdud0UnwhCYk3RfZXHxCEhn/N0fRAX0YjCn5YwbXMHny4mghxMPL081Wwyt6xvTZ/D0PrX
33gRHfy0sqCI4SyqL3EKJv+Mg+fTypJqBTCgAjahsczVDKYenCGKZumdoUrA/Unrqd9yjxUXaR+g
l1EA+cgzqjnWoKUNx82vP9Cn4f7ygRzCPgRCIDypsOY+lQuZaUYUEWS/LbRE81BAEryLYzfHV9QJ
v/JGw5q+9iA/mOTCF442g5oc/+zCfEWQ3rUN+bwMquMVnjT3LYd20W5istAvbSMxQM2USfZWR4pR
pYJGctH1eZXe6YMzcr5aBpwsNICbykYhm6VfD9Jbp3v3/m+RBJU063VwyYthMeq9QHOSdNsQXgoQ
F0jHSu8bjm+qKRLsOAS4ht6UiQafE2Nscg1nI4rImhyX2KM+p1uXUpSHvORgTuuMVaSFMI/BYZW+
TyBlZhrBHtBJtTcsE5ouY38OksrvfEhQnGgZc/rFuDHitCq83M5c85BPS9xmB6/6TPSW+Nq4Ex1h
VXD2AdNXQ7jpM/ci1VEf4U8RqbsxWhCLTAUB8kJhtjDwT6Jj3PT+w/4j/+5/R0z0/6JOaNHp/Ged
0NekRij0+kEptPwffymFAJZJ1CtUS5auA1RkLfoLZYZZnPueWs+l4cwizyr0l1JOSSy9nP0XDR3/
EazGfwmFTKRHzoImpEoQDET+GcrsYzFn60qiT1pSclgelvPCslB+f7mNmOr/7/8p/lcWdlUsOywr
cSLdI0Na85gETf2bzeTfvsvCB9TZT1yhPi0+DCSdLCpn0Lh+xG3Hg9buxzabvv102a//3Jx+Tt35
ePpZvozBTIP1HH4125bz6cvAcCoNg+GhZzEtQgMPVt7PAm3vUuIf7S5vvmqgbU5FIuLuN99QfKzc
/nxvdmwBLpDcH44iHy8kGb1FNci891RYEDbLc+pwyG9hkhLxBR6zPmdTDv0nliodPXCKwX0ravGU
SwzIXpgBA6epZxBGQYKBDHBI6kV+yQlOoPT49WX6+6+BQNNdgomItOGXX77KT785Jqs+sVDReAJF
0W3jRDFDILMlTOXX77PUYz9VEPwc1LAmLTt+cVToy43/8/vE5GEOBKSMXouComEGIUd1hbS4Gi6c
YrBqnH4dSTWPIXOg1vqnX9JRBgFV7C3L9sIN8fHNMeYyecKC49mNhu8lnOyTwRn8N4fOv/3qDmo9
SSGBqJUH2f30LpWBbj0QlcCkGzdPvUVUbK+M8l5F829O18srfbiY8B84HBqmtA2kh/LTj6Ymt2Se
gzwmQoUNRszy1YoRv+1hYNFOaaKK6Z9fQZd72aASFEhyP5fbUccoFs8r3obJdHC198N6tIrfnXn/
dpOwIOqOYSsMWjbwxk/PDVRiIPyEyXqGXvq3hFQn29SOSGweI+Mg9ereKKbfHWF/956fbswsgpNk
Ypb0pFORI5T5sycwEKCLtB5ahx0dF5t9/IcPA01WsKXsAqgxWdM/He0xzcNcj3vJe2r+EWJuey0M
KMO02jjvqxgg36pHWuf/5iH8+32DrJQUMpYmblD6Ix+fgyAfNKJrW0m7t0pve86ALylhs6gtMrhq
PaeYP8XE/7GJ8bdHghWQvwTdIOL5pJIf37BAsdCklVIeM/zySrhlVXodsC/Lq5xYO/z6qoJH+VzY
muZyaJacm3VksygHPr6fKCoiWAHVeY3lp7C9if3Mj2WstfND3NYwCwO+pL8NslkSgdKmAAilP80p
AxPL3XOercTLmCIn0FcBdLv62JQM8Y5TbU/wDOq5IprHmMgiGccSA3adYtjbiJpT8ybvi7zHc0I9
uZpsegT7rrMLQecd5+1KOl1UrxGJZOVVjSnEPE29LfLjwPTOeHDm0YZHGKRrxmQHNw1dcBeZ8Nm3
8mAm7ypEm/DNjCr6ERPTyOKMjKqy9r3eueIYW772XdQZHE7kPOVjkUtbHSzC4XCAIc8l1Lan4l37
bQEZnaOiErj0iG4Ab0EwTASpGdsWdjgsYGnZJbSaGajiwTcCuQs0FV8PlcssdLal04MUG0KDxq9d
PpZTomlbRGWq3I5kGjhn09ZIcIBayshZkJV+xfEZ4QEHLKIvkEnba0cECeWsnZdT8J3V0RzNTSk5
V4cYxRpodatyAAnZrOrZNr+2+khsNhkyM5ewzfHck0Ih5XLwksH6/3B3ZkuSIumSfpV5AVrAAANu
3R1fYs/YI2+QyI0dDMNYn34+so/IdOVpqZYzczc31S2SVekR7o4t+qt+ulIU/0otXZOeIuxtTFCA
abeEk4NKX6/kC84CgoMVe2WAQ2B1veRLhDPMPtmLE31NwsAMatcuYyev7WnSAXCbCpPW08R24Xzx
iMr2p3pZaiLMnWcUgzaKbNLYQtCazjOjR3HMZuqiyGnPlOtaXFPFc4BNodm1lMziV5FhOsWtMWQd
XaeoYHQJUIEPwumZm42dQf107GqboWnpFeTLAK3GYdE4b0XBLeOQTKV/3SM0Un9KPIx4MwbV6Dld
DGH7FIcwoCc1dq8YgyBeZtB1yfSRbyrvfFWo5Uj2IrkkHhsgpTRZRXjfKPmkmabA/XTLrr1mXeew
UasoXQgk9WLDkDU+LoieA1MXhuQCS+Wq8J3oNFZqpHruLIRunKNtVQTTscVgGIO83r2OzDKehejm
8ugScJyQxRPCDrBDENDoDMNQBBVwAkjF14Z6h4yJmmzVCBeuT5LXcmCAxBBs2JrkCWmow6oEj0We
UNPYrv5EEBRn3Rdq/9ImtjYU2MHiIXJ5rCKs3UHTpm9t1Wj+ktIiYpb2WBKgR9AFBM3Vie7yoh0R
UYRcgv2M+wOT6TDWHiCCLKBMfEqcH5E16HrvKfIhfL1cF4d8lZjvPlwxex8GFZsR1D0ehsHSm18L
dyfhfumVyznPnMg79m5jqePihiBPfE+sw73iYDUdgowpcmwvPDfPNSXJ6SObYEF9g4RQu2d/6+6W
JAI56OSm/iDbbb9Tzlvcb7IFVUz5jJCWFn2ZX2jLmeZdFFkifBGua1/x6NofZhoXhC5liaemT9fo
ayko1saFx0iFxpvQ0dFXEDh19uBShusXu9FpVv6e2i6Z2WE48juC2KNX40a18UIybNP9gxsMuqd4
xBmeRtTEDI1Li4pidpNkDIzskk35GC6VSC+0CttwZUEXFjeq4pR31GLpBcAUhtqPU9AKouuhgQF0
rlcS38yW81Jjey2d+dnqMEueeTabKp683gt/pnLNk2PF2bRAjWHWvxsWa4b3M01EEyvKc6oHUw7D
nYDTCHyDCoGGjOc6nlKsKl8DzTazJxO0phewj+UXG3AtvtlpXb+4y+i+z6HBDR0VYxXnSYLzW2nL
fBAgK6+NqikuIfP+Kyts7Z8Y5hb3w1iu+mFKK2obOhF+jWQQPAfhXDr7JA/NugvnrP8Jd296sL0B
62Eiff2zSGc65SlEIvSsXFN0R6Z2kb5UNDnBHoRRdwixttH3U7WBRNsI7RMMpLQ+07De3GWABemu
CN1xD+U5HY6jyCE5ZkZOVGt5bRtisDRRd+Woot3gIF2LMZ/lk7TuQqnEnFcy7g2FSTjdi/Yj8OHg
7GoS7NkZI6iH6U1gsd2hoVvfe8tmcDpVQf0WLa1+Xl2plh3qql0ceqwxP/HB+s1RdK1rrooFO3II
7T4lfNjylCcmrM5tiVZx6QcjP6cypANGZPPwTncR9e3M5woDf3GZ7wZPrV9orbc0AX/GqrvUl5m1
U6lrr4xqEtjKTlPRstjyQ/+ERFt8uiXWThxpfYEYm6kALd6nDol5PYriCW6nmx4htIdfKKjs9PPE
u0LmdXDHzxCn3Xcag1wOVmYC8OhaE2Uwjsyn/LT45XA7BaCCcX7M3qkeG5cEd9GnfIo1mw6cwux9
8fn9DyEO0SZm96VMQ8y6E4es1ESQU4rwHiBodPpgerOE57He8MNJ5HXs3IFamNiuufWNAvoJTYha
bOcwUhQh43Jxm69GBEl0t8xVydDRY+94tpcRDG9NechtMw2OEzPcUXED1S85B32T/8yQ5wl8W0Gf
opz66rvEdE8n2lBY5KV5R38VYUEzdgK3aWJFbbzXtHP1GGNQSinbqbCjsuku90k4+fOpC6JV7qJl
yZhk1rJ6E3OR90cwwExECCPwRQrLBlN2YTgq74rV8bOj408UIlmIZ1BLozZ/mLVys72bt85nn2I0
2Dmbe2vnl6WcdmK1wk96z5P3FmoRXO6phY/KLNx9WTHWLnyyVCfuVjO0nxbBpOpAnTVEm1mLEbZV
PoPxlJopcCiAfB01fqlHwtNrduDOggc9LKN2OjUItvYe70gwH3xfVHNcMkA4Wr3AKKDCpLuSPam9
mMY2qF4eR51vOYvhY8im3BBlTkAhgcWTjAGbjedrOHUZKhNClkuHRj46lkIduEfmJ7a5jJYB2jmE
pfdBTLt3D+WwAiPp6aAd4j5ZIJFC5ITyzA9or7ugFP15Lo1+poyssC9JUw3hHsaWPcPoXpV9Rw8s
HR6Uz/Cp0k+ePQacR63DlJQKi6vQy3iA/6liV6NkHwEMjN8KvJAcVducgS4FbjLayW0Gz5IkrWbv
0Y1RQ7IdwFFsBU93hRuG09k4Q0FAESayu1s95VzyRgFu4IWznA6uZv6oMg9ZMEPJHM+TDMxjknqN
uQJI57Pz0FH0qsgybmseqDRa8jL3vlPYok/2JFN5Dtwa/dUtOg6+OGPzt2lNxk8tpiKMwXuFwcGD
hfArqQvIFL2bgHGj4178wigcgbAaoiubOhU4273Sr6Nrl69GpK5iNUn4PmdrTWo86jfyaBRQaJu2
Uqq9Nyz6deqagb09GNS3uc3apyYHaoNhet0cMIr5Tmv4pXEb+fT++VsFfTClDOQXD9jDCpWdrbiU
DXADbJYgn2l+BJjudG99OVJLA6i0ucI4tspDBmWWwAm83lcrK9XWIZUyga2cNZpi9iR+IjYczqQ+
soa9l7heKW/UKFI8aZHTUj8nJ9pgSexdC5R+sEzScW/X0vLbA7qWDnbr7PjQkgKuwDvN8Q2vgLF7
Sgz9UUVXC2DxEYaWlE9NMHvlSTl+c+uHyfquOdkVMfF9jod2H3GQE3nh2VSid3Scmqx5SxYyDrsa
N84dHydgl3GrLgYQkYkv0vTL12xtdHNoqDJ4wshqPwmxNC89/mFDrt0kP8d87kj+Q1d4iJIZ7m9H
lMTiu7aEd2FiNj+vntNXbJ55t0+7qo32HK3n72NWN3ceTlzuGnywKNBr3vfxSGEYB9909mmUTbOQ
VcvYzUWFueHg77eCUI+0cJ6Q8RBvljf49E36usWPtxa8+WPRNhe/kDw6CQfVLysrJBhtslHFMYry
5GnBIPWJoEaCilma6AAFDOoXKfchJ9c1d9+oGIFkJjNX309FwlUAZg6+za6ntYv3PaIJVdSKKQmd
bLtqWOlCzmfKTQ9ZCkaZjkc5faQpmbRd1HT+rTWxth8gXbVPBQA+FmeVb/BMopfQyiiOq68SVzA5
nlmKXkZVZN/IASvQF3Xi3TfAeLJrlsj6o1/gIp4MBP4n+gFkSIykHb4aLX3+bzq5p6mf/frAWSB5
DfkilBfaCtjB7ZGcvEkKh5M/I/ob5AQkSB2a/MXh2YFbkLtU5TlWEWHrXxsW9tny7GAHFGotILLz
neTg5Xm/6n5s2t3ggAQ2GfyeXaZ0a/YN/wRv0qutfmcaWVAxCCRDPEI9bWOb0XWw7+u65oZS2xQ2
Tpa27HikdnbejUFeE3Xua9Fw3iUNGK8BVjqvYtXdQ9ye8/3ED52dNDD7ZMfEwn12vJbl2Z9C/6MW
gScgKRaKViGHYLcejSFrEhS0ngnOAtfdiOebnFZSgF+bnD75MqiKA+Ekh+ljBLtH1ZZL9o7dq7kb
tCO7OwTBiCVG03AOOcbZDrkYgiFGtx0o/WYoVbMT+dI9zFFBU1pqRVQzZbUZlngsJkP9VtWL7ziS
QuJ6a/valMVKYzNbP6SDylI/s6CUQIjAnX3Wa8QFLKxDFm+nsvx1p60J+9EAe/qXnP3skasVI6KE
HqGvnZ+PP5UY5uY4ZzmbkK605Z/mHtANAqPnM4XySzIzZGHlL4lPrL1vFtejr2Ncl2jXekMVHBKu
pcGhEIuAuMwW9TOzsIfvM5zrJ8eH1HiVNKkdA9Wc4Glwgyj3ubcUP3MLIMSuJnXY7WpHgG8LUq+U
AIY4ve/EtFQ3rvHa92Go3Btc9IHFSEtxpcxCKT6FU1s3o57NB+bU3NoFRPsAnbmFeexILcHNUnZW
cKx1CvtQ+luB9Tbhamj7U8k3DgJbmxIDdW6rGEuW3VbBU+5svK/TTuILvwuCMnjCYma9UEzdfSZJ
tbKHu3n6PACpzC5F0lLNZGGle5o5LmUY4fMuua2bKnJP0Rjx93AMQJdYuHb8ED3zazIM6iUJRI5i
X+WJOaclqNOd6VcyENyQICsJQJ3mwjWUg6QWuuT3KDlfnNRk6ueSDxpTU+375zJtve6Ktqqs3duU
YEEtSjm+23NzzdjBV7FY7Hw6s3autLMHVKXtabRwHydZdk6cm2oEW9b43WNJM1ZD3MtdWT38mn6n
lBgqhsnBI++4dClHTassNf5gOiT3XMuWliM5Ky6EgjanA84afZyNfq/wZlviIzJGTHuheCgPrMBQ
wMMBz99BoZLcDPXSWqckCLh9DF5GHmX1Gih8tQ48fU4iLjyfDZMsgDg47ezdPLXe20hOUO1kRNp8
Pzk2Q9TJ9QsQmqHfxchUaxXT1D1nh66uowvw+UgeKGogWhXgQH81QYEY45nR+SRgSBQg7JeV1DJp
m/aKNhAnPY8RMdSdwK1+HKjgqPYWNUxyL0pwh9f1tGj+DZ87aMj84X2aVervN2yDe/F1wM/QUF73
2QGjw/Rfsrxd6x4T+Fm3M6mJNpJbgTi190QWFkVuKWsy6ZNjWXlrhyWCv+fqCIScKFV/m+Mqqy/g
kV0QL0PNbmYKeKYwTbPF2vd0265HnVMLH3upH4pDHbnpIeXjG4+FR4ABfz7fldjGvqbebeQomI1N
hpF4tmYT7ubap/jCZZQIPbFz+pNT9GDFZFcwndGK0NlB1NMMtBkX6NHtUUW4KvrFWXNZkkdMSmCQ
tK/saa99Of8sndZ951oBJ5Zq+fW7Z6R/JRw5s9TRUvNOhiR404XQ3+ndiEpcAFmEx3qe/J/ow8SC
jJfm+oDWEiy0SIjhxxTMcLU4kncfEU2m96FRuDMh2IQv7E9tAGyN7+lpHEeyODCwg9tQe+rFuHUC
MdfuoocqaMp3lIuEoKGFkzfuO3LKh97pQb51wbbDk5jUZKc7RwOpVTkEyJB7xPc1UYgu8KFg66mC
BudkhllzEMZO1XEMU+8bhUfJE/A3ne3rILH92zXs2+pYJM7ylaoNEvmOqdCTaJxwpzN1ilX+0Oeo
gQeNt7M9uNDyxTk3Hd0OkmX2gC1BNf5hTRr6UBAlSTCsgidiADTzq2n7YWRW73JemFN88dB7sXrv
C2JH9YtVFi2WUqY1kN7M/Ky08XAquQHnA4O/3pzHwAQdD5HvB4d5LtQNVgGWc28aI1aFkRkCyp7C
1S/9TnDWQd+8gdJtbTYVvG0Yushi7KwI9m04BHOEW5qCxZ3BNviZUeiMbMBDuByt3G/H/axk+GbX
ES2iltg2b0yNJPbmlioOUKW1vMfXE3pnsugR1wY/S98IWwXwgZZWtBiAWkS1Pg+8H0wTtHPAjRHS
46GVpw9NWxXAh7Kco2QPLQwcMM54IuZrGZ5ZmkdM0w3BZXvxG07aNuLSLq39xCGE0uCy8ZNOvREV
bH96ie08FTiBk1gO2cSHiUC1x7/dvbBijndiDCjzMVwpoeSxQP9yKVH+JhYXnh0gYAvIG+ApN/Zo
JXhP/JRk8DDosN+PUz7c+nRUpQTVok7GUznTdWu1PrQuQvy0qsy/G1Z8RF70rLq1YNstpcoIRrvp
u7tVs0ByoOmEy3/yZSkbuluyrcYlmgtmunhSxDl1t54Xb6t8oYKD9pfCciBGLF4SvgS/+2H0766Y
/ndvjG0qWi/a330yiPN0yxTBsIRH7k/JDW2ccDSpc6aJpthKaRKE1I7ILlU1ZINFdWyERYPNvJXZ
eExV+dAK3/qaGJ+2m/V3841C3CNW9LsRx22j5oEjXvh9irbGnIyunTf7d4+OGqnUyX+361A4z0So
/926Y7YCHvzfMJcD1of5WLlO+Z1xcu8QC62K5tPTCS0+VU+hT4D2hxU/h6nwbVTemmAYChCRWSPp
Amrpi6gu7URFkItt54fTeTNINi/TONV/9wn11mRF2PMr595zAxqHCNH2duwPLaT6rovgMIitoEiz
QlisiNQWBR5tIDceO/MbxAhroqTIERfMZaNh2dDe98pNoW10sDQibslh81bYeUiriL2E97R6+Y8L
as53mzovNKM5sL5lfcttyPODPDzJyMfO5jsBlU+NxPir1sW6ndkqMPv0hJ4YWFd0c3UyvE6XgYrI
WinOoQZZ9mcUrRYr02DVN5algoTSI4xXXNLX8ltKNgRid96Ce8sGINW7FkoqHTlRXgYQCV0W2MWH
U7ufDFSvHXczor2akLrBPS2Dq60U5kfh21nOCspcgPVyysEph3w+R28hvUHxdKO3ui5Km68XNDIB
XyPIP5yw42vCrYze7lr2PL/0vJl7ugyWr2RoIYeAaefB5RCa4xIdKRs7WQxiKYeyF/2cKagqolnx
QhFRn++qznWIyCYuEFiRt25E/ZflPLoZlMpd4q19CYo0o7PHTfla7CmJo8sEyBFH1IXLdHFhgubf
T64Ze66jLrnYdEI9jKUOUQHofF8FuQtK6SDzsWPyoxDp2tsAy56nuoY3KBJEeSqXwCxeK4nRi2Ag
oLsLAWT/bmqV/eBs32oOV2y1uO+Vg9W3chGVUwa+W1+88m+muSK+1252w3vKd0UW4x9Jmt1ULjzL
lQaUETsW2XoOAlYSnrKMEeSR8mE6lYZmLqdY9STkj1GL7gIOpdUF3fXoFjeSh5UDpGBjvC3RPqGg
obCtpL3H5qMOpWXtVVQ60Ee4UH7hJGK11Ft5nLsCysMoD+ZGEBeLD72QH4n+OYfZZHvq1zWoHiao
IlOMAiIRb0nQkYyb00jsVIdBJq7mDoQDYRQIkWzZ62YYm+RPhzsZV+qkhL1g1QyxdgPkkpUi8Tr6
Ra+0DE+G/CETzlYHl8TdLuNQbeQtDdJA7BLsQ/3OVouG7ydGtzrRcM76P0bJeM1NSQ4XA9EGnJbC
m55jx6OvySZ6uY+6PPvprRqIf860r4LaydX52Gc9yFZ7o0bsHTpLAH1rvTzz2NZW7HiG3XhYWRSO
KrCT+7xyvTu7ddtvYx5aVPsiywQAWEsFoySZqZWqVs5Ae6cqZHvweeTQ4DvGTccInM4SO2JJHv0q
ifQpomNnW76Rz3dB6nI3tbnAnjkGA9nmJoxQM4bCs644/wbOCYannT3baNbme04bMF1F7pLx9a6T
EKRHxquW961qpD5xymdiSEjQqWk5hq2z8+EklFxmKzpt1cJ97OhygbheOuW9sVkacXZVx0bb5NLu
jwzqK3LUbTXcO9Jn0OE4/awfs5KT7q5l2ZK7NA3Gd6b9CMUQULe+QvG7vBAfKUWGFduzd8z9Ogjj
tR3cI+d8ag+lXUG8pLbcPGJIyr/2bb5R0H/XJXYdzYmI+BxTBz+qn6ijjG5xsyzprZd6itQt/TzW
sUf4z47171JGq2ugJS2/yxpdfx3gBHN3o5+v2Aoda947ziO/ix7d36WPs7vWHw6LPFeLEA8LCv4o
P0AaDGCJitw2+1G0SA92URt94ZWrjwiW/vXY9cgNqrSLX0wnyvc5xzJHM0M1fI/8QekfXF/wWR0z
m0Q0tXKUwnYcW5nqfA0RXetfZcXy9LbSH5weZDU7ZKLBpSxXqF/tEGs5MBpMgobIMtXQdOkGs2J9
cCvmhDvt5uH4C/xQxtKGC7ZBoG3S5JlhQ2a4S036c/ICVg8rC/CDioIOz9OUpXAMuWOG1r6LktXf
V9gFzikNfUS6higPY1tjS4oL9smnJiw496IrEXGLAroTfbuoXldWzS4umL+rayLgrOvRCp9uTwTR
XZ+W3HHnk5eFbL5FZ5fMisLKXlDlaWC/ajVTRqJS8H5QZyWF8driXzqW1eBaFwg30UPIIa+OA6t3
6LGWWZH4Z3SXsQOFnXK0+owiM6yvKoUqcWllpgCOc5nnjeoC+jGOI5yN+7wr4PPbAY/GJkRXaU5+
IEFTHdcarUv3jSt4bAdi15kr2VT8prWIGebTkO2RMuR0NU1UBBNeLKNjotjKmAR5kCe7UnJZmE22
UfmtqG0F0791uPCPhklxWJEagWmGGMIbtzgu55XMa7dFelzXq9DPQCNUTmq4ybSMw/fMaUKePCX7
H4ZN6slap63ezGIeuHeyWXn7avH8C6kp8OrWBnvZe00yE+lCzdVItTa9DS4BtmUHYrRB6GhnpqOE
JMPp2vJBde6nyKj15Az0y185jK9v18WIXVAEFWCkrpDZXpbwpk8Cc7LYe90ADjrPqsVwfywQ2Act
8hP+Qslf7pXt+qLSkmwzJCM3OwxOF2lkZb6X84VOCfm9Ddrou9MZYm3ARsUUoaxZrbzlzgAEx+BK
IOCn7KB+8VHxs4e0nCv1C+SKPpX9VNR3U4XIfxlRRCHZzKj+sfGC7B5pqTcx+gkBKsdCjyNRjC7f
vC5cW1tk8LUPLpWV5vaXhCOsf6mc0RAGlastjzmR1DqenRBZ3wwwE/deTnjoxkldjvArupZ9cpkZ
Zvezzr0ozrygU++CLbF5cK2oI/Q+Y+rYI1mg8rm57P4ZWvofmZL/Py0V8jBY/Y03ucnNzx//6xpD
74+2/qtFmf/wnxZl5x+4jDdvGn7jzQ28mVv/aVG2wn9w9hOYl1laIzIpm/3qvzzK0v4Hg1SszXiu
IpxXW+Duv2CGXsQfuYEdepGEjUhE7H/AMvzDroq/i78Ci/JW+C2J/fxh8KqphbVRL7gwanCD9lnq
9Pwvb8m/8Q3/21fY/Gq0YpG4ibY//xdDbN+XneZajzLC4rUGZzst/h9f4Q/3ZqSGya1x4u9qEID8
DoHp/29egeUosAUQ1f/m1nTWtJeFhedgCA4WCQ+wgv/hFcTm0v4/FlTqDHwPkxWZDbog8Pb+/vN/
eZtSdFsctRvt1LTefJsNyn5aYUO95alnOdc2IdiG34y5pCjD5rbx8iQWKqjo1kn9jh7NnhB9N2/F
rR1Rrz0z44XJlTPa9Zl2FO1QNsL8+Ma2OAkcnKqkAOjvP+i/miH5Dfj2OBFeVuy6EGKDzUv4L78B
/JK5k10AsGV1bmzzI4zKq237aCfvP7zSX12Q/3wlsYUkaerjKfjTYw1yqc/synJ2YlHPSaiL6zFY
v8BVWg9//yv9+xcioyW5qrl88H/9ldaKC2regFb2BnmoMRy6U/uaR9P737/Mf3/nAgFeCg8/dQLU
uPzxEM4SA8HiLFRUMKjnukZRcBN+zI08W1P5H17rr/bc7b0LtjACdlmHkgoMV3/9lfKgNJ6dN0Bx
wvnSFFT1tLtZrehL11lw/Pvf649c1O8X45ciLYCQyf/+mVpm8ov1iG0QAZYhiHy13UMaXEdQyTpo
c+MjI7CwvnH75j+4qx208T+fJ3rZ+AVxdQsMwf6f38aJk2qqGk0cXfjDc+CM4MIhqtEeiZtzuAGu
MbtgVsGfgPuqrlLTrI/uNLbwwOaOhiPNaAjNbsnvqemTYo8w2SBik0IHiuoP1jtQIpgNaML1Xgir
uS4YgL4skeDb4g+FeU44TX4ka78ZIzGm7fqQEldmrx25fthcA3JsDXEGRLyk2tVLOVnvC6zNN4Vi
FtKG25GsA53+rVJTI4+AjKYXqcKZImJQqnHl9+GjP1CS9piawMOH2nk4nnH72O51qib7m+cFETHW
yvEgioNSYlhnrVc2Xh+PbuQof3SH9Cd4hHDlDJ70RMPmSDEIWThyHRg2OU9gCZaOESFZ6NMQKiGv
UDm7p26lLOYyK18fF0VDdb6k5sFvsvbCJb8518CXY88w5d9lBW1IiMqj0KdxkO6t6039uO+YhZIV
D8IWTsrYWh4IhiCgRgrj07cCFgY4+GFV+HyWsp7v1QobC5GeoBmG3/EzgUh4zYjGJYi9Wg9qqdoH
R1NC3OKBvwnXBCF6lLkH4XUo0Dt8u70XEBfq4wibY3hK580BUHA5EzsJA2S+7a0+na5T2Y8WilXS
w0/jwFYOp15kg7+rAaEsB7dopyfVBAy9+jwsP6I1uipY9c5+OyeAUrX7BcksepoaVvKTk+K2qzPC
iLQY8OVz8TVIJ7mxdETVWZ0M6Q2Mlma64iMVx77DYjOHyXiFerxw/NcpZ0QPptTzxLMTW5zdZ4RJ
FpGbIUKsAH1PJv/GpFN1WlE8XpVYR8VoemD4L4thQwhLnT2UC1ncri+68IidhQO8YeJ5OwD3iXvL
IpNnXJ1fhEqy9nEwi43xGKfNcF3zVt5TGtVdpiRiC2maZVqeS75B24S86BCiMqcu6cTAjh5Gz8bL
q3gQ6XqtTSM3p8m0nEnw8Y3e5aINj+nSMtzD8Dkde2MH1RUz7owu226cKqCpubDF/UQ6qvg+2q50
4mROtu54P6qmJ4LDxSeFGFF7TWk4J+VmbbgXRy11MUsd+c+ybHR+Y8D4QvfPUaoPndTF1241hTIH
b4DqcxjZ209esHQz3j9TuTWyfmBdGm1Lupxbhz6CMtou+KKf0MhccyTIED1RNFYeCWlg+ZG2MJ+i
8rKjZw3T2Vpor5jtSFJG5qlfwpm8M8XbFOdhNT4XWg+fYWdPsZ/mtFQTfQ8JBXlVpHGVd8PvOoHx
TP+b9cJYXQjYdTV2gSIdsh8tTLjHIMlpm6drlmt5JsSZO0V40q4LJBNReP2MsgJLn5/YDSOk0b/q
hVrxP7AKH8c+Me9cccJPHmCn4e6Nn9eSxjyMQ8FPZBGhQcXs6qtcasf6DPrMRYzBQUiDE3bsQ+Ml
M/qBmFMrlp4Nv5Th3QC6bK36G29d3mhYzmA01s2Ng4v8O1MjFDzEQ6wKHGq7Bc04g4szW4K+GSZs
+ctCdSS03t7SJ79OaFKHru3lMYCz+teEcnIolTtFj3gjNNjMSFX+tY0MKO6zIO8p3XFVvjDS1ma9
8aGN0B9lpRsD0IdXerZyzZ0ddXH+ktCE2UGZK6rhtR5A9zYHkNFeB00lV97BbnLs8gNL9jEpuPjh
NBHzMz93c8gSHQC4MKPvvmNFi/awpFhF8BVlwBjHYqH3sQDzBTiX09lO1wAams6ZTiKZnA5AQ9H+
kAROFi6oQl/VHSaEPS7bNQ6qKPd2o01RdMbtkYENQduXNan9l2aY/XgpGnUVKSdLD+2AyNCFZoEo
58r1BruXfQuodx6eO40/GJxk0zwYOEHwA93gG4ZG2peGiK/IUZYrzCu7zUL3pcKZQodNis6hUx3Q
ukfU49IlzqTjEv9/JBmfLWp6anRRrFcVzXGwDc0qPDjIXl+/mwSAKaRiMeRfpC3r2CYvdzUUdet8
rYbMaQ5h7nfew8SB8qZDkvqSgoPxzg5JveSMFSc7pKNI7xyvkY+NGoS3XzHAChILCQRtQFUWu1+3
zDL9lJoP9o65A83LJAfcao+cm1T3EaL2qnZBPjc3CBvzNX6H9NzikUlvGUQxXpjpsr8swmqfajXi
N2kmk1fXqY/qgpWxZSyaTiKKZ0FQBNx2XcHPDSJ6WhyTMgYaoE4yYQB/Y+xdBJBMPuIeqUpQsW3y
OEY8I2fyfEKe2Rv02Z/7tr7TUdufcjv13+AXMOsuJBzvY8KV/Yz5sn7Dk7S+g9bSwRHvdHPsqUYp
Dqy246WrJKRcT/rYGEuROafU1sMDnpYxuKlVhpzoYTt3jiXSZEeUInIfPbM2vJ3zdFIUJX2mJteY
YelJe3KhzHMxIDEvC5HE6xBSerhwtjgF9ebudYqZQwkjR4k5PPNZwQL011MGjhSeAN02F22PjnNT
RnIiQugA83z0Wi9QMdEB+4mCH6s59REfNhNmHQUgXJf00eKq0hwnOlxf1ix7ZJmGQyNBSfZnP8WE
92ZXSy1ua6tCIe+b7q5TFkmWHC9Lc2gRqIZr481NEisL0/PeAB9fdquNcojkBvulJl60x4pnn5y+
5r9YOWBh86zqr9YM4go+WEj3wwLbvMKCkAMVcgBzxm5HeIX6R3we9YRscmBQYJ9BlQ7lDSOJgpal
0LVK+NiFg+TSpRGzaNSRRT9kjg/vPkk+AVkAp3NATr9OxsklBS2tmM+DbGrzqGcMZfvVdLRmkrlj
gJDY/BV6XP33NbJxtYWpaU8jMd2SFVaXzjnFXOxfUkTc5qqn0ucQdpNhDFLTJP/I2WUgV9W0JTb+
tdaH2mrSI70bKycotTyHfdOPTzb9Y06eF1dhih+66alsnVL33Nl+dpd5mN6TKcqOaHLdHp5iekx5
5Jk2DbbHJzzPZ2avblyFvl4PMIdDmucqu//VkfPA+NHDw7SiNz8tHG42NQCXAsvMERN3YbYJVj1+
GeupK+NkFGV0xkFm7rKosT/qblYly8igYmsdl+tOABFrg5HROMLFTLuY7L3qfYKHQqtmW4uN2bk4
N8LgHcX15Y2UF5pW3EalJ/AmDlH1rWCT5YBgRemlKWXJlLuc5DWse4qyk7V+gIXdhtjgxxQbpN2o
AxzxqGBDk8EHHVn6mLlqjRnBTRwqLPvDmr0w3CO69F9mV4DyreteYg11QiSIsGjjpDFFcLKSXryI
0YaBGgIz3WdLts4XrlGhPpGfiP43aee1HDcShecXMqrQyLgFMIkzDMMs3aAoUUTOGU/vD1rbSw5p
Tq29pVUoUuppoMMJf8h22iz5vzIFKKQAXyf9ILPqZmpw5STdmUgjmJjVRhnwIKRLfrVZPtBXDZGX
vlTM3K9+oR+JA29nZlKHAVtUZ3eAyzhV0BUEAwAOlfBrzEwPbh+WQJjI2itFLXBsa3pKfaPSqPfd
lJFAgO2YLqZJQthDRLgCWpovWQdujt6F4IZWg6lV1VuugYGzclqQi1MgCqH7jnJyPuWqtsptI2xw
+Kkl/P2Q8jeLMNjGduxfj5Gc3pfNuiW6bygZgR8HawliRW2z61lvcZISiQ2tjdBynnHWCnzyELSQ
j4MSVypiEQ041SrOV6Qf+lUnIwdbIC/3lkZ6+sAutBBZTKx9Y5cKip2N9IaQCc6oHNHTbpARXbwI
mtIcdrM0CjKRMgbKym0Q/DaAlW+qeca2Ab1cFbG3wvKRFY1FLpbgVV6LOZrwLQL/1T+WNuqjYWED
6ErGNl3VuoTICllY7dESLe9lFSHOlWlaWLa2VaFs/Hr05x0KzVNAATbEjpFTR94gIVvRJ077Id5J
xmAquzqugvxgIe+wtKnr8jmqaW7AZqIrBaS9K3B17OYB32VFnXacl+GOnMtPwf6p4DEFIIXfXBNx
7iZzBltnDGXlIqiWtAyQCKPm+GUbaW9u46Ad3EIujWZbxkE43IIKBz9b405xg+1c9asym/4Spr4O
pAwHYL9ArN9RKkQsDp0UDc9y3/b0W/Jx6BQv74xWQsazHc0Vypm4pRaKHZoXrV/G2X2bI5y+oGFU
w+t6Xjbg+rxOXEITpJ36VD1KHOw/rUbI44ry97wPQrnd93qqvYwZqq5uoKEFdjkPg4yuUtTW4a2q
g0h3oiRUc0ftpGkv9cGE0J8mj1fow+c4wy0siR5/4d4JKgNHwLKvf9Pj7647ZSb5pTtn/aBBBiK6
9xdQj12u5wn4DUCTcP6hCyJ34Em1isV1hE7HPDUxfFSh9GC8wgyHjhpyngNcE9hP23f8O+xy25OM
uka51YCmUynTrZYOcbKuZBFGjjwF+aLDSrDfNjrRhE3/bEoT/mjb/TpK+nY9LZqOJV5cK1muzFUH
oZNudi5bAB/D4GdMIe4+0GrO86Ju5MdakM3ms5xcg9GQ6BwbDcCEqPB/KHVpUsET1d5SovoqpJuY
euDrFkR7OPRPtlFGbziN0IZQEK7c2Fo4XRn9ROLeGjUdKqDysAuNqL2eCg1hanj0zQO63NMFvZ3I
Q0NNmddsPT1wU00zsBEzfoOYly6TvuqAIWD+dyRELX50vdAaQjFsGbMZ4J2rITTdcVwEUJX6VicJ
LSUD8Ieu6RujH5tDgnbygTUtPECK8ZqPXh1VpRD36Ize+Xl+6+daS3gFLCnE/cO0ZXyY9OmZAwdm
rT1A6fONcNjRXwIAnGAF8dTUSNRv+Ne0KxZNQlcUjWGHJFf9bckmAv11VeyG2RQDIOlmQIy0JjlB
H8n+sfSzt8UIWwuwRkMDTG0kbpEUmOG4MrWwLAn0CihOnAiPkkRDTCHJfDZCILa7fJyjuzDq1Hu5
qvpNGGUAz/vASI6oX40/pDrIbg0ksZAzD8Z9imDdYah98KGqMMVVYRnZFr3D5Lb26W/JlaW7uZkW
120T2VsjsenfWaT1TkMmmHkGHLOfXQe0nOZ7Y2zjkdflsQZ0DOgSNarXXFILRMKC3ImgqkVmUuX+
Q2WM1mYGhuMZoE7e/GQiHK8WV4uombdBOMa7egQ0AeJSRbpy7uxt2w3Go40Z4TEUAuV+dht86ijK
aLplOo3injr9XZcOOBX1zQhI0ugzjOVBZW0LxaeWAcrWrfyuMZyiE8Maew3uH3Mq/AisPcw95BXT
ztVqGeLnMNk4dBTQ75GWQpb6CI8yJIGu6gN8Afh4ZY2udTghejRwsOEUgUotLQn+UmNn2WM6xUqy
STg/JkfoabBWSwynBx4EVl+QCA65sIFF9G2t/0G2HCh8jmwmyFu3jaz41m+E2l+W6Hp7S1j9YE0A
mDOs9joCWrNLfs+WXT5NtYT4rDRbMgAPfWT3jGUPPk+MRUlTzcLMs50z6VrMhhG7w1I7RHZ4hD0I
+t+Ei0p+MB3yQOgviwg9pzF1U68Gc6Wv4YjXABPwL1jJUyLbni0qHETCGnHqKlwQYS1ir6gTdwg2
GzeaiNFwbUoSK3qBQ3/oenaOiYEQWLpCu2ly3fpjTNSsCKPBjrcYFqBn5GvPfjMNt5THSC1tmINI
SQsQY1gAdJaTgxCCO9EpMChmGjorMPPRnW9j/Euz3VzZIvejdUnHKXbGlEWwqqcGxJVlhpUO8FeY
B51eZ+paah0cjXpK6ezShiIuZuUBmkbv/c4HLV0+YqoNMyDbyKKUd01Bh2ud4OLYNQc5LaOVnUmv
7dT5YPDJz//4nSGJleRnCCWJIVzroI/2Q22CK0TpTA63Ayxp3F8yyE5mgUFTV0TTFo1Ahh4a7KIc
Se7royKV4nqEWe/ZidytEkyxPDmDcgiIvvXRcl50pTHXBAAhI0OjX5ZRc1+U3Ytp1T1w1eW4B+98
mNGm4JAVkIwv9E14TFh+28lHptqtNSL1jVnr3fMc4WN0IbfZyGELfvKSmv20su2CdArqXLhDEAIe
fa1XxqMBGeNisLCCgCc64inTpe1rSZgJWM62Mq8vWRqOGOQOv+I5B/MK/oZySgJGm8j4V1oYvId5
HBSWtpwlhTcjeATLxO6G8TK3itzeIoELpqQuAUUBka3sA5KAHL6lIYOAU/AzVWTw/TAJIRXZmQgR
MqH5dD2GvV04dadyhEC4h90T41xiXqlqWuA01JoLOYT8w8lLHfuibkBXC9Bht1PCFBc/nzTgBRIk
Wplln7xIqmaVHmhlceHP8SivSTCmYRNV9jUb9JiElBRCTNscHXK1v7PrTgPO1URp7uSEz/YawJ2K
bTDcMycAOgjWLaify6jX3LppEP1P0Q59AvnY2QBxLbjUBS/v0aBQa9JTihv1Vi1MmBd9rO2MjM+/
lgeAQl4dW0RQaq/gehyF/gDREI8kaasig3PpB5P1StHzT6FkRz9MMBpsRktBxRlm5XoOBz9dBaaf
3sG66DZYgEZAX5MJAm7jq+nKkuCz52ZRphlEJzs7TDGsXTZFGCxlc/DGi1n19BKUViZjLd+Njxqo
l8rxLYQPhZrDQI9LnA12qWIH8mYBpPSuNTR1ttIyo1vAml2brNIgq2NQrbDAoVNmdDJbGarO/Zii
uIj1TQCEKNTR1gD1JGN9EtioDDdQDJtNksMUkXAWUR07CyZ7G2Z0Aq5CYdiYetT6WNF7mKLfggJ6
7yYoIB9iDU6VB2tqMrfqhNbZhs41HGMwfvA3iKFIfYO025RFPidHNHis+9LI5B7AcDIcOrPjc2AT
If9VVgZtVyMO1QdOFsIyvEFvS0I5py862gM8ModEthpesrAZFCiAVfXSU8CbX1uSsPSmJwTe5ZyG
WKebigSYvVSUo4CDiFoDLqn30hL4bgNNFVjaFqrvtm2eryBdZNewUJq7Di9fauuEcX/mSA3XYy5G
CZ0OrK9cVEMgs8ogcQ4pz309qrVBlVrIax1p5kutb/15A+6iPsIy7bYDVtPkVbU9X7e+HN0Q1Q1X
uYr1iWuKEeUF6Dh8lzH6r/nUybUrxXqC74WNhr9T5zFRrVxkg7ZXIdB4odH4j7lqyV6daCK6NPlg
hQOwX5lvOzBZrRuxiB8zLDvgXM6hRJAgguyx7qZkWiVVl4arGR4n1cqAyqrTSUH8CGugIe2g4g99
JfW92dCaQ9CiOTOZyE9wA1v0iorxpVeLRVARI15wOVL9gLeGTg+Ou+uPlsXxDeZAlpdzVrQblJWs
Fb5qsC4yq0EivKCOeNeibTy4KRp8yiHSO/stbUllQaV2YqZU2jTDBnr5BAYQAhM5xFxahPOtnaJc
j6WwW4xoZ2ODDfUaIfVikwRJ9SPTJ/0S7d9yJ4PyupNVVBCrOO1Tx/9jl6V0zKSmXsf2a2QiLK0D
h6clqqXuSCSa4jolIz9vJEL+04gBm6p+BOfn5Lkfq/sELYan2IdMt4q6lCxNrlnPdJ/tB8qF14ga
3PtC53iFMupXzkC+yVvE27Zt8UvIYPzvs3Bqt01hmJea2UzdfsoplhxkX7ODNbdyGVNBXNwoujjP
aSvwqq9Q9sr7VQ7YDaKin/QK/KVZCvayqdFLzPIZILWP/dCaNx5RYyOjSK/lHP5TmdM88rogDpEh
BNtG6X6is+WERV1uZbqLt9Vy/QatxcrDfSSpXYvd/ZOWoEA6MlcQ8Gel4oZVLypm3C3KfZPF+TX6
+cSECbVJHhV53HqkaIo6gplyL+Qg9WG2RfUUXwjRm884a0d7acia6RoWYge/dlQrxc1DcQGRFzOo
bCjgsyb0LH4losqjdV0DbnwqS/oaDjo2YbSBqc61W0dmsbJr+LUrCufFS1WRA4d2PCbHnBYeM7NQ
5LkRrW4d0Y9t84s0hheFUb0pPcxNKV/LQTBXjozWwl5PqkyGoz/LpHeKoRDy2MZ4mZWz+aTKS408
kFpDWal5iu2E3fprIip5bU9tl1+MrdB+EXvyhHRdlPWWftgDpBJotSJVYcA2WWPOGyWzrNaLgyBW
7iuCMtD3qhDI2k1zx3idNLo0lwK0lWQDzXzDkjiuU6OXHgt/rJAi4EoF0p1Ov3hxSI+aCPz+TErE
TJQsUqS7oTFS2i59EgJNlkz1bmgt5NIC1W+8BA5l6upxPcRLf6rftRm+ZFucJMp6EzT6fB9DU8Rn
aBjHh3ZS0dOYAvUwUcc+0m+Pf+ZtVW/Bumf1zoSvlWzDOld/iVFXVklqU8fM/MlcrEWb+C4XU2U5
QwkADobZQFMrHhXCXCNYHAG1MervkFc3AxeoO7B5v0c6dA3kAThxCqmLkmMeYEWetKbxJgGSSXft
UEIQzTJOSVe102YH4L4pfpU0eaYHychFeNv4GdGKYUPgcaEIU/GHHz489D220p4/RtCfh9EmZgYu
j//QqEqSk0MBLtaYa0nhsfUXhaAIk4YfahBkOwio4VaDLYPSQJzOj1Gjam9jMyZ3UWl1yg60XnaF
9jNAPeoecuXEVTTW0HOGUj60A5jLqwTpFvk2DCeWecwCM/c69/YuQ90+uohpR5OhhrwCNKGU7kUz
rPZKJEM1k1XaxjGCKYeqTdVmN0iYNXcqqb/mGGCyowu/NcpjEIixOwyKkqOzUgQ/ID+TXPfYdv+Q
YEjgzTGo4rWre4ETYNBEvRvU3DCuwuU97qU5iDpXaIhlA2fvohs1SNV5B9a6Kp7glwxXKThmcvMg
SZ9yGcCCI4umvW91AwkEA3FqRzOQeVXxbLywZjYfJo2Skjm22iU6MomkFG5WJdAUiYuzA2W+9Mhn
l4SnaaLVfidTV+/7XK9vhEF0gpoJUFVMNi4LHX6cSm/eg3TYXxhUUQC767QYUFip8QTZTDCp8HEH
3AuAFJi1Od4Cv6RFasq1cozzTnnV5NLGPSBS0cFNG0v5EREIUhGdgFHA32jNbcOm2dV63B1oyZk/
RdlZe8Rr9SsD5avKgwaOVcsAnzgjL4wgjWqxfOwLpd8oYBpTduKkPSCPxjHbd5xKZlshy9KRItPU
zBqxVTqNnCvK7bZazcgUrJDcmN+4t/DRnMva8pDxSV+arq4v04zeeTEmCFUMvgRd26AeCNZfis0B
AeW27G4rpVJuGggd6yjrxyvZlpVnUbfiAAtQX1Ul/1RFm98Hft7o2Sqq6DBiW42WUVNMrBINBmQ/
yLjcqr0UWxf0iMYn6kb5mvAZfYtsKuG3qmFwaeqIIsg4kHhjrXRX5UCOH4FjnbyUZjXpiwio9KfT
mBOYghB4ZSv5q75s7Ju47qhWpT4fKDBUdNqEfK1GXUxZJ20tL+NMeepkInzZbtDx8HVrhGiDHv+b
jxsOb2Kw/OICr8yGYg6GT9WWSD3FtmlAcSPFmO8uFs3wU81x6nAolDaE9vh3qTdYM5XNFthffoHK
ibEdbYJd5HHHghUtS9ntBBCCZmdcxX9kxZ9/KI1OC0W246jGeohTpJrlVr4M6Q/yLLSsxOFE7TQf
dehI/aOyDTc+vLLaQwUIgatcStLbILAoQrRlKW7Rj49B1zcYGxWRFOZrbFVUciOYYW6AS9hDNvt4
Uxp9Z1arJo7AxPVZ1nlo+cz5zrcDCQ+JziylNWEF0gcpHcRtngZzej9FM4x7KRsOCsEdJLSEQ25d
cK/tgQl2YpPOWX6jW0Q6ky8wJCPwQ1iGV4tpj7G8OMxkiayvKXtawc9+IcRKpJ1LF4wOgxcg93/Z
RY2UI+03auqjgqHUGj0xvP38StKJP5RZowptVaxeG8IAXRwsWU1OSbiyjaE4IQ3fOW37lTGVG86L
5MYfzSRCfbZNbsMO+1UqLeMeguT8QDM+aK4g4Pox1USUkumOBvelFLGvhg7xe2FQtAbXFwA9IViP
12YukdGS47Mv5kX8yJUIob1xlqB7TGNY/657+NVokbX9T4wEObTwNctuIIHZo5fQCEtdCuHFyqJX
kd/Cg6TLOeXZ3ucYuyKPMa67dqyPIprgpSoYoO2mHs6f7cP98i2cLJESK5FZWGJDPFobzVyFip5t
s1CzYxABenFLh406MJQddFcCXfN3E3dNf9EaRnc9VD1wSGSN0Diq9UWRDeEJQDeRb2AyIzD5u1Fj
TbkccynE5owUfNypRkTFy6plDKrbPKHx07NVwAFEJBxVfR3Ums7eGPJNTJCzF344v/h1MtzVEAbo
zyO3dkBVbW5WJQQrpMxMoqx1iXqn5Ygy7XcUspVHg/D7CcU/OM++rtKG0NBP7DDJTKmVpX5xM1IC
WGl60uOANk7axZBEtf2E7lV9gGcF9Q+tD5TkGyJwKhwIbaGr38W0xeQ0uY6hrfprYgWBesuQN4Zb
AB3Kj3QlwukOnEFaPxP7wCGVsircomaZvDXI8UobaCp9eFOXuaxsrcwKfsm9ZuOQpRVWtlo6vcil
GhYm2z1InVsOgARwk1xwc6DtuKnnVnkwBZwEnwrXimct/wADCIOnhyQ6Kh6JDPE+dzb2Ks6sU42g
rZpyIGd97NMvamj72oVsrdA5kQy3arn5Eyp+hzhStAMUloq3DoLuAc8p7VFTZdNLTCV8RdPQrre1
NpZwzLrCikkWBSUqPvEY7ierGZ9sEIFA7G2jllcD2DycAIBkl4+2VVuvwTQryS4fCupJwBjrfEX8
PmLHVxbicoKVQZ3bGqbnNtfiX2AU1JcK4SKkprDM+gnnMUbcpYKxRcM/sF5D+hg2hzudGGqpg1m5
EuBrDi2U7zC+i7PruEWrYYUwCPVE25zw405iyz5SywQeogRWdNdntVxeJT4gCTYgigdQYIeyv86g
yF2Eoh9/y9yof9SiwlqxT5D4py6sLCs8tsZnpRTa3VRJmFwUdRT52yUuM+keUmNaU9jGThGVZREf
gKvBA/YzSyBjpNjtc00yuY/HMIG30izCuB1HNPIRPf1mb0ABkDM66CkeZG1Axb/UqiBx4RZixTXP
PkXwBM2WRxU/919wuvoJziLaQ27IpdpeoAmB0zPt9fHYJhKmv/+jHfEWzgmUKHEkKto+rZDukbGj
zI3MRnSbdLm1wY8wPkx4br0ocYsdtyrLP77Hr36G/5oWurmmLQziJ3mRHX+PaC4GgdxUh6WR0txO
EZgGtqxtzmdkVr9A5NKVXMSAdUxVNO1Ev1suY1+a2piGvRK6snQbYbFpF1f0dkvtH6bG/1U+9iMW
/y8e10YdwAaMryP4ZZ1MCOBWmTbYjME6J2GT/fuk8I//+ZnZpowotKkyH9k6gUyzd6QRswkgpuWx
NO9zzM3sM6jsz3BpS9ZkWQV4psOCUE4gzAnEw56ytUaTevAqibg62cjgaZF+PYMjtj6BiC0Z7Xju
cRu7BP2vLvk7SHtemSriHNALp6W6SlVviGSSg60x/s4wRLTP4pY/sQAMHpmi4FFkATc3FkLIhxUH
I6yWA7SDsNnBlSgkxL/I600EazC6DIJVT+PXOIPS/rzKF3y0BrFBR8ZYPgW5KwEtTRvQnFP0t1D3
tn3ertVu9f2y+Isr/8BvAIVNKRw4NiQBm97cx5nBAi+GKiJ6Lr3BbVbGpvdGT3JgQDvRqnAJLz3b
pezo0px129XoDh5KkA4hoVO6iLY5/sr04CGfoRJ83hF8LEEVAJi4aWiny7W0UnSEDT6WsK/H7rG1
zvjqqJ9x6AzAk1UUAb8HbsTHeUtpQJEaPz+nWi3z7j182V3FpRTkEJr+n3mbbuQ23ugCnfH+mTUg
TDfwfJdSqlue2UEndl4cBAsqH/KP+Vc3+y+76P06E0OZwjUUaCZNu4juROAhcIJCm3HXrMWVv5Wy
veF0vIGH0Ll7PffQ/+rDf1gMJ8Mv++7dvurx0y6Q0iKAwoYU7MIRwaB89/Ma11AnoKCK5sTOX5fb
30BbHPSKnavJeRscLN7PvH6xnBUfPwlanDBuVAETyuCk//hJGqru5lijBaM1nVvhYNYXTzFidjXm
kvhEgSQvkdPtX5TmsaGcQkV6F8XmGWeqT8cMLBYoP9wxymJSpSw3xLvHIYoM2oCNOuak6tdFuEh6
t7dYojbuIIkbBdM0WlFX32/Iv9yLk5mz52VhCBnHGpoBHwc1sDRNm1DQWontq7p6KgfCx0Ybjo1U
HHBTWNFFvqKhu2iW1OBmtfZmtFS3wTs7r+ZtEwSXSNTcnvlUX7wPPhW+GzBUFibM8vV3j6JuFnlo
aGKILf0qSm0vE7TrSPw4fXFpGR0agMi05d2DraTXyFTRWVJ/KZo4Q5L58oVgDYKoO9eyYp28EBPp
mykYQWNXGQheXfJs5HuGKoC7LrYJhTvwZL+/n/mnKGBZA++GPNkSqFGC/8gZsmbh61TI4DoPNGu7
etgW4Zkj/9OpdzLYybtHagjs/MBgPfAq4jwa4Sb55/cz+nSvMAg7y9Sh4asKL/PjqwRfO8Vdrppg
a3Rkm6ZNmQDaTtUzZ9mnaMCEA2kuHgcLz9I2TnZwYEptK7WqT5pn3Uy5/IZpKcW0rHlAzqF4/K9z
sjWZWI2AwNAMoqiPcyoztZJaDPocKQKfSowdqP0jq/hMnPZ5/TEM9jMyetMGrLBlzu92QdEGSt/O
Nobu4rFFygqsRQ7CBLR792yWuvv9pD4vPeJPAUlroYTBDjuZ1CD1IZrHAeVXRnW0qEOaol8lY3ZM
7HnV5/OZ8b54Y8RUGktCyPx6ursitGKyRKDjrCE4YYirdGxv8yl1tDzYfz+zTyNx07EmmJTNQ/xk
swYTHWR9bKD31JhHvrPYBj2ihxW6rYg+y2dW4rJrPpyoXPJ4bS1xKaRdKJAf35pcjzWaSEte3LmN
dif0twGGUS7TMzZXWf+c98Pq+/ktb+bTiJrJErGhCOunW6xDxCUJcPRDv0JDI6hedfofH921/zwK
WYnOemcrw4U8mRd1yUkBGa869XiF16te+xRxzlyBX7wpxrB4VyjDEt6fnPu0P0tLC0xieemAZ46j
1Rdm+jR1j99PRXwKx4hyNYIe+m94WBr6SbLVt+pkIZ9NetJI4oBxU+tVZjXu0lGNUfTR3xDdQX8z
oDhZ9vkWTXs6ekOLsmDsj2dW56d9Z5GBGRTXLWrDxJ/LKf1ulw9NldojxtDYFlGzMQGYbyy8yu5V
rU931EyoXGldfiYgZX99XjSw9xYaM1hs1unJo64A+vUq2gmO53l7z7v09pf8br38WK+d9W7nOPxy
uV6v+Z2zczats9tsnNsNP/3v/wyYFr+cW2fDl3f8esv38b2r5ev85C4/XP7zlp9c1/Hc49Hb8mO/
ZSxv+Yn/XX4s37J86/IH73X/eHzcv+5Lr+RP+z0/XvfLX+Fz7s/s1s8rTtVkWPS6acNIoqjz8elr
HXVQGoVgVlrbSerfijyv/eTgG/ffL7nPb1nVVIO9A/MWTO4pWTmY9GquWwUoHauuR1u3jfR9BnCp
jNzSfvt+sK8mxSbVZEMzNcY9mVSmIscmbIpp2D3eQJLewS0GQDscekXafj/U52WkYv9qKDITM2Ct
L/N+t3rx0I77OcBRMEsTD7Hcpqo8al7gkZpV3v6mp/79eJ/POhWXUgi9OrIsXFXL1N+Nh2qmWqpx
iIxzr9V72c9Sj6Z7cTHiEnLmWP18kDOUjbYltGJcOu2TQ2KR79T0BtGwuLeSnaBy7kT9lHnj4gPr
0MozMHObenxNw0cTXMmZ83bZ9x9PdVVnpSzHoalon1bM2E/ojfodymU9+uMSbNDqjF+S+FRnIMR+
P8TJwywFwoaCVj1NM5Fvi16aPH0qul0NetKtJqALqshfExwzXCwkrtVOrtzvX+cXK3XZeWQglkIU
8DdFfPc6s9T3Q63nEyD8iapkLw6FURDmTM8pHiX/fSxAOCoWgVxhyikXHLz9RBGccDdtkVCULmT7
MssIN5r/z3GWy+fdnLDigAqM+S2XCwhWcYmyIAqQllulZ27Lr1aILZS/LtHcH/KyN98NVPlpEnQC
IENViGNVBr9jUzozly+2G3xW7ntBWiw4Hz8OMYQJgNGU9BB7lNJpcMzQlRGfOb06s9rFEqCfLPcP
I52sxRHmuBUWPLVOg9gW3cwsvPBPK2nAgXFEqKnzdS8NGG5DOjf0F2cYQ+tcABR3+c3JJFESn1pQ
aSTe4j4Krmmca/K2am4GZSPTltaiQ9FfyOOmhP+JVFh9ACvT2WsdAd/i5fs1+reW+Pkx/PtZTh6D
FrcRRh08Bj7LVGyC9qqQf/oIgqj6AXavoW+iEcnyvR/3wAtWRrKepjOxwRfLitDIUABpUrJST69E
ZJnUwqh5HGWNuqralVxYQJC+n+gXG98QGjcG8jaUXU6LHR1oa4QH6IHALHtTCn0NEP4PhNRVhZT/
fx5qEclZnNIUgv9FzOfDNgmGSisT1XBorz710XQsG30PXPI3DhDnPCo/7xdCZIOIDlNGSrenvQLs
FqoKAR1WsSptqsr6rSYKZH77x3+dEsOQEeJbzTkGKvPjlCYEissJ90nHbPtDiJYW9I5VVEwr0vAz
FaK/H/njilyOFqR7MJtES0Nblsu7U8bWkKks+9DixpvklyFqh0eIzZIX52l2odU2WMqSTtouUFRp
eELssYrXi1QeVvRZYj1pajvGtM9xmyZdTobJpbId7bCx165TXox/5dfl8CeVQakf4PXANTGNosm8
ItPJANqZJt2a3nT6NmH0Asd0jvRHROesY22p0QXLaMT/ph/6+zKsIYmNqpFTxyvzdKOp8QjWK4zq
BxPHonu0iGMIRWW7i/Ox++ObcbuDEDTGZw7NzxuIYF61wViYJsxC+eTtKHrdN3qc2E5e/FC1PbZ8
37/9r/59klmqY7xOYpOT8K60IacGBeS2aS5+tWAd5sF8/H6Iz9tTQ8Tn3yGWj/DupUux1MN7YQgZ
6hU9aiceTNfsvBZCxfcj/Y0QT9YXboYsMXJXXDftk1us18NcHlNEnrHJcX7+Uw9Xr0E7O9OKiGvT
rxGZ8DL3z7CGKaiu/Dt46pthDwbeeSw92Xl7tdxgbXrTxbnb74sHTZ+C0p+6XH2qcnIxYC9EXbjB
DqpTG7AFCP+o56b/xYP+MMTy9XcPup37YYBmaEEbRr88Q2TUjQt52M6oTqyaQh7vv3/cX1wwdL4V
QWTL4jTpnH0csMjBcndWbsMsQPpcLS/KJMFSDjV/5EQgaexBWd2jzXGrIaNrhRCXinxfwOIyocQI
JT5+/3k+50UGTUhEB2AzUHbST+p2dj3HabSIE4pcu9W0AHJzjXZBs43n8NmaxZn04fNV/7ePp+DG
TLNHl08et16mk4p3ioVI2K8IlEhsvVZR487VVRzvTOVMgPZ5ckuFC1dSnjRXz9/4+93LJd9UAQei
PC9Z81ZV/SMgFUd0/aVG4KnO/n8OpjUknXi3dPCo5Vknm1bGGq0VjW1R5xJoH690dVibM0o2+ZmB
PtVPyC0pbwG4pb0LB/q0MhnRfi+UesArYOtf4i3VOOOthqLEYfD0GxAx2bkOzek2+WdABCaohuo6
5bWTVSvruaEJzAl08yVW38YJF0X/ujHOZESnL+zvMKjzkR8QlNinnfGuwSqyDscUg+hDF+xk5Sod
9kpx7Iyf3y/7T+Hu6Ugnd4Sc6UUXtoxkY38x1/Y+bhGNVyGS2EpJyw2LirSoNgoqLGPTvJb68/cf
4MsHygxZmmB3WJ8fHyii7VBs7eWB1qBM0F5CELW1EER/+36c04Don3n+O87JcWNJEqrCMdYAgbWP
9T10JelcviW+fmv/jrEk8u+2WSameWgApbry0TiKXQjy+tj8WYRqt8Zdi1bfg4+gixt5kmetvp/e
aY3gZHrqSY0gGQ3s2SIe49g/AQVyqhFKJ3wblWgFU4vpSla334/45YtbepUCTSG6yScHpmlNyiB8
HmhWvGrahBnjWzh5gRKd2eNfPlSVXopJeYw9dzJONkWdApUlhai+reOXMrqXhhU+J7pY/z9MiFhV
ZT5UO05D5hQMdAH2np2QSjujfrPs/reN24Ncn6t3fPno3o10sudq8GUTjq7ADpWjba217Elt6DgH
yZlF8amv/ndVvBvoJECTqxTcjS+YUmVdztyrqlG7fR4/lI12WycAauXSHcN7pXzMo/AG7Amh8bwa
oLtj+DTBXZmNyDWreKf14Zkb8NxDOLkkulSvDPCEeHVUXmOvSu1SDr1auv3+pZ7es3+fABce9FwL
/Ip6snoCGCGKQB/AtUZkgt56sJrxjgLWhFXj6/dDfYpoTsc6ea1htlxQiEuAq8iflU1+HfbrxrW8
oPWCe9uDW+THbvHrHHxheVDv49Z/hgUrQHKk6bjffDx1cHESg4Xyr5uM14W4blrd+X5iX76pBYzw
vwY4eVOJKuEEjUexW1G9jWF9tB6WAGvI1N+P8+UR/W6c5evvjk9TQRPP6BhHj35GGWZg4iiSX9+P
8eVp8m6MZa7vxpCQB5/SZYwJGZIYnfESiKXAzKW7teozDZUvnxumOfTtF1zYopn7fqwh6OF04Pzp
IjITMhSS+jLuI2dG+XKFvxvl5GIL62agv8TJj9MceiirljZtserkG8C1mnX//eP78pp5N9jJDScH
KZyRjsFQAfOtldms6mFti/swcJt6W0U/vh/uzBM8bY/BxKJKNv0NDp4BYo7lJlTvg3ON0q/vbXvR
PMaol4jyZFZaOamA9ZZ7O9ub6/5ZXgUOlBKkFaab3Glu0Jq467yXybHO3G1frvh/BzZPbm3xPzk7
r964lSVa/yICzOF1OFmjZMlyeCFs2WbOmb/+ftS9d3uGQwzhcwL2wwZUU83q6urqVWtlKdDRFMNw
csGqENJUrO6hbzjcXsbZDHFmZpIEGYCOMpq/hAiwRN9D6O7LbQNXDfyPHHRmYZL6ckVhsrLGwiD/
UWtxxTBYa72p6ic5/+LJnCrS0UyXTrfZvXxmdJL4GCfn3QkKQADQnGbAIanG10gjrHhrWCvGr9rX
th6AfmZaQutbh2STUH9JxeS1YYRxJJoN1Pbz7YWYDdiznzRJlUINDVvGVIaNZuDKMF+ybFtEnwph
d9vM3Afl/UDnQRikBF3xy8wSZ1UMUlmP7Epe+9Dbx2gK3bYwe7M6M3G19TS0vlLPoF5+CDfdinEu
ZwtH4K7ehr8aWIOWLlaLBidBqqeuCA8MBoNT/YeZl2Nzh0hAV6yGP+KKGX1he9vDuU917uAkZBlv
ZKwMbSu7ar504roDkWF81f61vTxujHMrkxh1wMS7So5XffQbrJjswgDUfa+WHlrnEgldK0DUYDtp
mEwCQm8hPOlynGFS3+DCoanbIViCH49/ZFponBmZZitThhRcLjCSx/BcuC8WU3DBM6JFZXDHdAHN
z3IhCufOtnOLk5gQGZiAjhWLOtSPLuP+7HEZ9o9T+ytMlp4AF9bQmASEadWN3LcYE9JXxLq75rPy
7XbIXYEcP6IB+D4QRx552LqX+xZkmFr0dTVedstXQ89RjO7lrZHDqJIiB4SQOxylJawiPlyVR1OH
sy7N4b4JNpb/Tpv3pMXtVumGaqGGmMukYOTBkqHKBDZpss6WXKuemDZUyQ2wK1jHXB1MWfQDVAZc
QrcXYW6Zz21NlrlwU+btSmxlOTBnQ7aH4l1tF56O5jb3uZHJQlMSuWZfYwR9d2brpXUaNQ+xwEMZ
aiW3/ZnLxTqvVDSpadaAXb/8ppR9aEbB4Wwz86aBWfWSH7cNzH6cMwOjr2clqxiM7BoxBlyJWWJZ
sRWUgJzmLVU3EkObt43NeQP4/mPQRKL1NPGmNlUkSzsoDtLue9a+5+3Cas19/fO/P3Em92rVcGEy
sa3BA61Yrj3jtUIN5LYXc0t2bmX892dLlij0OONg9CI4NPDSiRtVArttcsN9uW1p1h9m38ChcRqD
kry0FLVxapopJ3GvQh1RMqngbGVjIW/MfpS/Rqbt20SD8LJkuhDxazQyjZ3XLJ2+47JPUzuQVZ4W
CGXTMCZuwDrdItDCMaXk+6G0mSRJmJn+X7bKmRVzUu4mhgahi4wfsou81J/OWXphleZXigOQ51wR
rNrEDwjNyC89FvQSpL56oLfAhKXf7UJxbTqHrPjCDg2rXQZZRMt+5ZZ5Ox7mF/K/H6BPXAyg1S0Y
Eh/bqRBNmytHh+nha9ccbpuZD7u/ZiYJG7FlKZXgc7AlyVuZnA3RCzMdt23MbiLweODfEbXgVewy
tJ1eKeUmoEGTyG9a8aL5B1Ti0nITLPUu50553nP/MzTNCXLaQztCO4wuotzet+3nXtirTPnFezXZ
33ZKHo+Xq0g/MzZJDSrslFDeY6xCFW1rvMAtuuqDFY/9T6fVly+DvdqcNht9tVeyhfWcjc0zy5OL
epvyUN0bWEY6jUHl1M78hWNcXjIxCf8gbgPL7TChPMLxV34SbOEBdbIdQ/ubfJ0fMnuz6jbuS7tO
Pqsnl1Ge26s7e5M++5TT8E/MQvcGBjpt87v04j6kbxB6VKvg5bfwvXySno/1Gq66e31z2+xCAE0x
95Aiq+WIo7VlJA3LcJeHJ7M+5XDihN8j/enfjYGrgISI5wpe7ialxeBaalSPybgLU9j54c4wtEM9
FPtSsmyfIaKqyB5vm5xNawwt8IbHdJjMa93lVlQqh/HYiNI09W1HYQRtVIqEWkB4dPKDZjIqDmsB
dGr5QyifjHBddbuFXzDmrem2Of8FY+SdnagCtHWS3/AL3PRB7taDu9babRbdwwdREF8QH3Lh/V9s
0jcbH8CYEp02NjXLqyofLmbkKWgzqTY0Bn72JBR3UFnZDpJ2qF3A6rcUw+NiTl21RARieA3mdVqf
ZIjINBNUjDFrISn+KwsH3oA7q72rgXYeEsQmUCAfol1uZJ1tBIHChURuuaQi08cvq8xdU7fhws6e
y/fjYyAQAAMA0fQRBLhgGhayG9tO8alUvkQIyfhOurDgc2fXuZExdZ59YxRf+yp2PFhXhY3pHXXz
kXIpaBfWdy5HnVuZxHLUDwaCj7jCPWNl5OhyOgs5fsmPSaw60FaICdRlthY+tzFdQ2zAA+gtwWvm
DkjmlxlRBZjIo/Yk24awRedZEQAKdIs3qGWf0K54UPTujsmwXSlXC27NLtxfc9PcGsZ+oA0OdDON
BroIZtOBxHN7y82GGTAIkFwWVLjypKxAEEZr3BgTZfaugHgMvU3rfrttQ55JJQaIf67BJDTiebK/
Yj0qGjHPY7u1h611Qhfn6P4u9t4X9zn7SctH+WRCyv4LRqjxtTSx0+QQfrn9G2Yi5OInTI7iWi9d
SNmz2BbL3oE0KQuzZy8VlJ8yd/J61XYarOm3Tc4uLUgPzgxuH8b0ooCQdZSgFk13wVFWvfOQm38A
qC3s4NkQ+WtkelHoeABWW4uBQEhY7UIVEc1d2L3S3FnLaBajYIwrEPuTEEnd1nETBz8YSM3jVfxH
ePTvurtsm9xxNfVP0Hpz0A8b/cE7LoXnLFjBAsgCeJrkDLjkMkOhlFCaecnOTj0bMDrlxSm8z9uX
8BCug13tLizn7Ab/m3WnbVbIFFX0RdkOfeStUve9RgM4tH4l2VO+9FY0Gx5/TU3brZLam9Cd4hnE
gms/GCCd8tZy1y7gSua6rDAHmFxUee2g4zP5fCLi3EqjsvlgXVwFUMqh2uQkcDoamzCzRwVYE5Yq
KXpSimo7qpDc3gUz0XNhfnLEiI0cIKaAVHepbgXep0B2NWsLtQhFfBSFhUNz7lXiwtrkqCnLOA3B
f0LGqnyq6DkM1aaAEsrw3mqF050u3MmBA/q2izN78MLo+O/PTlGtB7layaywlz1mbkulv3THnLvD
XJgYg+nMhKuYKZwx+CUIz46GXvMGXq61Kt5rztdQ2PgJHJe/lFjYBt7G8794QW03PfRGvW1E0OHe
Qb8uut/6/NVsnM1t7+fXnCkVNucYY9okuys+ArgQ3aFlk73FEPY0P7Rh22bmLi5eVaQaGnUNgdFC
cp17egfpzPwYc5Xk2OmgkeJraYQ6GDv1KP5Wv+UMaO/ztWaHr5pd3yE0tGkB8y/5OpMfuMszl83A
Lw+809afF8C9JMgcI92238g/nO/yZni3VnG6dX8nD/o2foQUVDkEz0tZeCZbYFixRMVgVuVKTVCE
JwfRPViGYSsIlDc9vQ+q7e0POesb95txlFOj+p7snUgQlU4xoOAvZWVndO9ytO3d0u6SXRfsbpua
OY1N5sP+MzXZMblHi19PMQUhaCSsxXpvJbt+Sf1xbl+eW5lsmqzLmSoeNQXMcIeMVwmrw203Zj/K
mRujm2e7Ek2fVM58DASyrbuffRiS/QUM/NwBaDEwypsIUwQjKvrShucVQgEPZ2QjgL5hMGtloi8U
/gydtc/4KFSKIToL8gpEwIJzc/v6wvKkZBKUKGNCA8te/oxmQxqDZ/lJh3DgsSJbF7zULfW4Zk1C
hgK6E+gOHdaJsxJKMJHS8FpCqyaCPt29lxAvDBHTRo4mAAAu9FwiFlLJzFcEIPvX6NRP0Qz6MMNo
Mjyl+pMo/YFd53agzByCFyYmVUzhuIOSIwcDFNEWUZ83VvrBPYGiNxc+2gd4cnKVPbc0fbErkcxo
JRFLSta+anV+DGDKDiA2LNHTCCtlXSl/iuirLr2gIpXrp7jzNpIJ+Aa8PZJHaKwf/Ebf9shBufpn
2WHiX373mcgBSQlbWvLUtdpjgOTJ7QWaSQgXP3tapPiNhwYWPxvBtpWcblvpzQI0mWxum5n9DkxZ
ASwcyYCmDU5X9SCF7Et69/qgoqNrxd+ZXtdRpVAVj2pWI7NXiT6yTMMm/++1OqOUzOFyD4LrheR3
uZXbKI+TyvWBbUUvqXiXRAveXQcyf9/gcMKENgr6Xv79GC5VGOH4+xCZruBTsAMx3Fri19trOAMx
xAzoXdolPNZh69LMiPrQUi1EWMj/VFR2G25FZde5ax0G6dJ51IZ13qwM61TZ+auGYIxtI0iLfs5S
apxzFzYnlMtxGcaqScxUXiah34a7Odz6oX6qemHX1/ISXPr6WASrz3+Y1GbuFyGbS3erKJHyqMrp
xEF9/ypCGyW+xUfnZNxrhY1K2X38K7Hju+hoLOSlmaIPywbzKWiXMw08BUoPIsqtmUgC5nXBkm0v
roqnHrrZcCVGVfVQVPnQ2H6qlM9pFyXcnGOpQJIWHcUnidYUbNZR6cO1a5X6WmkdeQPpfwNCXq9j
uFLlyE1XVR56r45Rl6/tkPLZFDE09zKqOQu1xfVRPGJSqSzGSXT23TQ0nZQJOW/MsYa+tVRnnRf/
OPAwzimfW5icxX3OOz7SDjRp0+fGuRvaFzG4s8IS9uGX2xvgOolgyYJZFdoE+iZTlo0awUdoOlu6
+sMDoGsx3zveJmlXmml7i3jesei6zOcXxqaT4DlHR4FsCYjCfI2oYdvv4nxjhhvJ3esqcgLrtHyE
zjp19qayRLsxbuSpbZ4GOYvh06PMnpzGeR1HuhoUNDBUl4ZaZtSbiAEw2xDgDM1lpCiKiCtVFDh7
6uIlDOpH6+nKPPdVDZYMOGGm/RPJiRgOKEjWwUH+7vxQVtlJ4GHBstWDs06/Nrwr7FvIkFfH+FF9
8H7/O1yI7ffX/kexclbdCZDSFbASs/GjP65+5zAP5nzR4t3taJrNYmdWJulFC7MG3TismOWncFSH
ZOpX+nzbxlwKM1AMZHKG4VBuTZcprC6NoMyUhrY6jQy51u49S9npCOSgpboyBWchcc1udpn5Lniv
ICqaYl7KXBFcqcalIjFtq5BXsvfjtkPywh6csqY5QgzRn8q2yB/KZxEat8+W3W/a3a/oXlvfVx5j
e8bui7RfuQcEuBhoyex+ldim3W5ikLkL1cvcNzzLCJZ8ub6iqoH4GjOCmJ8KXjQtZLEWEujcXjw3
MbmcZZ7lONKACYTaauQhgTwO67biZRE1Q7tM97cXeOb9acw7HO90TUlz064RChqhChk+FWu2Lasn
cfiKBopZPvYokVS/TeUQqd8zoQWZhdCG+KPUFtpWczHEvqeOAeHOXWByYDjoewc1StMIIJS2wdN+
Iy9svFkL6HfRudDHSaSJBWR9oQPTR4isAhdifC8ikLywiON3n2Yw5pY5wtkJDCRMKqUCFVAo4xmY
aeFF1+/i/pNk7YXw3q02KTIMVrjKYTzM+d/C8+Hc9jgzPD01QqNxq6bBMMNqFto6ys8AJYH+c5kd
pX/H8LPT/zo53YoBKilSNjqZuem27H9kg3wU0AC8vZZLHk23WI7MRj8Oc3mKstKHxyi54xLi6D/F
ag/QecHa3IY+92my22pge2Uojj6BvTK+l9UxaL/ddmguJzMKCsUK5HGA0CexgXpJUeRVTd53VCAr
hf/bhyJnBdVzj86lizyaXsr2bZtzizh26EbeY+gmp5QaHWzivjUC8eLwpaoQ27AF8XMqIXQDj/fr
bVszSwihhQHFpwTEEMbVy5yI8p6UCjq2Kouer6zqr1mlowlp+Es0f+NfmuwyGCRVXhi50xnStGfv
ig53XpNU5SdITvf+g5s+Mcz0IEhMGCsPnqhsTY3y+LZ/M88izMH9NXvVv+9qDj+kutFvt/ZpEqEg
Yqxd/03pYdMX9GOZvRaud9cgeEvBaztguu1RQDMYEJ4zPqsBYiK1aqvS++0fNs1r8FrAbksbFkwf
ddM0r7lhpgtyLQrc7n3nFJTGn3aohoW21PTrSuZIoEpRBlHaSOE5qShg6HVSF5WUldr88FMR7TVj
KyjpQgxN98iHFQ4BE147DE4LiTBDXhsQv2tnpfReZcnOQZa6Ewxr1RRtYkuluXAmzLlFg9UAUA0v
AIiyy6Ad6qRvBAmhZSN9TTK0pn3DlvTFGeZpt2Mk4jUYYh7pT1Xo+safcVZZRjLd8lSIPPvua7yC
Mn8Fj9n7F3tjPy+9h1wHg8XppgKmAL2iYOvSkgfe04H13bPlXbGGUW23O5XraAXZ2e2g+1iZ802I
SxeGxh9y5lKryB3CoI5nI+H1wbBcwLIc2PqGsn2t4OT4fx4PV3dfv67vrc3943Z16EbHd0/v6uqk
rmjeb7KNtnlfPdE0WFGzrb7sNi/2/vnXr7ulim3mC1z83MkXQCA0dAuXdREMkJV+nfi7hNmcDWj9
TwYdtAVw8lVcWZQAI1gU7j/e2adonq5FYi/QgfIUgZxvdC0N9xAN+Bu3harj9pe4emynHTLSC2CN
exvMnxPXvMDUpKaUfLt3t4MEgUWCjNXw5kTNvgzf6qhDcOqE0uadFzVIX9kxgiLdTo9RcwzFg1A/
FM5vwzho7WHhh13F4vjDTFXnGiKSqqe7eSj6NsxVpkuHBHlguNMC2AGspERPyZX0+D7sU1+3db1A
aMwX9Lrap6msPfFWIGxEv6idPcMbrncs+LI9aChHWaMHIz+3iM8066LpM6S4hU64M0U/UW0pjNCd
Ro0dWpc8zpWvteEjkwKVb1Cvb7s283k1+jM676sUQvCvXAa/7HhW0VboMrTlSWP0Tx5CFE0XttjM
8kFbxG1c4lxV4RO9NJKHeSYqSRvChVLvNbSqyJoLVf+MH7gAqnlM7ABqJ9miHtxaiQr8GACbe564
LSFHFSNjIStND+z/myvMEXg8jpFPGRUiRzAqMydXeKazUpyvyKJtwhLikbrbK2wIXYsk4Jnav3+l
DxZEk96NMc79TRawq5I6UAxEHyprLdXHAeQJM+0LVq4yC0XIyLX4/61MCtXeGqShCbDS9DQo4O+u
O5vOJHMPSy/rc1+LmxHX+hH8zNvgpT+ZCPuAmdH/NPTwICBso6K161T+wpk4LRrJJzCujtR1IJ+A
BU+CQilkR60qDyi6CgatRBsVcNSxt2p0VlnIDNBlXf+5vaGuD/7xNPkbIeNvOjtNOl5rJKgGxiHd
7oik11bMjaPZ5vddV20hrVkIyKuV5IZrAbYcq3Ea9B/dhjNzWS0naL97vo0Q47HMRWTB+/Yuk4UF
IOmMnXEw3ZK51qLqMR1NVx2tzKUxJgIzXGkIJdfiKYy+3l67q+81UlCfGZkEIBrbjM9CZWZ3PslC
crPD2IpRW6hmIAaLnD9eV7zcNnn1SEm0g3Ki3qTUUKUr3rbGz1rE2zqf0PCfvVbequhPd4X4Lknu
cxeO54z4BWVDeG3zta+GC6nxKlzYBbIIvkyFxQfw+mQn1CBGo8ZjiKkVG6g3WuPdYvLgR67Uki1B
0s7wetJ/vu3z1TJ/bAvwB3AMEDJTVFTlFE7vGmwLy4csqjnF7SGTnouUjBY/hUt7fSarKIQnO50m
N2fAuAJnERo5ctMJYhGA14mVE+xuwzprncwWh0bcS76r7297N2sP/k/iCArSq8MmLIaGYQNUjSwv
OsrVN9eXty7bUF3o2l/tCPIJX41CheQCoeTELz8KefDzS/zq8wcC5b1ywBYLS0Psc+6MVMcU9oAn
0NO5XD4qisGjqgvsKPguab+aZqsrvzJvYefNW+FJALiaPgoDXlrxfVHyah8UoysequHXAN+A2z35
za/b32ZuzVQI3uBn5/pFLrk0E0QVB6hj+XZA0toJvhYf41z1efLzg3ThnnfVhCf7c6+GN5iqUbuu
JgPIg1PDZ/ZX9lrxrYsNq1klXiA9d72I+lqP+Ju8EgVZ/FkmrbFNeKj/HCEWzX4IROOpYA4d+OrA
JW4HD7uIGphYOr9Kp+heB8+N3g2j1PaGmaBP1zem8U0NUmmhWTy3XiCoRTKEKEHfO6JTz/ZOXlPx
taLj27Xarx0PlUor3VuO9e8Hv3JuZlJeJLITQnmLGdSstn23dysROHKI3Prb7e8/F2a8e9IWRRNB
lT4mMs78sdRczgaV+rKODTQakk5Vv0hmmH+C1kt5H3SPEvu2xev8TgN2JGKVKAI+TpfLJSw0Rwzp
9IZ2gJStIq2ZdBp0hoP4sltDTtZ5na2sYuMlC2s68+mwy6PFmPZ4t5is6ZB7AE8z5B5dzhMl1Hjt
EtauIW1u+zcX5dDiwBUDyhVKy+kMpF52lhYXtLIbGDXczIMTB5qezyOvGI042FYrf5M7R8XdNekb
SNjOfClE22t+ZNmdOsoIbrr6ES7M2z9LZVUv7tSsOg/tNMC5NCLDMKm89LDJNR/RXFTdd0hAryTO
8NsWrgA3bO8LE+NPOIulustJyiUmsncI/NWE5+RVc+y/tj+7b0ucwTOntDZWkcyzwPDK7eTSljXk
XR6l2DJJjD06teVjJaurtFyXS2T+c3FDAU7bcWxSXQ0Fuoauu76Vc5Fxsz0S62s31A5mKi4s37yZ
kUVwvN6Dmbv0aHDVUjE7zLjpYOvQcGuhvjKVhWb+zLqxy7kqAR7hZJkW4KUVKKTRLgCfFKL0LTbC
PanzZ5eUzFmhXwlgv80XGhYzOUb9YBAF8MA/PxLCWVwIjinkoLJRNWyVU5C3dkxDsTfjvdPGC0Xx
kqlJWJgDVKl5CCFimL5liKkjYYlw51fvX2FexMKFS5Pd5ItipSkJdtCEXLtluTEqf18P6r/HBDUw
/4XokWmHaaUm+mKhFkiZsnLmupaKByfNUOAttrd37kxuUC1ysf6B7Maxy9BTmiINgnpUuQ++tACY
tCWUw1xsQz8PudRIAgVV+6WBzMlCD4hmaOte+8ev4m2qAB93/pmncjxZyAo0G+CyuJK/ErXS9ATd
pasRpSf4daErF4918gv2e6S3+4WPM7OVwNKMt6PxxgfF9KVTMKpqeqoAXVJM/U6k3RU3xlqv8Q/4
sNEsfKOZJcQaxxYIBoZrrjo2jokwpYYKrDuYR1GDaNTUNnK5UKLN7B+YpeGcQiBwvFROfKq1NhQs
IeHxOdV34305iLNVG3vlKmn/vVq/MDX+lLOs4KuoiFs6ppTCeo2KTIlWmQYctND7YgF2NRPfmMIn
hZjgi0288pvUx2lMMbVzMHvjsZeWAK5LJibe9JrXuJmDiSLrrE+DWwRc+1330+2NOv95/joy2ahe
j+DaYGHFbIXVQOpWIUb9pAhLR/lsaJN1aC/T2rpitGoLQxwS1DVtP1dfRlmDxnL2g+xt8j68VwRz
6c49d/8ds9z/szcFmvam4kWuk3L/zZCFLgsvtdPGNVaunH9zHHPr+u7OA5x8ezVnrYL4G1uH3Ian
JVEbuVrp+oDxhjQ6QjebRb9lBnDRKY0Vya7NBXNz9dFILPCfvUl9JLeJUQo59mBnsfuiXwmlBp5E
tN3+BSBsTANT6zdWsLnt5tXQDofVhd1J+KtS5oqih13JGXaKt1Xz5155bdVdhbeQ86dlbw9+sq3L
g75UDc9G0pnPk32hA65Brh7bvJIRObq2EjvhqY8AY0OWNGjxQn0z+jIpcy98newQlUnb2EtHX+WT
KzHjW3pbHcTy7SWd3YdnXo2RdZa7hixw62KMnN6yNp1WfW8Z+yNiA2RwluADV6w/H5+PbhiDopTX
jM1dGouqyG1KlbZbpQkwAdbFKsuN92R8avGd12Cf1iu1PyWFD+DyIGo7L/jh6LrduF+bdCH/zK6u
aTFrwf+uZTQaGZWOekS3dz7EtKZ/pGpwV5HpLpwNs+t7ZmcSNYqZ8y4xouUEWVq3g2wLlUzF+t3/
nx5CCD1aRnTCwMVOCjk3pzLNuhE5IfTWSkmtfBVb6UKlMLdsY2+KucORzutKiUIRu1j0RrxVh5w2
FxQJCuG6Mt/+PSrpH1r0hMHKmVMlYSNrBA9WbiDhgZ686pA6HkB81icPoug3LV6agp27yOuMkfCG
RMuW2Jw0wrzGpz/MzKgdCeG6qQ40q9Lmm05zvz/WQrTKjfuoXZfO9rab45+dbnGuY2PtxTdDmvly
P6Rtoje1C56GaDiZVabuwrIXV2KqlU9mdfSit65OC1gs/7H1AwiR4Xninp0IDfoUhKL5WW1aAvPt
YVF97hx0ZBw5WCfMRqxvO3h1UIyWRm4IBDhQhkYd4dLDQJO8iC1AaSRbR8UMXATH841Tet+RnP81
WPKbFyu2nCZPElqit41PCxmZG65OPcsl0ULxcvqsYAxe67kF3Zhcv5P7DOa+JbDLdDeMFkxo8nms
Yy2vXuzGe7vh1QAhMrSUVr3YBpuwii3CJVsa0Zhz5kMpicOddD0t0UG0REIkG4kdudlK054Wp8Ku
HshHZ+ijA0wiHk1uUJefqi7EMCwchkE7rUTa19HujFirtkIfPHqi8BiXqnZ05PYkCcLRNIuDIKef
83y4z2TXZSRF3KLJ/pQoobqLtOaYMvXvCKq8ckVl6QJxVQZ8/FSAaMCQCS59CoFuiwbBduTG7ULQ
t5kU70UeHHodffsG5pHOgyfOscXu3R20dSC5ttUU/5gH+QU6fJMAVRA4HWHgl4tVZg7Ixl5gJl86
ulSVbvGJW+/udgDPhBdGEKeGHIBJ+ek2jaM4j7PeRYyazeOU4k5nCmiRCOiDEf08C334gs4xeRZk
6xVoqYx4IJUtP2V4U9sKDz+7dfwDcWE4cfJytevfiy+fGtt8TO5O4WOxit5ehFfvmH1H3mPB35ls
wapy7QUBBI6K4+VyVesgTyQlxOG0CzeICRt9MSCo0+2HvFgXRb2GLPyTlMEmpZVLqWp2sWmqjtbH
dtLEti6rOcOz2FYD60ffVXaXSXeRNyx0kGb2MS7+NTOpB7SkoHtRY8ZPK8Tk9YfKW+IKnp4q4/cc
qap4fqMbzlDs5SqaOcPrscD31ItPqvPQJF8Zgai6T2b5VVX3tbPwSnx1eE7tTUrIqq9Mp+eNBc2O
dVo8hP2Kx/durHaOqvDdUnh5/Cw0+9t74xqJPXpJKcIxRtBS91x6GTaZBedIBJB3L1Q781lErF7+
xriFvlbX8aHZhe+/bpuci5BzixM/lcFP48wNoauKxcdeSY+y291LRrFwbM2Z4WYPPJhnGZm3mUvH
9NzyLSGCFUuL+k1R9Ye8KNdS4i8E4lwSJULQ+qIjTBN9GvCV1Yad2aV8tkfv1G2bQ2nzLv49Panv
wUpc6MYsWpvEPU8ojtQnWKu21VrY6zt/h7DN3fBAr6RDN+j2p5rbZQrwD/BeOu+O0zVsA9PLTSln
l/UJon+/wyUD13P2hN+5BfnyKxlGptVijAVFWkWH6ivsnbz3AdDTpXV4ao6D/YOy7p/H3bGKiDG1
4ojJkKbT/XIgDWajI+apiq+SdlSYXYuW4mIM4+lxANOU/PGoNZZvl545GsiWomtTOzkEj+b9q/5L
PlgPw1F8Cde2uSrXANWAca1vf7G5qEcYdQTBoWBD7ppYRdA3dZSapMWIbVLoCHboq8Ui5+oGOuaq
czNj4Jxdd/sEbEKRNWSNR+YWmzUlYWqbr3K9CnfGfXoq3vR9fmcdhoXcIc8l5XPDk+NFYygkyWL8
k3ffOwwPj3D3kra2yku6Cn9np5zZnMZFIEV+DFb5F+G4qWs7+tGvGa885EvZc+nnTLajLgS6K+r8
nKrc8ND8UtrNnb5GTfklS9fltttYa3Wfn/zH8IvNnPntbz1rnAG2j2dFiudJhnN1M7XClAjz9bs6
2sVltJZasNLrxPldtOs4XRiamYlonknpV3HjUVBvn6x91BSFaoVVZiu+CEywW8ntc5U++aa/igLI
e5boVmZiecQWI6UIFgHtwdH/syAT+kbLC7FL7TBphlVlvjcutaoiL/HCzWQ5ik/KNni1eYCeNtIT
Rcoczxf5iGYhHIdWZnah0bqFUvd6sJkTdtR5ot/M7oG38dIdpH1dPW4ZmdE/m9+N06gDB+vck+Wv
tvq6s+v1cJQhtr+nubnEJDGXZi9sT/ZrHhR9XufYlu3yT/xWnODjuYPW2yRIrcweoGldZZ/FL7cD
dG5hzz2eBAygAQImwmoZ33XwCy8NnMxsAEMfny6hZlVQjJxsALk2wtT0+PtCscnEVQLsLTBfpfLE
oKzs7vqlJvhcsXRhcHJaIShnVVk2GrzTd9VJOhl3w521EX6Xa1grpJV4Vy5kmFkXOag+cGDUoZNT
JGodra1EYtNIu2NtdTuHURPd+qMYP7lorhzJ2MGqtdAynf1uENCBBGNQgf1+Galtk+S8+shjDV/t
DbeF6HrpuXQ2InFLgoea74de6qUNtVa8lDn/1HZjqPjVt8g/IAFSBUgq2EXzWUYbY3iCGML1f0T1
rqG4Wip957w8/wWTjxlqXdPlicqecAbhCDWN/Kjm2vvtLXCdM6E0g9lTVmnBjdOGl27Ggua4yJxl
dh2+APzUg2PV3VXqoyAeVfX3bVtjLFxWHJe2Jp8tbAMhjcf83Nc/DHWXOKugO0n+vbXEU7jk1OTU
A+0W12qKocpdx+ZD4Hy2HLsNPqXJqZMXDp2Zy6wMUBCmSnB1NAnU8cecnQKW6KhxmCcZ/HDmIfW+
ACizgxh5MAM+s0Tb9R3cU9GLYy2F6Lhcl8sp0dX7G6GTfF0oocQeIEJBQWwE/gn7ycHwl07xcbGm
ZiDIppWPpo8JgOXSv94Se0a8xtOHy3KVmbbUMaftP+Zpur0dH3MOnVn6WOmzldSKwfe9WErtSBn2
sepsgUVshlb/dNvMnEPgIFWmFUBW8dEuHYpCiRGI3mFnF/GjYQElKfx7kQ4TBFRLd+YZW8w40Woe
pxwp6SeLx+NnHCm8E9pykN3Vtfs09PrOKGLYEsxtGFZ7UXlC334V5TIDdA+y9MIAyMnllS1XfhZh
uOD63B3+/PdMl7jKHT8ta37PoDlf0kbaqIV01LLkGITeUxmbm0jq1wZdGaDO3qpL/jnbUCsB46FZ
MbLcTk+LFr2JsK1cECElrGHSoZOAuNsREnqjVEH17faHnoknk3qGbhdzkUAeJil80N2ijzMfawMk
xezE6MfQLBxFSzYmSVpz0jCyHC+zCz9ZDc4u6d11Dr32bU9mw+jMk0nIunnWiVKJJ2q4M6tvgv/g
RWtv6dl1ycrkLPAyq67UGl90aKbcU6QcaLPKS2Dk+RWjE6GMxHWcO5fbDzhAYBCGmR3B5C6pexQH
mcDd/i8L9p+R6XSq19WtOBTjpxfuE/UxNvZBb3f1wqPf9TlDONOnB0RoQRk/veDkieEEncGCCaVC
XV4dMiU/1WrGuH4k20xw7OTWWLi3zy3f+NABtorLAKDxy+WLmK0pLIgsbBN4WthbJzFOdla1xJkx
U3yAp9EBocD6Ta90YoZxq0Dqs5xY0OV7GIx3qfPz9ie6rgbGbt7I7ENvCjDdpHL0eICWC4Xbk2H6
8bptUOkKvTbepNHwIkl+9kky3Hgh/11H+HhWw43BuxgPqFPEoqaXWj1wQbcBqx86wbrLLeU5KPT7
xvOWnqWu/QNxTVnA3AJcWwhXXX6ogdKqslRq8cpfN9Y3Ff3s+tiq3+slGOasIXr6dPcMkuv0jPEd
SanLlGo4q792+jenOLj1WyEfh2RhU13HBB79NTQ9PMo0NLSo5XyWiq9GyPGwRLo+bv3LUgO+73FS
l2YeWM/p41epNkNaVToVTXc3VE96shO8L4W7z8dppDt3CTo2t3Dn5sZoOas3UjcJ6qLGXJT1di8e
hr7YOf53odtXQbSQwWdtgaNhmAQK4Su17WZg8opdzcErvlVmsFe14TlVio1Q1KtM6RbqjuskITO1
Jo5DeEySwU9x6ZkmVIGbjqcSEucrw9i25mcn29zev3N7iZKG45VHRHh1Jnk8DRqzT1s4dOv0t9Z/
yoMTarjBUrqbizkmuHXqJx4Cr+jHJAnSOIYWsSI96w4KAO3zbTeucziXEhI4t8iPLDRZqlrMswRe
6gzW7bWeQfn37qqPSnCI4Zpc1Hybi4JzY5O7An1kr64jjiVzUFd+eNCMZ03LGAo5lEu9gLkQAB/C
FQH2/BFaehkCFcpaieaxcDmk21GxG7nANG+pMJm1gjI49BPUc5wYl1a8ItV4EoZeyBKee4vRX+uT
YPzr9NeYRSkX/jMyWTUzb0dVTIwMbM70UPrvg3QUkQ+7HQmzHwf8ALUp7WlgIv+HtOtajuMGtl80
VZPDKyZsJrkkxfQyJYnk5Jzn6+/B2tfaxc5dlH1lWZZLVepBo9FodDjnci15WTZGEkGMmWg7NHwL
a2QwGqIG44fR6Qc58DPOEVqUCDBbEe5OpLNmlxJDLczBVozryM8+6XUOTmS0ewpD6bTF6vbilk4r
koh/i0KPxqWoXs3bJi7Qi11NmIPfVAMmVjSEkBwxi/ZwJoYJG3Rfq7pugBg/dfX+vQsfy+jl9koW
lYaaDO3MNoAGzCjNikO1jtKstGX52Mdeq21Fywd1qa1HHNewuBg4HxFkQPAO7EBbqPrloGRYzNBE
HihT7TjN3kaASt9e0OLWnImhf352DaXolNeBRFbaCQZDUgyORu4kgYeu4ESOS64UYc8/y6GKPZMT
6UYqSwnk1EA5VTrzJZ+D/7L9ZyKYk4pEdZCjuFOile9Ri+4j634eOfmW5e3/swpm+xvV6iqNGnIj
JV4Y7Dqw3wBFPlQxucN9vlNzZQOSM5Wxz4jaSoemUiGsy4Gapg0N8rfzStA+9M50WiNz+1kFhW0X
23HRr5PZ+v/pk53Z143Y76sA8uFeO/m5V1d+w6sucKxcky/NQk77KDFLyEhryzHCe7G1wB7C8a0c
G2f7CSu9GADrACFS4Fit25ueJm8NXgJp0TYAVIpGNGRcgP9xuRRFnMJQGiFlKH/7Oakmt0+PqQ88
m4QXzy3kh3EpncliTD2Uhmg0esiSV5LXbaO74q74gYra2piJSkYEDw/d2ni+7SoW9wqT5iaUhQuK
vaJC1WiQgyzhXsVnpXLT7MvgeXD63VcmfyaCepEzLxEHaauYdGhHz1/M/Nco/UwsuzefzAGDrirH
vhfyUVSLfxZEF3wmzQcmqpRWWFBZECki8nu+Qx/kQVhFjrVSPm9rb9k8/ghjHC1YeNJiUPGmrQWF
KFHnhONoI/4etF+F9nJb1tVM5SloOVsZY4tJOzZaE0KYOK0zV7SjF/C+uMZdv63Xycb6IRDL7d12
K6yUVf0YOSUvNONtJGOgTRD0YlVAtWGtrdHA0I+v2jQADO9dLg+9/B9eHOcbybhl9BomdaBCmpyr
v1Jjigg6rbyplja39cqzmFOX25nFGEpQonsRem0Dt/afgW5goO1pjtdj5xT6uohwh4ZrXzQ4Howu
4Ma5YLtMZ2kMtVKHXL9OXnor3ljjs+ZTmYBlx1idhNJQVXMiEM4eKoxvLvy5CQMg39jdUHuZfCzp
KKK1kpt30HCSbPh9W7kc98K2nYhzUiUidS95F6IpI7PrtnxMBYOzKp4qGRcjAyx37jOIEYvfGrAP
2q3R+cgBrsMB4wmk4b0feMtinEyQlqEwKpDnTwejvSuKZ7l6uq05+sm3rINxLX2VlkglQQSAl8fp
lzJxop7FKtPZ+WJBg0bTD/S4hwBzbF/mSXgEWQAppfAYoHts0rVdlN+XaeDEmc47cfRpcGttjCOp
TbkS4wiidbV4UbJuH6fBzjCmbapG29oS7bnMSSHprjaKnPth2f4R5Rt4HqHQS+Ozs8Oe+13WKS0u
o1hQ7VT8LcbhKsxmT5p9J6vjw1zonAa2RVtBAGFiPgCPTrZkr8yJOqYxPXHa4OrV4OaAzwVwF8eb
LF5FZ2KYg612Zm3FE3TagjUjM027HqL7PpKdTPkKrYajxoV2KFyzZ1VeRo86Xn6RmqEg6n8IIYk+
sqO+qQ71OuiJvMENtI1HIr3HG153wOL+nclllqnXrdKLIeRKrUTaLLGtbtUWTi3OYDl4Tfr/pNU/
xWzmBa9q8dzIAorZPmAK0DxsvjaFM4OjmHe3Lnmw8zwycyQkIc8L4H+U9ignKzARDcWxm9fItLjA
hAxCxH8Nj9piyWLORdJPOjsKahaUVRohV9Ck35m5E7rvsf2RhL4dCopz25kt7Rp98AKPBp2pqJ1d
iqq7vh3TjjqzxDN8EkYfsrn3p8KTZccMeLhki67tXBxjJFlhKGXXQFyFKMVQN2koE8E8mugymq29
Wbhl9tXpOmeRSy+Sc6msrYRpa5QK3UJ0NI2rHsyaCRpW9H8LKkfjwHM5zGWnFEactMgtAYrvIxFt
MXxIJk7stXT50Jy5DMpiELWys+oon3SBXsFnFWZx15f+I+5wziXAE8Hcb3khlGbR1riyS3+PZgi3
aniPtyXPi/EdEVDUwEcEoOCl1SHRU0W5icOrAHBECt8b4JrHmn3btBcP7j9CkHS7FILkVGQ2IxyS
MU0fc/scWSB8QRJ2/NUIT3EkHc2EB3e6qDo0vKLcCXREwA9fiszRbGD6DXYnmT5q60EtndtLWjTk
s7+f2ZpRpKCtNGiLdH1tWtF9mKCWHhSC60+8fMSyLICdoVcIaD8s0piOAbohkrAW1ERTYsjNwzR0
61qNVlXIK2st28M/slRmqzpjTOVEgyyxRKRfvloYto559zBnQex1LyKcMSI8QNGE32NMg5gxwTxK
FHJO6EJvJbwA8KOQm0DXCRDRL40A5WDZ7NGRbE9HLST+0Rl/F1s9Jr4Hht3XYDVuQQDmJBufpFte
E/CiOz+TzfjXXGhajKtjjROdqAmAuxtmEYbLgFc3WxgeT9L1gEfMbatcuK5AqUqR6+mwJcoDlwtO
cy0ORctA03UKeDhH7Y9oP6wLR7BebgtaehCiiR1gbejAxZgI2/ULYKZcz3QLzYBa56pTthLS2fMT
DPnW87pVv1Axv9OQ14onfR9rvBaApXWilwjtxkD5hvtivJY+i0M+xGioUbuqc5RUzl2Jotp2SdGC
NhngUJhjHznKXTgadDRQweAPRd9h+w7y0DdbtBrDao1wk2Ne1s+RzOh49Mg8MYzh6FI+zYWBkANd
lrWcEbULyMCbsDuViJjnxcViGEuZE2sOAnoRA0/gLr1vPRDUuw+5N7ZkBkIpTaQ1v3qQbgPkhaPH
BdeM4T4MWqDNAZOdbB+pnAPw2pdQ+0v9DgDm869hskKOjIWeXCBrKrSGANItAzH/5UnoZ63Rsw6F
OH0CTEOP3i9Ia3emZOZbYQKxGzB7H5B2M3YSQjlbnuOfsZyiS0wH01EUaBmJA85rcsloMXxBsVlQ
6QIk4OUnlZMsZqOCdffab616SoLEScoA1juBUsDiXLlLVnQujLmfOlS5xVKHsDEY0R8laGAI0WuN
COH067YrWLjcoWkUivFwg55Zn5NXyMVYDey1nvoEOHR43aRRJDjSJGyqKdK8OrUk0ozNVzvysNoX
nOyFFVNTOwvP814H3jytFGjTgyTbcn9sm0c52Yf1JucVcniymO1L+0qaxwaygnHY551O6rix1b5x
+zh8iHtrVco9ZxOvTin65xDGYvoArXsUX5Wa1Nn6KgtU6ZHSaSRoUOa15tbYC+H4hsYn2U2AUU2y
znwV4n5+bYdyctp4Uu0miR4DRfkYpOBFMevkTtCneZX0YkyCAAjct3efPcz4Qowy0ZN86lNle3vA
39kIGOsDkrry3JavQ/52++9ntc7+/fTPzzSQZ02oZiGyAYW0SoQXQ34eUVzIVprplEHH0Td7aFhh
zLWixrk6l4C/JH7qiEFI0ETq4SRz/MDVtB4VQ6dlgJ5sAoKULZjITdvTQoNKMCtLVONFSz4U5YeQ
j6TS9on8A403Te+J/kHmhsVXfhGy0btMOTIw+UzhTxl9oniSVgoGOWXpXUqc1Af8Qu8a6reh2WHn
1s1ga8jBWMMPP2k83zpwkeVOrYbnV89fn6CgKo50D/CWGaMW9EI3xx5GbUylK5VO4lekirat6oZo
SS2F+w5Vvz4GIIRuj5Vk54U3gvG2cwWQD6kPMh7j4boCeNLkE1Ci2W286o3nfHwaakcRQ1sUErvS
QrTfqPbk0yL1k1qvJ/B0jGZN8uanmgdOIhza8iNTv5r6yTLvVWsVT+IqQNEKgKJp9tQZ2zznwZtd
PbrZpTPWHEWGP+cpll7B+Yd6SkaAjwUTCdV7JNKVrnSm+FHrfI5dLxwibPofjTObHo+jIKQDxPaT
1w3ASIYen4DuDWMLQE3N49VkbwRmlWyxYB6GxGwCiCswH9pOE5gDt8mIZuDeltF9qk+fosl7jy0c
3fMlsoWCqGx7Xch7DQG2DvooZLqEjEQIZW67oyt6xL/WBsIXoAfh8c+SKvjT5OtJBznTPNqplZHa
f8rTL0vbSt3RMMAbazlz4pTT61Anji55svKJFAKqXTqRswEzLRY6zw7DuGqQ9xAEXn/YqRh5fbr+
fCBzJfpZoGqFBOVryOS05jaeYfNqBnE48wbg7r/SCW+CVHYN9MVHH0W5S/KMtGLu5CPIYtBQLVrH
TmmIWN2bmJmsjTu50X/e1uNVIfekRxXvFMzSA2WCHaMH7p04TQ30GMyyIxi2leD9t6nAGQJqjNgC
zbjxaALcFci5VvXalaQbP9XCdG9/xqLVnH0Fcx7lyh+NxMdXiC3IZv3PqpHwEs04x2/J4aPt/s9i
mfMnmkUXpz74uIbaUh7zWRIp1ru2G7W5tkvLaklXgNMn8WVAEuZZiOFUH9TDXTy4jRKZnOb5q7z0
SfdI66OFkFLBsPMAvWihdiCNGuYfjpnsIVhS1BQJRzQtWk5nvRnFu4j9B8Ya/v2pjYUrWu9DDdT4
59vqP7n6K2M9+xJG/wVwERWlwZc0GOWMq3XXqCRPqp0pby0faE61IykU3OlebB5F0Qvmu3H6oYI7
MIjXHSBQ43gicretAdQLdnoAqthxpJBRbUmWvhk6WtyLcnX7m69evn9pD72RgGii7xf58gYVknQw
rGHSSNi8+fLKMN4FJSR1o65GEID4/Wy3IAYxSCfxZoIWrRVbBkQU9CJcIb8GGE4v+mjWSJcOBela
pNkzof9UW4AD314km6D5a41/JDH7Epi+ryo1JCHiB+JVZgshWr7GjY6w9/8niTkacoZN8xNIChTR
8XFzzxhQU9IHtfNuC7pib2TWxN5Kal6ZxhTCC0aV75gqmWX8Nt2W3exk0bETYleGqwwkexbuJHEl
K9sg2oE+K+xeUutNKV8Mc8b/fAzTAfi3pO7ucwsk7JVbyC+IfCfrePuDl10kxT0yAUetY6L10tB0
JfUBVI4P1gX/bgwxGVwbx0AC3FM7Kl6CQv8ozsAENJzMsj4S/3ddC2CtAmXobPVO0fYcZ7ls+Wcf
xARuc6hWIzB7NJKDU62YUF8SWxJa+yaU0SpFG0V3jfgwtDox/i2AATYP7bRIf9LrQsJc0aUuMjkT
hiiDo8jbEMiHwsHvU7dNS06z3tIST227aIcH480V+RcI+MBxZuBCGDUBQ6dBOJB4Cksnm1qwSfmN
4CHX7K98nwKs1rhhs2QCNn1vpg5n9xceVqgFAdNXpEiuJtsVkCr+FIcZ3ExcNz/HAJy7lvSitLoj
Y3jDKrQnPxg2ppjsLbG3MzU86oN0H6mqp/UJpzq7pBUYIUV6xaNBwez9pfaLGJioZYpDGidycy+D
uR701+1vxSo7kJymCSg2suglCOJ8F05zZAuDeG+GSO5wdKJADnNdgBkUdkCDLzSbMQZodIXkq6Gk
AW+nzNzQtCpHRp5jL/lFCJ74wCJpPgy2asVPYZpltj7M4AaLNBlbhy5PyfAfOV9EM8jMF13sEhNt
dYmVoq4Cu+wo8KC26uuNqB+K2SBWcK8Mdi1mW0PbdxnHOSxcBRdy6Z+fPYv9SmmsPIZ1RG28SY3B
i+bcLdp/DwaPYwdUD8A7AIcNTW6XYlKgMUsRXV4Sb3UK9dV+/BcFnklgbhqpV6cItRQNaIp3gfE6
KpsmWyfDqzIegVQBgi5V3g8F73CxzRUnd3ImlXEnIE1AudjEujTjhzS/+oK/SsWtkD/U0Xfagt4C
pCM8PoPFLQMeAWZEZFgxC6mktUgv6BNWqurwGL66zoSWFLnFyS5QhV1Z5JkYRqG1WIcTymzwYOjP
LYcVQA/83FXGx4JCvnSc9M+JP+2WOEaTeA7JrVDCNSTgf888IT6AOCkKvtIQQH2Km+WIGTDk8Smp
EjqnOLHYbZWiW4UxzzhLpTbFhaQ0oTtY4n2vFIc+Nf/LYftHpVdlpDlN0LZC3V+pPTbtfay/zTxH
sujtz0QwQWURiaHYjdi1ZBaIOFR2L3BcFU9X1LeeeQwURkQN7EHwVGG4UkZkAcZgaxWNe/tAU4/A
2gNAhlAWRz2acjNdigmqESzZKDYDnFlxIwzB+OZBqlpwW+wEnVesXHo/XFxMdNFniwpUs9SaGDtT
Sdt++tZCeZ23aLscbT2OEZrci3NnVyOiNSMlAgXFaFbm+GR16077tNQ7UfksjE+0cqjyg9XmTlMU
jjrsBOOnqdeA5pE5N9iCdi6+l9EOUm949xb43rBCakTWWxGvnq7fJGirIiBZKEnQxg3H29EjyGzJ
hVDGIwSZbEatAKHZ7NKG+iGfCOamXfDE2F2sElH5YRpcbJmFmxFeDoiDNMsnS+wklFqMSq6PMARt
qEmzjVMTNg1mJ8e8S437fKq/VT17rHVhc9sAlx7b54JNxikEvZKm0DJ93T53w7skfwcWsCvN56Le
tDE4EudjaewqABV1PP7whTN2EZ8wmg7lrkFiE6J1LQNY0PsASsY+5xzkqx5nXF4XUhiXC67Lqvcn
SInh0fukWUXTSzHNcO6OYv5EsVnCUC9ypwYwEHP0CQL6ac5jJOOeyrh1ksgrAKhmIYOaknl+42h/
edspRjt6YzAJSf/87EQ2OXC4ygkhWtH9GKcdptmV1OvBOjfO62ACB9MuU4HcxNn0pbQcdPJHLOM/
kxk0c1aOF91gIcmYuAkCwiiN3BaUlQD4Q9nPLvyffbySwpoUKfCGDRssUmQKVqnwmMmObGB4yo6R
nmzNXcP7PrrxV0eQzprKeLvTKehLrRRggKxCAVrR1cGJ0aadtD2xugff2DTJ+zRzTOSKJvpkImfy
GEMUiiAtogbqiKNxjWSKFA0klLyy3KTCNip/YLJA0w7tsMbIPlKShwkF3zj4ikfAFR31ktfvsXwm
z76HMVl91jOpj+n2aG95N29qNAtIcHld9EMWMIH1MqkyshrPGJMLR86NtJR0p0xi/6t8ljQAiCTa
iII0ap8IuEptn/qlp/sHHwWxDM+l8tMKf8cGJ93wf0i1RCTZKAvH6U11dhAEXEK10SoamdN3KxWJ
lr8FmIcxqh+6uanGxjaMJ0EVOItlDQ1FbzCto08ILzWgW7ITP72IAdRKMAGQJG40gC8MQLfX9or0
UvePBQ/57aqYJKP4Ssm5LIz2y3gyM9cvJQvrZ6EI7Tfvl7f5evjt3j0FDq8qd2XNVIxJ75K/pg/Z
eaxAKJUunLPIftEI6KQJ2YPAmdjumhPMWvQde35MqSAQf+CJr+HGAhjb5TGVfTkt5KCMbOcA3uq3
w18/PO/gHQjE4id+uH//i9+syIbgJ0il//4z4rrEzcl+bzvr43H9fVw7u+PL8eXzZc3xs/TEMJ8K
pilAbdCf4LBjTlRWtZrqFx3YJ+3G9jwvsk8/1rxGimvgajz70OADvHhgtlFCtkudiAPAo7IJynd2
juM5HhbtEk66cWmHaaO5CmJ3C4OM7NuoVqwsq6IqshOy273snMOHt3r9rZJXl7PFV6kMbPGFJMYz
inkg+VYISbvDAdsG+vP/sDEosIKaCyxGqskGwFFhFXETIQmyOzjO28H7IiuYg73mBHWnBhbWAM7l
MAuR+qwIkwJyDh8fv56fnwMyk2dwm8+A3Jzxe/wfRLt7114/fZf20/fTQOg/3xNBvZH+h/NKOpWO
r79IASqLCUagq/6WGrQGeUg5wB16XDb3G6iXkr7b67Vtc5Z/apa5JYxJSQ1GLo5aRYU5sH7iPa5w
MiHJWTscUVcs89RkJJUONhonPnsmpBHHJphaq6GiDvQEeBt67KkjwPKwPof+vG1Fy7o8k8nEM4GV
jF1TtZCZEYXglwSM9hl5wWoTO7K/Vq+rh/3Dfu9yNvEq6cwulnkmdlUvh2ICwfCABfG859W7fcdz
Kovn/Vyl6qVTMQJJBiMEXZ5zQKoM3vNhBUv9wTOTq8CDXQ5zQ+lRWkviSdCb421W5I4n4ZSHvTJE
IHGc4FOQqWdCOyUuciFBlw7dqZ1B3nqvcx1v9fC7dH+fXKW9pmeAk+VZPv5nYpnjnyh+ls0SxFL7
SMhbZ7+9NO6A62CyWwdNSQ6ARL1HgptSBW5yS1L89hUNB3bronBNdJLjH+ifczFZbGrtpPGzD2Pu
CzMPwcOi/rW19Bp1DqdfcHDo4aE3Kq5ReljpL/gVP/b47+kw4Tjhh0OP8e3zpNPzcmOX2JFyofKr
Trz4qtO3ec5ftzf9Cvot+Ikbgf7gfcEJ0pH9AllE/pzOdwBFgdFLUSBTrNZocKGCEVGcfsBFPpJX
rP7O3lI36Rw9XlBzFdNQPCRgLoFVD7HaVaOuUjeh0puQ23fghu90FEytjliJ5iopj3bsNKNysUhG
GOOV2zgX4tBUcPkV5D4gAcEz2O7JF343kxG/BjRyc7FegmWv9g/24+ZxtXFdLP/7+/gJtWw8epBe
jrv10Tm+vOyO6458Y9aHfP5r5BHEx1QpCAhAeHoFhaUlQ5aj1JRgeFb0a7uYkqJyZ0nJG6SM/M5Y
zcYcbYI6TzlOdmFLwDyhyXiuAvzzijzP9IVqmlXwpI/obSZ4uHQO6v9v2qTF2ySvJXLb+KkrYDYF
nCYGnjjotABPObMpVqIoSd1jnUqL/AuG39TVYNoGUhRG7RoWp1hE7fiWNMYfFlaeaBogXOxxfhgG
olp3ur4f81WERq92i/Lq7cVdtUjilXOxOsYRVqAKizsB8nKLzG/+d0OU9fwr/RVsik38WJJ6lTxP
zvCLN0BFbw52nRibAUspIP6ta4xJpUprH0jbdlkeo+FngCG0mJcu5Mg4vTHP3pCdnEjZ0ENGlfho
UUnQ67AeUOi5rcIlczxbCftSlVHYH8CLkNgAzXyWB8XtWkfsB4wD8ZA96N5f6AxzbfQtBzofoG4B
zBJ/frae3qqMsdM1dHSgX7cERzfI5jwA0T01gOjSuTnIK/VBHB7EmP2gU1o4aJfigHKQosiDernR
hW5RN7+VFolhQeQUjRfFKPTtQqcCrvAI0ecoobHbTO0+Lt/yXiCDVD9Y3GEWqhxWeUB6BiAXSDnw
wqefcaY8I9IzTQ3R6uGbueaaVRI/jmnyNrRD50ZKt8/88g6EXq8Fhk5IP+sHP8gUWM1ckdGvrE3S
aLy5rqX9PJHnQLmaDjSvy0/KtFKKQJcNF48OmAEwV8l8hx4cKdlm1vO/NFLsJe1gxOwFFIor7VJU
jlHosEliWtLqpEPcBb7t5+1gS1PiDzYK8y2v2+Yqp4gZQrxFKUQUKs24KBhrBUwjOOeDPrOjmlSu
QRLwyJP+/a1YZbjH9M8CvT82uP1gzvvZ3mqf05qHu7C058hFmBQGGHVYdoqtw4gLwmh8Qo0sLulk
kOF28ettzS6Z77kMZhODTBh7VYMM35zrFaAIpY3chL+MrOENRC+ZiwziXYQjFBeWnRToe7lqemou
lhYjUVvM6ObQJWLgyrMBaB6SWP9PIumAJh79OJ6sbwtHIwDrEVoBxtGzui3oN/Dvx6TJdsmDcLnK
+FF7OQ2D/i2LebOpkd7HugpZE7BvsnCd9zHBq1Gc79rZUZTjhGHXmpfwk6+8NyOVcXK6H8RFM6aZ
PWQJnaYbjfggS0XzAT7U6WBifOBe8nXtyx9Gs/SCtgP9WKqL/iYQpf44TGnuzLMsgSBDGMWNJfV1
bzd1YwL5X+kkMKIJlvQ7bALdHaJAQfQwxBhfS2WlXPtJFPwIc3VKnUpoQy9CJyWnP+DqAND5BwmA
0RRLT0Zu6PLYS0BSibKgwOpE5dWYmmMDd37b/pdEoBUAMwqigpuCRW0Ux6EbrWTCZVR2uq1U4HkQ
goYTg12ZPtaBZBCOMaWTMFg7rCOjKJE4yWwJqWBzeFby1g60R0FV7FnhRGCn2Tv2pqAt/mBwUuA1
deapMU9xrylgU7UVDwAO/kZyMChHRve35AQuYJOOgatsDdDKpgSdyfE23oATxc3WGNzZjLvJzVcd
6dwneV895TZvRPEqGqWO/M/Hsdl4RSoGQaDYYbMGchDlqbM2+MgQMalxyHsOVPCSbzsXxqRuhgC+
SKCasAxRlskg1OKXNFTmYydE6fttO7o6iNhi8IWA9AlJAEwIMqYa+VlvTakKUzWfdP9bkJxsfujG
l38vhVZVQctFR0cs5h6ctAGweAVidzEYj7HyC3XWQ5mbTqXPHJO9au1AK5+JMTW4asBY4JphPEul
gpgkp8+Euqmcsdv2Ck782irWgrqTNMT3rq6DTGB4j41dxrt9l7SJqV1cE+j5Q7DICLc6EHGXfZbb
AHywQ2NlmBvkXEmEIevbCr0uYjAGybjtMpsNPaMGqR/r0JV2sms6vd1FpPAmL7/zXdH5vi2SZ5XM
2iYsoqgSej6Dx1bdlNLK5xFlX6ftmVUxwQtmAPSyGSDDeHqL3HnTO8mHbIf3e8l+mNcPPslCou4j
T3ED7/bquAplTFSbLRiMDNHdt/E8v/X3vwBzsgIwyPYhW412UnJ2cFmdeFiAlgTHjvWtcgmeW61D
WJFq32P+IHc7LhvDoggJlxCYVg1E+MzZ7pDTj4YasbeoTatkEAlehW5SVpyr6DpdSXcNAN0wfMw1
X02XyGmXyN3JMqKCTJP6K8h/Z126lxt45Cn9rCXDltTYBknvegbgeZBED5zdo8Z3dXlQQsy/Y3pm
95JUbKVaocYJMFsXsOevoiUMnmYNPYLdWFj5mvok1mZKRDHCBEMkvBtx+phJne5i5FPgqOTKD1CN
oCoEXychA88SwohmPiQKjftj5auV3EEJSDWv0VN2e9k8MYwT8EGOOUglxCTFnR87pX/oYuyAxhu9
oH/PlXZB6QECWB3rYgtd3ZAmUVMlmR0kRuz1wN+LrXgfT9Oz1b2GeXqoUzQsidFrpwtens4bTX67
vdLr3DvV6NknMAkTSYrDIFPxCUbghM9mSWIMOn5PbuXeywJ5HZzgSZpIs7E2PZqfORfyVRxEhdPb
CwlzNGyw8Ox90GR4bCBGblVg777A2MhYrOroMxs4r3KeJMYBgg8MzA00Gq9bzbGSNxFHpzGKbdQN
m9IfOBt7FUTSdeGSpETMaJNl1yUEUw9UfUTh6DYY0RQ+Tk7dqbw5viU3hJFNtNWg4g46YSacASWM
CtanHNqrnDj5MQI6Q+TSyF8l8LEUFfV8OCDU3EX2zVlhyFitBCRnxMAeiu04vXSmV897Uxwp3q9k
OPw26qWg8FwmPZ5nuY0g8oFobUGmjGduAaIbuJnyZ6/cKb5Xyc6s34eVPcELCW+VbGOUkRSi02Yb
vdhYBa91bfHuxJA+nWeHHwR8zOXXWHlDW3jwNUOxQ0+5pn7547GMieCTQUZsB4QEVwJueX2vJTul
cHwT/XzbrnPL4R09R0XMuVGXnBNSxegZBhoyiquMS7bGAimftMtsTfyam7dSNwAqYtqqxENbVBcl
WTidFDtEv4K4MCw/CGsdkho3dYq1ukLo4ElOuu9l0q81720gkmfcR8S6E0iz6tDIjHLze+gqyPOb
ZNxJbrLJ70xAc5F1+zYhwOhf5pVPjqXjH0L35bYvWzoPeFEBopzyHV493bqkweyYOiB0w8sVljNH
Dyavx3RZBm1hBCcZIlLmzDURhveiCsaAJvW1oVUHo5DWgtRwHONV2hynDj+RKwTALJpp6LV8dgKG
JEXPltXC5poc3H/zIKGbGRgn21qsMkepW/HYdxh1wyCKqNtTFuavt3V5nUinXwBigdPgC5hrGYcp
zo1fFxO+oAxXsrjtMXxpHXLBzqpVkDpmla5qcauXaOZUf/umG6rvGBz0u4eIBxy5BNtz8SWMvSdx
EAXxCCtMXsCUPTv1r8qpwEb41a0SgJRtwr32ELqm2631Ox6q19IJQIqKYh8aGDRhUdi0agZPownZ
ArAzJG0Nws4oeLFmTl5jyaoQ0ACKhqb1UJ253G5rSKtJAmoqCFmlVT1KnokO9slXXM6mLjlzNO5I
IgwXHTyncv+ZWQWa3jdDTV3ZZKW9mw2h9i30dZcQNO7HvmdFne8CJ6t9TJFYNeDxhAgjmChg8ga0
F9NjaKHAGaJkMFf5awRxQo2MMTS7Bh5iR8Zfo+5otSd4AliEOWHskn7Pc7dMPCfFbWf4CZKa8+BZ
ygcGnEWBB9SzdGmdy2CObCJ2ZRXO1C0HDgZ+Enktp4CNKbwqt3Vlc3snlxZE8SKQw5QNBf9cGgzo
OKJZ73A6hWoT9O+iv8p43n9pPecimMCwKpUJZQeIqPA2FPz9rLvR7ADPGMQwJlCkOLa5uKIzf8M4
VqVKlMasqbhettXMOoSj5k4Rrxd2cVVnYhhL6KpKr9oKuwSEHwzMGjXG4YVXvXm2hE1pcNa0+IA7
d6KMTchBJKOyC2l0SjN9mwODhNkPhPdh+dqablEg+/clVhvAY5HbBkINgH1ZnKfxGQMBI5ohBDnu
wvS5Ke709n6cD2J8Hz3dFrOkznMxjJFkaC9tShEL9JOnoFEJKOIb1QFrx6yuENhzFrV0KwJYCKB3
MrAJMQV7afVqP+Zy0I8I4t9A2W6GRH6Pt/7jFBCfs3NL1gikKDh+dH6i6EO/5MxR1lqrAxQdkkRt
Z8arVD5iAOS26pauljMRbDVXnpS6Giq6Q8PrPHzK4J2v7axe3Zay9BI5l8IcKzmSE6UbsJAW5JEY
SCBT79yWsKQqJAYxBgqiMpozv1SVlpQo5GgSIiJlr2G2JpsdXeGsYmnjT4ViPMvwoGIh960R2HON
rCMQnVCtWc0gHsnCjshlQMZy1eaJA2yE28tavKDOZTIBkJ4nko4LEy42AJlAvm+DGpAlOzHzhslu
gjuAsNUDx8CprphTCxprACRptJsXadZLXQptENchnSOXZTBpAN3Ryr7iaSRz/Uvx17cXeN0ziUqi
CDYsFVeIds0dFaVJ0EW1jwKVrdr906CSLCNTRYaXaNduFC/bznb+iLGQEaBAD9bGWnU5sRydxK7a
2LxUwFKe8PxzdBq7nB05vfDR7CJg7fneXOl2/hy4ycFfg+s63Cnb6El8vL1+rkBG2cEwVWURY/2R
TsxNBJrr4AgmY4gaX3w73ZSrT45E6u6vt/cfjZ/a0s6WOA+Zr/QJJAKlKCIAh7HHbew9zKi/5KCw
SDgnc+nleqFS5voJu2EwswryWqfdK/u5ty00BxYkv1dt8WdxF5BXvXbusMUhaMbhTj3OgukZubVg
5gzloKbSm+L0Ac2hkT3YmO79D2nftSO3znT7RAKUSd4qdJgcPPZ4bgSH2RKVqSw9/Vky8B93s4Um
9v7gywFcXaVisVhhrV/xzTc0miKCaQQP+yaKme4Nv0bHBeU0bGYCJwFdtnNHcuK8L8kAqM3eWfFY
o8Clgzdn4UBcoFb8plgFxN5JjaoWixM8m3fo9gGn5x8rXe4LFFr79mBPd4y8dvrRpS9xX4IgLg9I
uytU/GCX5339qUB1A0XYnwXJ85+qczbXS4GfmrchH1+M4juqLAOwd9zp8/qnuPgSQO9YieLwvgAp
3UXhtGXa4raAmAJRHCiDxQJMlCxfVHBDF3fBKoUBigSbTVj5lOOXY7LaLTlmX8Cuu9y0Vfs2MRNc
PaX79u/VQVcNI4wYx1gLM+eGGyyghLAFDyY9iX8UKDovZqy4ny9SG+iyTvFiSgDDSYY8uV92mpWj
NIlmYf19tl67BUii6FzEsVfyr44bXldoy3LoS6Cq4xhoKshAbFZZz4A9adB25s1Xx4jvaNJ8ZbEK
0eIi6VjH41yUCwGuj6qOXL5o+oo0wzJhD1H7sAXy+iq0deEbKiQlY1MQAQrgisuAFsmq70moi0eu
W9EqyGgcz3D93px8XqImA4Qxa5do73H01gJftPxmkj0wuiosBE8hdRWJw2WQXxU++R3r7zz5HV0G
1uw+wu9w08ijZrTL2Y4UT9i7s+t7gShU3hFMTRuhKAeP8jumKdrvF24k/YA1BJz8gHbR6nw28QNs
I0EFlcaeowNVykGgKfUsLOIobExH4U0XcUUSKqXlEbDcnXSE0G5KwrS+aaaVkGWnDQdt+n7dcTdF
YdcS4IQrFq4cbduI9aZgGCdlWoVUCbCXYd7wwByCKFJMuV+ckVUrhmoYyhfEwCzfuSlpVhE7bgCK
NYHSrDsWw7dFBUCxLQIzElhhw1yZDBGd6vZQChN7usmMCvMUzMY/efx+3WKXr8I/evwVYp7rkTRJ
tDQuUFP0lujgNoz0NtSsuH/HyAAY+2hqH+Js0V9LkGDs8roe7ww2F1VIUAy8yXLuKG7M7UOCCu//
aS1FU5GYS81tDM0mZkB0vwF3QkQDJ7olw2uUPDN+FGzHe+R+5J47fmOofsAq4CxP+GORvzPJ0pc1
u8xeSIEfQACi2hkgIg8t++jq907rVxgMqbSANcBiBADkL9s5Kr7HRVVMki59D222Z2cWcOFK3yfd
wwK6BZP/pBgTHr/pdJc3u7ZRaLztZ38VlizOQGYylOtYtBV95NnLXN8X9j/X1do8mCdz3lLuVQl9
MepVBFD99OYX5TcFfRwWgGOqKrQqZda/n4Q4u6h0mlfrRHk6P1T9h8b0nZmUwXV9tgIpauG4HFG+
Ya78BgR+ot2wBJBggCiMQcQEeKP5vefohDu3Y7S/LmxLpVNhkvGM3HGnwYCwMQIDTfyc2ujgDT+v
C9m6I0+FSHaL4He4iyGEINiYw33h7nJAwGIY77qcyy0uOLgFbDrLsfDQu4DLol0ZL3OLwFk7rlf9
mtDJnZ0icIywEZhvSV5zoK0ZFbYyMODVBLP1mEw/ml7xMzbV/fsr/rxWTtwEGKwD12r8ijK9K8Yf
k3Nj5a+RpnCTLSnYgcUKB8Z10aWRTxZD5HQz0BR0y4OdBYw+aFPw79tAsCiSmnV5H72JC54Mtx6S
dizaHIWAyQOxeIvhuTFVdJEvXzKrFKxvA0TMWOFMJQeZRyPV2SrF0AE/1ucitwGGV9FDZgq01HDq
MmAGLXkTxhnt7ylFQq+n41zdTy5pG9+iORWfIO7FqNSQVjEzUfZMevDH5Oan3uaYu22iGGi6lVPq
YtfOwEcMbVp03d0wWCCSygvQSflNY9d2YFtlrP+HjwVGBoxaorGK54mkYF6ahtbzLveFYQZlFBYG
0BopZlsU3f/1uMr3C1b+se1iIZNHEek8QtW1YQmNwJCiiftdnZJ/8tpR0WtuCkEvA9v9kHSBfB71
GMe3DYpUs2pvOfCi41I19b/l3FgpwMMK4N8r3OS5Hu6Q9GJZeO7zzsyCafpojMZzJ2cOJjErvs2W
OsDLx+QPaq0oSEk2i7DqLeYZ0Wl9HtPqecgVTZlNAQbmmtBcxmSfnGtRNjhankMZZ8Wf7o9p9+t6
3NsWsL5410ouUsZzazF0DWNmJzm6PuQ3QBd8CjAs77qMP+NksmsxzCLhH946rgyxUIGTQTRpmvtT
G+0NHjIT74gi0NzAcr7G6YhZ6LuS6h44qa5L3tbur+D17yfhdKjjYW7yDG9tUf4YBuLbsak4Nlvu
dqqbdDyNNqeFnkC32PzumFZgTaFGnR0qsNdVYfipFzbERBcq7SgboD95rgpA/AhNlyL3G2KAS0v8
mho8lcZvzZA+sSl2fbvM7/RMtbO1qR66CJhqAVktk4EkwFdid9EAsfPgJr4hrCBLyc+8sr6W2u/r
Gq6WkjVEMcE011Er+2JiUCS2Wc0tAp0m2MPITd8YLVSUs/C6mC2NTsVI7768tfuqcxHn0DsePGuc
/IJUHgf4YNrnh/9N1vpRT/zPzoAMqQ2QNZTfaX5bZvd5/dCrAP8vy/DrHYgBJ/R7qGldAEfFBZ9b
C3eVj8W+z74Fv6feeyTH+ouLgnXSPGUlZlPET96oOKO2jzbudmNFiwHYhRQBdexUl26FlZ6htnw3
uiPV4+w+JPxoWp+VODjOs2Z+IYPCruv/KrsKqvLI1BwskeGlK9mVVzMSOXil2yRPJsA9y98C8OA0
29vj7von3AwhqAYivKMWhBnTc1GVPSREmBAlOiyDtkZzwPqICqZTJUR6XaU6KeH7EMLH7OsIzmRS
qERsmgx3lY1BVWS5MhWPNhM2LRjh92et/xQxP9Zo0QBa/UDHD9EMCqttPUTYiTRJIUvH02qsEBV7
Y0EirfchCl1ePP6gifYtGtiD4Xy7/p02H+iMgYIT7gAoWl3yCVRANRQ5IbJK6udxwd5Izd8Irb6W
+uyNoKdwSiNYCe68yHq32ByYvR30tA5Joxpz2Lb1358ihZhoSOc8F7h2mDP6QkNweehE2DtdmE+K
G27D0KjhGyhVriNoF+NnbWMuovgDrTuB3qPdpyRInINLiiCmH9roXzeySpr0WXlPu2EpSpw7bNe6
y5uI36fYxGo8nkzsxi0P18VthGrMFGGjEKg9qP3LWzlt3TiLOfa4vh2yR7Wl13473QtdRHBdzsbd
CoJ01LFx+wCHRR5FtadG400xAE4eWFvNF3c8ONpNaR+MHMNUJl7PtaJKt2XHdcDIXKlMMDQl3Qu0
6AEoH62LkMvTJPyknLBDcezTcOhUU3Ibvoj5ftQd0QFgmJaT3nq65jaxXuNWbXt6OyGv8KYeRBpO
gYGAjDy59r8FbcV2OQRiBNTCDAKwvCTdlriaokzDZZSO5r4Hu2mHQvKIc3b9m235xomYP6AaJ1dr
05q1061iIjyL0va+bv2oNkF7oohkWzcc2EWx0IPZNgbMVekCEMzpu3oZkSHXDUC7Yy3PvK40xS02
l561qeXPlM/Wr0i43W4uq2yXpC5Yqe3ELZXLDhtVOIzZMSAwrNOVwLE6v4y0hJpFRw38lvSupi2A
Ijt/idbc3bOwuaYjoKGKzcSP67bedNcTsev1dWJrwFIX05CYyN8n7VlUOIiJ+7VK6F5jy5Mg6BWW
KrzhrSN5qqlkdV0rDDKPEMmnD65/jOYuX1YE+RtH92PWelyFiqDSUQptGOUUvHIhsJo14Op9E8tb
EcVg/02xJvphJIrQdrkqth6TE5tK7wYnmiKrLa3cr83PqQ6nYW/ax5jdEXYk9iPr3vpiJ5zcc9Lj
GCkqq5sxAQsVGN3AfJwl7931Y7dUcQU36vTY09pDR6zdQH0d1CVjq+jtbCuKmgL2jLCUjd3Uc+fJ
QKY2aByGtdxaxxIDB+bOOANnsrALMD5Ev+w4rUHNNZo3GLB/1SLDCkbSrXulOcMlnhTH6968pT2a
ouA5XWEBqAwrw8ZapE5pw/KYySVOfWun+7TdUS3bi2LZXxd2uRKP73wiTa7oAccy7moOAAejfMRy
sKcJEAT23TOCl59UdjAWaVA25r1IdrURmD45uvxLnd4hSGvFi0689GkKQA2n2r3eSDnxu9auH8pn
GACQQ4nVaiipwQoTulGZqB9xNSgMvRWiAWgMWi7UFyiR1yJYFiWN1q3RKuMkC8B1ByTRmYxHs1kE
3/GJda/Xrb0l0ULdB4syYLB1mORrg0CfgpZAJV14kz72Mcite33J7sVg8CCKO9WO8pY87FmB2sjF
1QA7nvv2jGZUPwlcrnUJLBUj1j6WfLnhhvmYJ5Ei09t65ZFTc64/5iQK232XmUirkVOz1K/Ej6F/
c5dwNNAp/jaZ90WCfP77dXtuOgniAxwBZ8WWV2cLXYuztMEXzEfmRUV7N0YqAOAtE5rY80Z9E9Wh
y3X1yMgWQArlmOK/0/NbMr1o5p6Nz9cV2Tzz+EYOOqIGtjWkaEvB7Sjcaj3zcfmUWdqNSMTrTHkY
9/1DEjeKhHLTbgTJnY2KNF6Nkji9i8euAAC6b/WivW3dit25C/16Xaf1P5EewSjY/RUi+UOdohaQ
DBDiOBPWtYSnpVkgzB/XpWy7HcW8HZq9G0vaOXLKMs0wFTPYxXMzGqCaqo98TA5atBKv24e+Zrej
80nYf0p3UPXEBPyKonkxweICHJFFnK1oNFbQ8e+G5npJY+4GsMlj2WFfOB9jNe2BT6mI2lumRR0F
++KYHl+XKc+PGsomjgZQWBTbWi2I+uOCmyj5VBh2DUby9zsVsjrR6XmellYfV3SaQWMMM5opiEe1
MHegajp61TDtF1RIy5Q9T2Tdb+G//8cfIHlphb6blhf4AbFW7OxyT5bvcfRgz/uujcO+eTb1L9T6
B43K63K3Dsep3pLftk1n0cJCkHYw+K9Ze+pOwXUJW7mchViJkAX0aLyyzi3bxEZste2M4zeWvmWE
xvCGLVxbO/RZ6uegu7oubv3B8odEIQozaitsMepE5+KcJUKASxDCDANTCCNYiEEpmn5gLyS8LmjL
cqeCpBy1rZ0yxjhE7tt1+dovJTAxVBAGW56P7ue6aYq8gMlPYW5HuUUHZGtJ907RbxBP5X8pIpyK
WLU88XtH73JR/EntxzfcXgT0eXi/+n2MHc0nYSji1+bHOVFIcnKWMV3wCB9nzm4MALWAgd4bwZ4+
qRIqlSDJrSctNfshg+XS6MagbwMWk9sX0F5fd4Gt74M2AnpkGEhemY7OjTelC13cCNODcU4x/qx9
r2txGOPy+bqYLU/DRD+OKS5MTEJKLh0lurPYBKGBZql9q0dGD5oFI327LmWrZgeiaUwqgBQNs/Fy
81bvUlL2I+pJvNc+emHtTc0C74Xuzw5IF6bkbmx/WiOgOuYGWERxGONI0Tr2854qzvDmM5/aLtbm
6YpaII9OWLU7or5eIOQvHda5+DB52YTer12BBqDyR41h/k6A3Y97oM/wq0VF67Y18oSGvIHrBpkk
jC55arLuGaYUhYYCmjagHxhBYOyK3OtBNZtrR9vCKl+JkYAY9BeRafgObRRWuPjsaM2iRYe1UIyq
4fBLnx0wlHmNMarSn0ECMqf9wxTb/9az/ogAOhfQrEDRLJcwzApsO7ZTlr6Y42PdjqnHh/rXdb+6
OIprhxkvTTw3AUSG/OH8kMRJz6kd1SUAc35S7CGT7w1oVfRRIebiLP5pZK/cWnhEo3Uqi+nTbGQu
eiqzfVsJhvEkEhjtv54ckqRIbwyASIyWsXZumrrc411zlzr276IsFJ3mTZsBNg12Q+wHoMa5zTru
pKwaICZ233n5c8ojT7RBO/+8/mkuz9mqzv+Xg5fxuZza7SqMXUJOXraBJvbL9GFVN0tieombeQ57
qLBtJvx8UATOi5xAkiu5NuYv83iIVrl2F1Kt88uBeaBYCYcJjNLWi4693euqblgUg5h/nhzIRbCk
fK5pOUW8mzrwUaNtBwZ09Bi7Eb2Hr9H0b1vQWGA4FSRdqC7XEsOaIai1QMNMuGUegXNV3c5N/ZGR
RLWUtWFJZDkAgGUOAb+gjEnXa0XWGxaCRFtnX3XMVHR4RHl6UXqpXt5bWLKMbPM/2NIAFhgmv1Gy
udgxzoihUZ72yOYwBz0OgzckAQMpTyQUlfmNM70SNGCjfIXcvFgq58PYCEoQOgCucEMLTGO7BkAc
LKIC9N7yDrzm8bRxdRND5pJ3sFmvARgKjWZs4XPzy8CerTzkjaWw3KZCJ3Ik50h0DeRpfEAsjMie
g5DORG8oa5fddWe/LPPBCU/1kW6vKUqwvF1AH9B1B1m2IPfetSR0Z792b4wM75sErbCgBfNhv9xy
S3EGNtVEYxMegpQF4/TSYWPVuoYONQEpG2IoMTRnOzTM6uW6mmtIP0v1Vy3/ipGZkiK7N3Ith5g4
wVpM9DFa4tXWq6AzjUNVq5xxU9p6Ea9b9UB+kZTiE6jBRoqBQwa30OvqVrd/cv4ZD22QYBvmumob
dz8qdYDvWBcfbBQuzi1oaK0OrEmoZvHySSusO6JqI2x+oxMJkisKfW7igkECSQe/jAcPaOwvdpYr
XHFTEXAwoqOHBBaTU+eKdLxEXU7Hy6+l8bNOpleLK+rn286OTJFg4sFkTB6gBPecYxYYCPRRxX+J
VlTOCi37BfsSHn0ty9Acnol9Tz51YEeXRbe//qW2Qodl6XhsrimOaUtXWWm3InLmufRTCma9xi/H
XxwNdjDbXpezFegtoLiuaiIjlatYjVOMhskBaAkupvsF/PNT5XrRnHmM5fuBGh7oZRXH+HInBgcM
hUCH4QOihSh3RvNlLMvRtksfHc1vdgz+ZF70HyS3buvOuS/71vUXO/niNuSFj9PoOVliHBt71G+i
QhwBF2/t6k4Abdaw3q5bY3Ub+ehjyAUpJabxHAwWnrtVUzvGyGfs6aEG5lmt77ZeLHZ18Rlh+H5m
X/pE4cdbnxmkrRhiREQz8RXOBWJFz+Fo3pY+Frq9qP9JyK6sF5+rgO82FTuRIyWYVJBEo5WG/fTh
rZuehvIIetagAJAHuzfqXT3+hyuW4myCHwfHBCi953qBS9rRojHBC4Cmvo3lbk0bvbZRNfS2os2p
mNW8J2UGuwMtoEFhPpc9jZjw6pY4oOzLdafYOiLrUwNPV/gr0OLPhVDeFgXreekb00OU3BeN7VFy
QMmsK8Nk/i+GOxEmfahEb6q2yFNEHVv3hLg1+b7Na8Wh37pzTjWSomfWxi2QoaERntwa6f0SPauk
uutAO6YaEtp08L/62NJTYFhsfcxjiIqN7zU9TNlzY34R9fH6J1JJkaKliz2SqXUghdEjq7/N9SPw
xgcVr+rmIcJLE36A1BgFjXNHsON8SHmBHDy24oD1nzroIyCNtJVXgxsXtEQ+nVX5wZaLMzw+QZmG
DcwLCDWeVmbREDgEkquQ5QLE13FIieLFfglztMZkdNR0a4VSwdLXuW7AWQKEhYXbTgiMHCSWN2Ks
0B2aBiWa9GhW0c4Z7QadzR7damwzAoDRKe+xVbgbwHg+iNETzj+OEIprcMvkeMdgD9RBtnKxVYeL
PxrTBJWEsiNBB1zA2PgnwwhUZbyVi69V97WK23nL3gSj+GhoouuHm+DcEDXROmC95TjtokgPaMWB
l9FKpvvKyt3gutduioLd8WzE1DdywHNRNiJLVDIoVzXLPZsBozbpX1wyvl4Xc1mBgwzyh/gOqRLw
6NffcRIl0QJwC319ji+g4iZZ8jZ0/L4dPufotzWCLT3pEs/pdR+YYa8Gn0LHbOpAM3Vwh/dK1o2t
aHrqz1KC2BkCvBQM/qxhffqtz5wBiNkt+LrDwSHzqx1NRrSjWLLAuqxJ+iKoDTb8gGeOwcyMuPYJ
HXLNR0pgVC+YvO2+Tr3BVxS6lhEMmTeIaXMCiDrWVORnMS/sZXCbvEbBwaCvabS2WrBU5Q9F1H4X
+F8AHg/4sfdc0GnfJVWc7WLNHjrPrPWi94x2npLnkuUdTt8ctZOfppiO8U1Lz3Y2+DXrsEf9Lju0
Damf6kgshcfTvEFFr+6ITyan3gmg+RRxpyXACKtK4EgkaKcBYWIUD6zpjMVz3an8rfWEv88ryZTH
CbAuvTq28ZaabMAVlK2Ie99Oa9O9yQZiBSaJ9ddRDFN639uz+2QkBZvCbqjHOCSTmT9mJu8DYMDG
6KbZbr63cyxreELTo6/2QLP+xuzaIg7T0SKPRlM0RzRIyW5KB+QEEY1x3kWLofeAzSl5G1MRA6Kg
H/K90XTVrgDBcLlLWdcCS4WDGRgAltOPCCPyvT9OWh0mjlnnitOyFeNPHUfy4mYZF8zBI/oWwARp
o4c+QuXd9GimuO4vm6E4LtgtwbY7SqSAcpEEtVh+TYy1ejlPj2V1SEiY6rtZvFEKtrH0FuSklna4
fkS3IsGpSCmPmejQklJDuaUBXm9tYiF9wIBrXC/fr8vZtCGmnLEGgokGXCnnkYC1YhnKHHK6qTmM
QBevRPoGvtyXuh8Vn2vbjH9l/fn7SdSZ5nLkxlpnXtyDQX/q8zPmgvyZ/rDrcFnCNntOGxWK+sbT
AlUrvHCxjbbeFheDSHofN0CSRQWQ3cfiqRrvm+lXnPxAdT/FwkaLTtQXnG7PQPGgxs6YGfDsvcsV
BdDLW+v8V5jnZgbRCY26BL9iyAasMb42cxaAmM+PkmCsvyXc563itXrpQJCISScAyGLKAit55xJL
J0snnnQlplsdvxbazuYUM2UqMRuVXcjBbYx55JU4Vu66RuPg1vlSIdEa3VebDc98SJpDl2Aw2MIm
f2Fmo59YeNp1vDnySogQrOdU4VqX6SvGf0zMkoB1A0CB8mbAQjN0aNYyL2/be+QryT4qaB90M4hs
2TKj1AvGc0VU2DIwxpMNgMyuRLLyhl49sJpxHbBesQsYoKbIWz8WYxT2tfF5/YxuHJzVxli8X5k/
Dah6/i0jA4C5Rgb1CvGVs88Mu1pWA5/RvmvFj2F+mM27eVEBy2/pdyrUPheqF1EeNzZcdnKWQ2q4
713S76rGVuRz28qtnRSU6kHaI1dVdBBJRJXdot4AtJ2ieGjYlwJpc/FIW99uwqK9LyIVcu1l1INB
gZINcwL0A6W9c90KkfWsb3A42uKzaTM/BZh1NAPvTvHlNm14Ikc69hFj1ZwT6Na0N1X+sytCQzXj
tH6G8wLFuSqSbzQp6wExBlW65nnRK2+aVbDxKmNJjkDNljhJCSUyQPviTjpmnD6T/JYCgd277umb
YfLEXqs9T26IoqYpOkVQpqSPGvmtta63TEcLiXBk3I1G5LWdijpsSzucqBUqesVkkbcNmCX6aaSo
YJudHSTF48wfygFw/9O/fsYjZ/wrR6bzGJPWmvUEchKjvMVwVdi5ebDkcXDdglsedypG9uwpH+xe
h5heA6YVgOmTognqolVos1ELhToYDcM6OXr5FwtSoxhrrlNUdWs+LugFjZG9E0MMGnunp8YUtE3K
Q2D0ozBHhfbAdT6EVjOXH3QshlsTM9DcGxsAuF1Xf8uBVnwl8JiBbfti4k8r0eZnGiAQWWoN7/q8
jI0XjQZpPb216Y/KndtHh2NOz9fQT0Amh6AbXv8Jm1/gxDLSmSdWY+ORAsvQaHitIuN3S+yAVIon
3Jaip/aXjr1Rtks9R/jOZPzGutozKlBDiWdw5CT6ghT4Hawj/0EvDAehabXC8MmXENi+szoxUWDn
nEa7VOjOTQXMNjRwc0fxFbdiGhaHV/wqXOhIus/DQNfmXVytovreugN54BMvXf+6NpvXDlp+qxdj
s+Ji2C+JsrRbdHRZxIQpFyACzAdTP3TDzupCgz2ZbuJ1vQK2YCvWwHyYLkRpBamo9NE0wH/M9YTS
ujPFHjE6LALNx8K2Q7fsFF/r8lFtYAQOu2GAS4Q0OSMiGRPNws0SbdPCW7RgwZS/4X7HyHk53pTN
23Vrbip2Ik2qUZICuwVFAWkJita03Ft6h/Jh61VcYcHLcRns+OG+RkYPoBNEn/VcnNwQ2tLkbbnq
NTt6QJ1uB0b0gAO9s2s1PyVGMM7fABrtz2K6j3Kyi9JZ4TlbuuIHoIiN1bHVe85/QVFUdTwBbwhU
TO0uKn71NAkKINXqTDX4t3XGAaWBJGWFZrhoFgPHmJZYblyHZh4HOu5W1MvuyaF3FrZDJu4RopoE
2vIadH4oRSdwncxeY9uJdakbT1ht55U/0R+LgQTzqQB0bWskHpmCuE0UptxI22HIdYt5dVZMiJyL
M0VVA6ZdrPCrVNwKTPHfAPs6GQF1gdvDQilk33W0Vc3Ub4QXDGhbqCFiPQUlTukYAr+mmqr1SeKk
zl5b6K7mqmmJTRHQC4CsoPACK9u5ZoNbZDOZCY7fEh+FieoQurf/+swZYNIAEdt6Di7z5n4WbOkd
3MBFcTAFVnqmu4ZjLTNRQf5ueDw24ND3xAy9DlYN2V7Y6M3M2EXkTzHmOsYBtj6d6jk2FTFr8y1J
QHuiY7KFgFdCSl4cPsABM1itKiOsto2YXHgVGJIuP5z5kWePtf3ouvtFdLvrply/hpxDY+H0zy4C
avLy18JcbG/HIxTstB+abd6WKF2VseJBvlF0NVZAdxSQHOwgYbL93CdcAMqaDmA0fWImXjPvq+pp
Sp/dAmXOPRawWvfWNHcLt/0R6afxHaW261pefkY8kVHAwvq8BTBF+aFV5B3Fck7RAZH6H3cOGf/i
tje5itXq0vMhBagiSBHQNcDu17mWDmkpS+YUd1ucWKFdu3Fgz1wFCrmpy4mU9e8ngQpLRMlQA+PH
5zMNip7ucSMUkbbyPSl84zIkrvoACdhFDQkVJCkXqfKCY8IEklxSg7TG13o/Kn50YCVkj1rCFd9I
JU26SBe7T5Bu550/Nd1tO4jPnAAlsh6MbgfmztnDuCr3CjwrFRnXtj3/ailF4j7DJhCLoWUzv9bA
GgKknVcuQPdWDSZd3mng/cP5xooFIvDFkKZNhr4rOUgdS4pd8o4A6R19dFMLM6DOglojKCjzR0sF
ybFlV6xeg3kYw9PY+ZbOnuB2nKGo3aHM+QAg5aR5jY1jXPxM6tlrUuJfP2kbyeWq5V9x6yE5cc+q
7MxBHyCOJHqYOQ8Ec72VfoisJ2d843xXoMOqwjRWqSgdvKFe9/pyyIw7hBj7WKLjMDkPbhzq5Jmq
0NM3YvWqIpY718kIYAhJ4qYJU9XUqcCUzt+wnWt1+1Y7ZmXspdadYQIbFkSaNCAAhVXYdtuD/gqW
j/4oIlerIXgAQqnefKR41tVvQmt9LV9Av4LzYWnHGSTgvVvvMakbVE6/Hwpr3yYVhlj6XVSngV5a
Oxd8mtd/3OVFcm4UKVh0oo1LS4N3LwBAN6OX0n1PJ4WMy6QJMoDlAeC6lSaVSTKapnEjPKTxgk06
LFayEgRDyYjZSDfvw7kvH5CTqDjCLrnQUKA7FSrFpaEgiz7FdefPpHpLp3FPAJZWl6PHebVD2R1r
YpGfiu81qO5S5x8rW+5t4y3XNc8iQ1AChsu2Fjzlyv11g2+74Yk1pMClu3E/ARa6w4goCHe0byB+
H4Z9PgMMk3vlGMb1PSluBhVi3+aHNmwCXBVwxwI58PyAl6mYktRY7TGVB4d0B5PGh7asVepdrP7/
sTsGvhDdLcxiSXELCV6BDVQc6qGZMamDFVdnCDvQaTsdNk9t84udVMFAsud5SRSyty7yFYPs/0RL
Mcwe11XbNYb17nDDhTgCQ1HhyttW/CtCiiHlaGZ9neHjsW7aTSgtt2AtrW1Vh/mSJ0myohQykNnp
ZjpDFQGiggCd2X3/Dz+AsemuOZSHkvpP5iv12Ohhy/Ywv1x3UZWSkqvUJYpjOSjYMcKFshhLw9zF
LvxcKNLLzbB48rmkE0qitifterFSfnSWHa1eGK6e7C7tg0bHCtzz/6aVfO46ZjXALkKaZwTteO+6
d+70+7oIhQPKtAdpGmEVxkAupFVfJutRmUNu/v/rJBqopsFIfDEE0drIVZdVhfKxa/DQOFz//ZsX
MhZJAZCFLVYi76O4xVCRvEWM6PTsbgRYjmWkr079xbXrQ+Pmt8PU/rwucXWl83cMovSJRMkHROHq
gqGL6bszGP+A+fQktINT/Y46hbNt+vSJIOnrj0yPs2qGoIQ+9q3j273HJ9Wa/aY2GBW0qI461gUF
aDYuWmpbAgFoxPVW5NNRn/PKS3TUdQVATHXF99rKgcEku/KnYjr/ossPgLgoqopmVerQ2t+oEbhs
1/37jRR8I6AvIPVd90blmocGzoeYujBdjPp/g92QFBNcg9v6RnwAKwRw53f/wSn+CpQhc5KuAjP8
CIGi2lPzoWnCrvrU6RfDPf5vgqTXe6xREU9i1UwTSO2DufGy7Kdp+GxRVAH/PFVlR8c2JKgM0fFF
lVjyv4LMcTwnHVI+jCn6YNu7cf1p584eP3Bv8LKjcz/uHtKb709RwPz+/bW97YP81tmLXenB5D5Y
chRH4hLyA5fMyW+S5xprzFM1ltu2/vL4roXxjXXobqvn/Jt1X98uD+k3flzC50z3nCdxGwdgZpoc
xXW6UWHAT8A4lwsGA4b3lfQFMuyKWRhMbf0Zawo31n4K1vECb/C7MPWyJ8sz94mCjvGSSWVV+0Sm
eZ4JzXk0NC6FzJ/x4ht30zf9aX7S30XwHb2JYPYNrwmSG/sWVj8o8cm3juypcCk9GpmVMlYOUPhm
JeGswmj2s73mj7vxydnjGXuXP9AdVdl5da8L9zvRWUqNYjxvozqDWLB5BSJ0vOomw3y83/66E1/s
R+ppgXtPAj0w90IRpP6wS16TLeVMHYbE9NmCva1HY7d4X8njtPv54nr9zg2MG/1Jf2S+tbeD2cu+
vfY7ZOipSv2ti+3U6lI6NZRdM7oRfoJ5bxlwsS58Wbxpp/l/jl65K97rPbmxQhZcDzCbeRw2/PGG
B4oPVu6lzz0N9tzGA+xOvBSu1YbAuvSGd2vXBWTH/fo2RQ/fS4Vf7CLgTytenlv5wql0+au3ORMY
NQTimImBkiE0mQoyd0sCCu84T1jzwBaEpF+t5RzuPLV+nqcAHsNSuRLXbMt1MTeLBzvMBwQbyX2M
Mh9TrkNE23hGIA4I0t1PeM7tr/Jr7X3Gx/jL7CXH3s+/UpUBt07rqWzJb+zWsBYjgmyWDX48+nEJ
RDrdxx7Af/ATkPqu5VZz3dKV7LgOKWdigSCr95ZfzGt957H4EYNVynkGtlbjc3/wq+8okAClcq+M
SlvZ0al4yVFGwXnhTquNZ8/5Nb1n92njWbUfY/TLo372w8JDo3j8rdB6662IrRFoDJArlJmlh0ba
DWkkRuyoMOMrydED/nTJ3ZD9P9K+rMdxnAnyFwnQLfGVuuyyy3VXHy9CV3WX7vui+Os31MB+Y9Na
CzPbGMxDY8YpkkkymRkZ8Zqp76nhxtnduMXrvXrnnZsUAk40nU7xmMJkm9Dsadwp1Hoo3fJQ77Pd
ZFBTo8oJPf2jg35vaIelXoT7+k3fgiqtOLWBtzF6v5GixXtVuPfCtiti1kD6jplvFWr/BSoFIBXw
bAghDg2ARBsOtrLASGyDHYmgox3N04I9VZ3t0lSa1oHk8BgwAjVTPUxHPIQgS3J7VVeOBDRigfN2
Afobhthqkid1MuoyGOtRk/ftev6F9omNaGp1NGcmhEUE6QFCbQMmlK6hfQU0x/QwzsHtcazsfbTl
LOx3iK7B7iNMmdkMqZbUMMI1pEJB7zxgOJlfhD9u21lLvcIQEmOgb0Q+W3zVRUoBjrOhb51JuWMI
DwmQs3qghTSSINe7t/P7On65bXNtjWwgiMA6D2YmU3S/SEvrNBuHFq2HhV+G9R5J+w03WMtzYVj/
2BDCLG6AWDLPYCOroYUpe3h+o0pW017z297lM424G/d+HG0AfdacY2EPhpNDHABNj5fhXU3KOiE2
FB21GRC5Pwl7qYav29O36hoLlS3WDLRLYm5eZtVczuPYOn39Cr0kGmmfVp7ihn2/bWd9KP/YEY7l
uEwgWtbDTlWjgeOkDycgMG6bWIEnaLYNfXCkxVU0a4rUaZKV5CyUF+8rqieehuhkyKr3lmsDNOn1
aDdHnEMevC6PlRLvW6L9INOcuyWPiufbn3ItUQ93QaVRAREStG6Qjb9cOUUvNbCssdYZcxblFL0Q
3ftUxdGjlbP6c9ZLpqKYW1tgDjWNzB270j7FWQwGxkHKGrQ5p+UOP14FZWYtOpeIS47M7kA62hIz
Aq8B548RiUDKKdUsSKq+OdZx1L9BGsRsaT7Vk0zlyEgemynqnmLJzF5swnuvn9V+L7PZApR1Umo3
1pPhKQkzBV7cUqayFCxEavpQDUveKqxnm6oNEHlVNldfYM7Cy8kGVaoXocL6qJQNns+NMoBGchjs
ZOOg/yucJUTboI8DwM3GrWqhQfVyEiep57ONBhKnNCXHrt4wz17FCp8TvuvQC6vN2h0Cqo/I+JKb
/sWeQWihpt9wa6CVEuKREIgu25+onlO9m6CRrqCkNm50z674NUBZALkjRwynEyuuObQe5cbAQqt9
cpggJFlV7I5Z327708ode2Fl2cVnJa2E2+VgyLBCuno66bHexjS2IU1NZTPhe7nssudMJkFkoVm2
ZtPjbfMrhwSYxdGGhbcVlIf/RiJn5kHQC5oJCWdfn8qg5hnRQvqi2d7cbdhZSTpd2BF2jRTa2syg
WwFFDPTNcL8imcvxyJtexnGLfWhl4bBD0fOMZBAok8UwVZX1KgKGEmEE0qe50gayVB7DKPoP9zvc
d6H2Qqs/evouVw5Ys8KsU9468WA91PKIrimIBBj6lgTL2tULhReUAi2Aq6FFJcwdb5RptAqMB01D
kW8pTYhWQLNxG2tsXtoI0TBoolVHzZWJmnaHhvmhjF7///xEOORLoALGPmsxp0VCB8IoevHzwgMf
43+wo0AkGNJwOLl1IZ4ZItJragc/0frYrUq3Ne5r6PNYysZ7f80fgaNQEDIh4MSb5nLx4pDVebps
u7ZCDlR7SeuMpmixnN5YNPv/fkzntoQYQw9jPLBn2AIJCmkDI+7v5eiYW9L+P9hB0QyvFORAQaF0
OaZ0xLXFI/hJEqv206ziPWBInfJFFgZtDv7Ht9v2VuKzhcIb7wM0h4DQdtmHZ2dHybKEF8tNSAqI
p2jTczFtZf9WtvKFCeF0HHu9ITPBPTEBzZZqik8UMOSM3X846tEWip4ehGK6JkbRUWIr1bxsZb39
aNFIxcKXdKtnYQXajR8+MyK4QRHFRgdp7dZprL/FJBk0Ltn3Ut4rypuWB4bNAEhxpv40kIBs+cZK
bgnG8ZCT0VUN5JzgGxzMmCXkd/FOANOCpe+mDprQ0SlDhjd2u3GLj2ftVgPDEMCcSIjghhfu9wLc
wf3cLi5fT/sw1QMF0lEAihyqaDwuhBQy1/eGNr3/e48EnhNMscDuoUVLOCnrMJIys8MoU9YFvVqd
II7z70/9Bar9PxPCQYjG9EIzF1cx5ORplIvnNF60tbl7eyRrjo/VUnA6IciEgNjl3kJCLuPWUOLx
2BKXV9xXa74nxbxhxlrzCzzrEN0s3WxXcO3GQppZ1avWGWKlqWhOsGCQaDMmVy6y1gA5rGH69tiw
F3uox1Od55mbq02I/0jCR1I0IPQzteS4U2nK+saiaHisXNlopRk9lmn2CMkt7V5CVtebqjx8UPs0
ZjSUZXYMR4vf6dBD/8a4mka0IWHzrQ9JAYFAtN7Q3uwTcBa2/InoU/3apYTfjaMWuyMkBGzwpZjg
kap4j/9Vq+s0BSe6Vhg0QsbmUzNAUOZValXtpFIhbsTi8NGe1Ab3pGpNkD1kwKnW+hhoDSMpVTsb
Nes4fmxHLfFl3LF7qQz3WSWpe0syPG4pla+ldujyqSaA3pH5AdRXPAC3rX400PjU0jgfqsIblMbm
tJtK+7Ngurabecff59ZUCjpZaf2ocRT9ac7iPqRzWuaeDZnCV5YzJRiaIvshRWDjn4fEBJAKYdMW
SHc1mrChvbBUMsDIK76qVSJ1ZW4h4lugosckbKChNLX9XkeC+B1wvRA0jeXA3Fpi9kmxh7QEu+c8
bmyj1bhzwUAgZYEzQlTWbcY5bfp6edAhsTQOX22VoZnQY+HX7X20ZUc4dNuqLGrNQtyiqLlPzOYo
G+E7iOruJsK3YNdbtoTTJyqauUNXGo4GEn6YeEeB5RPgmTa36VRZz7cHtnb5ni+jMLAcVbx6MrCM
GMgR4N7nrByC2ybWDnHbVJH7Q8kLFG7C/T7hzdjpyPkCU6g4fIiRYKojPE5qX8qrj0qunDC197W5
VTBei80WfgywcAC9roogIEImadSWGLBUjiD+qCQIRyDBmeY7FAPp7TGurdm5LSFJVwwpK6wR01hb
INwYoM3hS6b8ClLd9hkS9tr/p9sLt8esKaTpUNBEKJi5EI1pzcyr1dcQ2Pzb41pbO/Rp/W9/CWtX
qXOWDzoMZayk1sC8EU0NMnnnGuo7SfZYtDWduy0KlSurSESe074KwzNJkxdWuSgagTy9HPzMOpSj
D2lbGiG3NlQVFDGc2wO9WkDBpDBQA6wlUR1BfZW0zE/6jy4Jqklzef9x2851CkowtHzIWbRrlGRO
LNR50CGDHpES01pPlmta7V3URyliKuJa/YfGs2CaSi9VE5prW/211+lK4SOEN6eejaoNTi/oDxUh
zVUItCFFbv/hxmdjfszxfc8GJwPea9hIV16FCX/t4rYAF+AinSrMMh7vcQamEBBZK+kusgglVXhU
05fedlPzAyn625N9dQII5oS5bipw00uQYAQxIP9Wzo036uZdjW4ksKih34p83Ta36kOgMVi6PvAW
FOufSZ+kxO5QF8wG250bt6pPXA7Suf4vw1rKDkvb0UKzc+lCccKrQU9gpylelk0xNgFTwKPV3Ntb
QjGrM/iXVQfBI2hThfixbovYbNMGBMyy4sjRTpPcovLn8FeibWR21lxjESwEZRdaPSwxDYJGAdYP
0AV1FOQgDddUnsbsQTYnx1KO3VYiePGzi7whHOPcmHBcK+iVjGILxgBOKIMRfDJUsvV+j4bYfmOx
tkwJTxiQbjZ6ocCUNp2s+TOXHqF9smFjzfHA24zXCvBlFp5nlw6hLMQvVQqHqIeGZkPlgLqO1qqE
frQNS6ujObMkhAspOjs4qWAp6nsqaQVVwtM4/ri9j9aO//PhCP6dNiipoXgCLQI9oY323AE0rgAv
orwWc0M79gCWitsWVycQXST/VzJGOA9x2URDOUMyhsUnvfJreZ/kr+oWMmPFxVFcQxkFBL3Ic4gu
zmrIEtcLl7ilf6mWN6Lz29iPoFaWrc9xU098ZesugotoJELLIDJhguOpHas6vugSFMbozInkgz7n
VTfZjkjVoYjMLRivfr2nFoZ0HdEk6OOuHs1cadmgaZhDyJh7k2l7EOq6vUorzreIikO1CoDNa8Rh
2XX53GpAWcfSzzo6FWhPT/ONxOGWDeFk0PNEtopmQXKjNb20QdUsHRWb+bdHsuJvFyMR1mZKMkOL
anhCm1YU9fm82Sfai9JbGzN22w5I8C4PBmTx0DbAMRoZFDqV/AAJ2CEF0mGT1nFt8VE+Rg4U/yKI
Fy8Nof6hN+APwLS1kP+mQzsjERoDBueCHSUBLbRdxZVXDA0BJaqs72PQhO4ZhFvvokQrd6gxEch1
mxZCPluN3SyRuoDHcerD2vCnlDPQa7Ug6Hm0exIWXtamkCVKGI8sWsxZOHk9dp21G6DdBnKSqtO8
LK9V5C05+xZOXP6RRl10JEk9/0S1zQqfyglkWFRPU/48yVYU2KDb+h0mGUf9TS1UVwJ5QlDXSw+F
yaIJeB/WDmHQhr01HkmbSY2vdZkSB+1g2e8k6dRvUttomlNWVfwDVTEloVIUIgloo9loBxXE0p9S
0IFsHMhrZwqaBQGvQP0A7HrC0c9r3AjoQYDiYtm7vRG0iORqfcdQ7dO9wn6+7bdru+PcmnD8R+mQ
zKkKaxb4A4c6phKY6Gyoq9w2s+a252YEb0LOCp4zw4yi/VaKpyx8HofPZkvNcC0KRqOlhdw9wjWC
0OPSaZGeiokGfgSnaz5rULQVgaY/ZDESQPVBSgOoJpPm0TSfbg9u0+wy+rMXwNTH4OGwIBE1ar/H
EejE4jnvMnA3eoYBCJL+0Elen6CTcb9heGX1QO+6FJlwOsNdhPHaoEmUiA5uOxDXferVTz4yH1rQ
0QhWv+7OjGYPQFEaZcae9SeeGU9obN7zuLqbNSu4/S0rl9PFpwhz0Ld2DhE6fIo+KUDeV4YrGTWa
kPrIGaoM9JVbLJErMQUGjssJhIpL8lo4cUMzLBMdhQUnr8yXKq8APqqBNytASydVX+DK33Vz94Ia
0e/bA71uzUKWFy8d0BmBI8pCbvRyta0ILbeMDAVA/29GLftISb6TqaRjmr+QLqaRLTs5yGCUDoi/
mD0mYILojeSlV1/0Ib0PlVeGzlZJ24LBXa8AQkUg8DSkhm2UOIWLzjBAkDtZMmgdlToAGSAEBJzJ
Nv0kLqiU/+uuuCUwRQoI6WEsALAql7MAlFYaZy2oNXpWuXNpUcOEAvNcuWoEzfqtnf1XxeEyvkco
bCPdbYAh1VREADovQFllJ0Xh+OlLcV/Tk7M7PB3cL+LutjIkfzspL22Bv+MfzxLZ5w1Qf02SMhbO
WPF9CBIIJbILC73qOupz5sgm6BBm6SHlnQUcciyFB9nKE0Ac6y7+CmdNlpw+MxVnYaV5lNU53aUF
6khUl7JcpfMQ9j/izGDvYwTpVZrqcXOHfkLjbpbl/FFOEWyVUbXxGFs7oxCBo5650Opb4Le4XK80
4l0fjwx63dI4OqE93Ms2GkmsRv+BulfmAcH5Cs2fRyNHv38GHCH717AjVLkWFDH+LNhBsYE15BEv
rNiSaAwpqjDyyTSAQsFt9I1T8Spy+WtnqXYilAD5y7JPzk5jcNB0sZrATlu/5hqIxOuft0+Aq1NX
MCBsNDPrZ15UiwH2Ar9QlKeYebdNbI1BONx6Y9bSrIcJO458YwgpUIgbkeSGCbFNpVJSHJ7LNHWx
SfXoXSYb67A+TegbBk8g6Ar/4qXO1iFkqjkSglPBTlFZnPy2fVbNfx++QG0bBAvgrgA4QIxS9dji
kpbIaDCXim+aFgeks95NJd+Yq5XwhQDVtfRd61CCNIXDjk8pM40GJ8I8gSoWyohGh7pYUKB8fnvd
Vy4XoNBxmqpQLEersViq75QJnCD2XDiN+oMhQaN/Hyu3VdwCFS75TUcv9UDjeIfaFM0jRmXtIU9A
HLuTNUfF393+mqsVRJQPUgkAOw3sI9wqlztJzlMu4UxCCG8UThXvhhmsnlsXycpxi5VD4AG2ExQ2
QftwaUXKUb1kMc8d179/eF3+PAeUOnfOy0x3Md3tNh6E14sJZIIB6tUFXwnyymXUZ345xGDvZdB8
diJIXUOwlhk/VfWd9RunxNX+QphwbkYIiJZ2gKarYKYA39Wkn2ayRd63cuHDAtIB5sI6dcXaZeRz
ohQGLFQaGtFl0HG7WZkHOffCcmMvrw0G8Erc+ejUW7bz5ZyZJg/hCoh5MpL2jyCUgEZtXxQb/rZy
SSkoOQNSjogW9R3xkoKmsKa3wHijU4Gg7Kv1qpNY/AEoPBpWsVdzmabzBxsLP+8gBW+83Pb36xIo
1uzcvrBmaSQZo9m3BSQSAflpRtrMEqg/lfjEw6+2S/xZ0iO6qNSzrVTz2mJC3BKhLOIp3M/CDFcg
rtN4CfCFCeqKZLxXIR+Eh0vIDjzbUp9c2wFntkSx7ASM03oMTQVH42j2VGynYgeot6CYd3s+V8dk
ABsOiVCio7H00muAbUUJxsSboEBuUQFXppX7w3zK+5+lFNw2te46Z7aEUwStSt2QWbCFnBLey39k
Be/lnRlWjm59cNRhEt2voL/OXm8bXhkjMiQLo52GHCw+4HKMYG9KOguc4gAgf0WghlBLBFU6ldM7
C63n/8EWsn9wDyS78efSljQBgpQOUM0iakcVdFyogVwbTtwNgKVv7MUVH1lQ6IgWFUhuQDn60laN
vjc1msFGS7rAVO55hq4eplA+bMzfdQ8lDpVzQ8KeqzVAIHIGQ0NxyOJ7XgdM+63aHkMu30K3WXlA
aVBW36tqb3feZl/9sq8ug32YB5xwoUSTwUy7rO/ZbVAaEKzDQxFqH4C2SEUHyA6kzxaxVOul7GpH
1X5nxoazrs7tmU3hXtVwmqrFwsDLdWAPUl8pwp2l3Rn9FuB1a3DCoVI3vZHWrIXYFJpAAFnFoGY6
ZJ+KEbq9PjqJ7Cf2j9tOunz8jQkV23IRS8yABWJwpYVU+F3fuVz/yTsdCTjgVNv9v7d2/ugVlm9m
8ghKejxD7QoEdmhTz9qjhAR81jC/GUBsV28RnANocDXC5S2KlxTSooAiaMLy8ayPuTIoMTBspTIF
Y16H33nUDWiIrlrL9tFg0I20rCUiBai2k0MrRV3lZm2svCtFk/i2VOv7XA6t5MSnyP4qK0X9GFop
vJMSM9rP+QwdgAI86XY01R7rqrx94ZyzwCqb+lGWbPNgAsX5vZyaNqhIrUPRsa/D0KmMWf6ZsD75
aSqplThTLZnfkMEvQ9fWS8hJqIw1owuxhHamTWKPWmBOkv4yZelAHjJSVqnb87QvKbcYC91IG+tx
T4BnVvwiS+3v4A2USrdCArT1hhzypb4ZFuRPXYXmtOsjI0JHcCjpaEWdZYUFbSaD62nukDp3WgXQ
J68cm7rxo6Zgxl6y9NF+VkncJTRMAATc62EBqpVk7IrsToYuLqZviBp3KjQWpLFO+ocwyaN+b+ZN
tOuJOcMEYcWPuOL5w8SzWneSqrMMv7TBDs5Vew7d2pZQci/qebwvDDtMF4bAPANGOWdWUGh66IVq
C5m5coqsY1o1VuUg34G8NQtHhPoGLpbMIbk+/wYDgoHiem3ORlCDa6J9jKdQ6fdzKveTq5cWadGb
MecvFfRKH1S1ZonHyiq7V2cpZJB0AZTLVxsijdRM9PLHqBlJfdcSwHWgBMsVv+tm7QM5NNN+ytGm
0vp9DLUMx+i63tM5GB39NIfiGu2zuH6wuF4OrxzMioNTkLpsPGIVpNsDPCV/yMowB3KIFhxqzGmE
JDZIt6ZDm7b2j1iPLDBwh9EUgP9rRgkYVDhvqPYkjZMWVf80TrXWukNlJq+kt1r0GKpS+TnVxvR7
jM3mezVP8r2OlMeuMSLrgO6VQqJDNFqWO5HRLsAYYQKTmNfSa0a64pmwsRnAE5pYrlbEzUEfIiDz
ktxSX+q8aP2wUWeONhUolgIeF2XvldI2j+0i90JDMnU7GwhmmXZROoEPm4/hL7D6sc8KFFQ25IY6
HgBAIoPA0GqL0U0Z0FzekFoNlBALJXRsaS5/FTzNdmYqae/oXSGGm9th9Qf54k536tQyR7CnFlx2
2sn6BTiuCl1FJayektaogxb9R42nxJb10JBSBWtaJvOUjglBTmeQIyvyyiKfkOfUwvSXLSnqgBoC
XBPejRM9M4cS7fFGvMgcK0l5D8owoCTxAJl6yuUIFUMTz4R7iWWz7JfYsh/mrGRoni1GZUt26upw
RuoCRLgaXll4xeJVd3nbhZM6jcOgSOjocEDgpcRoDzXRliTf2+kT0qW3D+erV8NiDVqi4J7DKXkV
/8WJUXZ5CGsS+QWpE2fSN95Y12QIggUh6gtjHWymKeriYKn8THb53ue7P1og3dXvifMBYgrHpLKL
JKW/xcNwdbX+TQL9k81aLomzuGHEMZM0gOrTUkZ6F6n//tRV7+kM3gfGaNHtlnas29O5ZVJYvLyY
kCZUkVCJ5p850DZySStsiNyvlV+A+Dsk3Lhclxjv4ioXxijMrjrwfkQzmkQZO9mqr0H1RUk2YqFr
9PtiBFqzyDKCBuYq0JzM2JTMEUbMNzX4PrrZe76fpkAJsn0ZdLtmd3sSr/VJBHtCvNmU0FlSoTFF
R195Ub6P31XnOXPCzlUfj9NRPYJGIrDcDaNXIYNgVAhT9J5nMfqFkAuLMjdqDKdtXU4O4+CkukVN
6yGWWtoMaOruXHlLwWttG5o2WL8IJLxAqikYV6LMzKwWI7bC+2aRefi3CZW/g/vn94V4CAQRYzoU
+H1pNh1dGz10EMr8Pjc2ZnFrHMv+ONtyjalFxry4YwUigULZoe/T2Vinq8j8ciiiaECrDxL4dmEC
SS8rcn8mT/w47j47IBS+ykNOTb/wwX24MYH/D5/83wyKWb8kJAlnE8wS1Zmfn4ov2UHIgvD8MP34
NrvF/o2gvXHjOLlm91gGi38UA0rhIEkSnpNQLZBk1Nslyglt7oxPNZgD+7756t3XxzSn80OMvRC5
LU3f5MMWoex1rkWwLhygDemAowKzJJ0NymOvegeuH+2ooScF6rctbr1rcb2/1oy/CTmg3kScYlUk
CmJEjDU9Nl/Nu+qgbngw90rAnqvv7A79s05zWMiCNnx2dZjo0ANxAXjJsAuFd7SdcsYnhmEySDKb
hlujHpueIDSszfvacNPwhNaIDS9eNrR4bqOZB4cq9GuQThNsdlk4DrWEwRboOvBkrxxoE5QH4xn8
G8fZt33yNO0QUXtbeKi17XNuWDhbza7pmxGBO83IqZfprLzqYKNojI0zfO0gODcjHGhYSwSfKszI
6g9rWgrtf27P4GpccW5BONIkKwzVUIcFpKUbqt7Vvv7YUxodu8g1qU3ful0ZPGl743FrX6xMIdr0
Fi5blLTBNC6MTYXGpMHbWaJN96agqN24s75n5P32AFdudljBZbDAyaDUJWx9LS2Ikbcc55zugRWS
xi3YW9utvoeVdUIGCYxhoA9CD7EIWJPD1tKGkmHTkTdiPcnx6fYo/janXTg60tEGatCQDgH3zBXD
96g0Bjhmi9g5MNd2oh150KgdpC6k82jvJ4fM6w/Fk+5EHnPAEfv+OAUg6EVUWNLisXvAWXMIPf10
4gEo0Pcqjdy3fONKuZpp4ROXOTq7tGI76aWpzMEPJp2y6ZCZnhb+2+0AE1hDlPwhJ4emOuFeHCO0
9LRTGeMlc5TzZ7QW3Z7mq+Nk+X2k5MHTh6YzQPUuhyCNcgRCuyp2eu1LaV+m/m6K8VBx42TD0JXv
C4aEuYpIiH0RQcFehdb3FN4l1k899+QtrQB12b2i2/yNhRZNAmBshT2Wc+SItWrAgFzznVHLq4+Z
p51+1i7AZ04U9MfkbnSKfUzTEwiMnsm+cBEBBNJr5W2hNq72CPixQSUA5Pci+4qS1OXkakUpF205
xehD+uoTdxi3UJwrk3phYJmMMwcsekiJzQkMGNYDD/242NdAsW8BvFZ8BCVY+J6xpHOveBtAc6+E
Rr9Yae7zsKOlCmmXyrFzlNfc2+64sqPOTYk0pQojlaYwmGL8Ua+Cobsb7Y2AbG00eLmCAFhDlxFK
n5dzllexPg29hkXRP3WIzZeHEFQ9C6Yn23D5teU/t7Ss3tnqlKqJpJIJS5UBABF6mfQtzqjr/hR4
2LkJwcNICf2/qtYxX76l0qSjqoesmNdFwayCOM92+O/bC3T9pBMsCi4XEeBAcwaLreQn7xKhutM4
5SE6Ngi19E/DdrYaKK6rCIJJ4QzsJY4rQofJ4a6UIEkMg3+Iwxz5e1I4xkyVwpXcLY6lFU9E2QD+
DuQ3UHhiJbkHTWqmd0bsFMimZG+gKknbDdzO38qqcFbBBmSgIG2y6CELrqhJJvRCmRk7SNueIGJE
7TvroXhmFNldP/0y3YhWTk+zY3n60ryJngANpvapoL8mGn1sLOwyi7c+RvBWuy06o6+s2JkdpCVB
9YR+VxA886PuxB+9F4LskzVO5YaOSs2Khhv3/cpRdjEXgicDSBzafYi5yLU/tk6ROqNN+lxtEg9e
QxJ0+cKQ4MBpVqlNx2Fo9jRa0O7U+qqXv1ZO8dzvlB0P3sCH4ucUehtuf0JX/t2wQ6Vsg3xgdbjo
g4U8Na5dxRLuXdueSGXVBHUGyU01J0XoaT/wLW61lRMI0AFQACxdlZr6F3l3dgINiaYmJh8Sx+iB
DXtNircNp1k5TC8MLB9wZqCNgMhKehjoPzsccoTm++QAAfV9/MFP8oMRRE4Rex7ZK/sNy2v783xo
V3snacBkBMudV+XgrdS/hoA/dDRWHONe+tkcuwT3+lYEvzWhwiYZQbISFwqs1pnfFY99/XV7WNdu
AQwfcJ7w0YWdRwz3khgsrF0bAZmfqv2OhP1pKYr4Y1iH1JZ6279t7noSkTFeQMZwQAL8k/BUGIu0
JXaD3p2wfAQxT9Y8DVuJzetMBPLDGAuCWDxWl660Sxex+kaqRxlZFvMne0ADRROMPkL4cRcFFnFQ
QfQ8aI+DRrhwt8p567bxFgKoFIBWkDle2rbNlimJjQxutksHyl5KnzixM3kdWLEcyWlc8oebDr+P
fIbu/cOw8T74O7bLMxVj/8e+mHKS06TWdAb70Ll5svZmi9vSdrlTBZO3584Uu4rzcntJr7Mhy3yf
2RTWNGFI2MX6ktWqaLpH1vHO+i5V9CNzmk+Gwbuxx7zwW32/lSBYCUZQBsCBZmsg/zCgAXU527Va
DbU9R5lTJd+s0JGTfTPuWASSE9xj0uM4ZG7T09KUkQkNbo/6+lGPUeO2Bq8AIh5c2IKXyfOIAhCP
wfJ61Nx0X3iTRzxcYEioUy1Iv6JX6360HbBWuOxzcIYt1syVu/zyA4STISFmoYUWPqCgmg8qYzTB
He2v/vj9t+3PdxB8O7ADGsk8tNtUtDxkrzrgwWDbPvXcaUIKrM5Gpmj1KDmbEWE18OZjnKQJchyz
Z0JJHjSKCSL2SNpw8usrAJB5EKXi2EIwjdr55ap3OR/CYQgzJ2EPSgye1saf6sdB7fx6+nV7la9D
FJgCS5QJWCi6aER0ftYYAFTrMGVXA3nKoPn9NOXdgc9Zu6vGLnHUefrQupkdMtQQb9u+PvlxhkCJ
CyrVUIkDT9XlMKdIY1JrYzpBbeKEVul1ysbolsBDPCxAWAwjC+Em2hAuLURpY+almQLyZwwe6Eco
sfpDViffemt2RqC5LFR8/8OgUL4DfgsBKIZ2aTLVhiSue+TDk+YxtUGAudU5srovsTX/Z0HYFnnO
62wYYSHWcO6iBRWz17vTL8iqulBwhuaOn9L37BU56cj5LQPTsTHENZ8BiAtB0HIDXCmL6zaTMrTv
oIiXIJpdwmn9IXqc6GYWetVBzgwJI230NM/VBIaMl/wIiAGnDcBqh2RfON/UT9W3CQ03tt7q/XI+
OGHvZUUJrlkTNtFG9irfyY7+Y8B8/rEfEqcFH3PxUW6YXJtOpDJkdCWB6QbCnZceM1pqAWFQNOkb
jYGGPK+MXUYe0Ywkp4COTKjpu7dddPnBy12hIrW+qNfqQJJcvZHmGk0WwG1mfyWlzeqtMJETtjde
6isTeWlFWLy0m/QOTJuZk72To/7EXOKHe+1++tEfQj+/G59Bt7fx+rueyUuTwtqFspJYpAP+JEp3
MlK0bXc/T/eNCSSB6ZZKQDT/9kyuG0S+CAwBSNmKB7UymAkz8iFz+PfpBDDVMXvkd5qTfLttZi0M
AJEfktxocUcPgNioV6dzNuk67FjJMSnuQvaQ2+BaUr4BRgSi4gR874qjAQQBLbSNzb7qLGg3Rm+l
vCidCN5ZMp6BPhim4+6uRA5QBslTnAYbA1xW5solz6wIzjKmVmbEixVAFj3+ghKXn9zV38rai0yn
Pcz75iV9AxG7/rz16tkan+Azo17OIKrBZiDIhFsBnuxU7Tf88vocg1+ejU54Hzdlwg1uwAYDqgNM
rZQNG1t6y8LiqGePRuDe6kSSYAHLSEMJVFBb4h3XLWX6MgggXEFNsdB7CI5QhETlZc8yR3YgfPqc
u4bfOHxnvvtgNHfGe/N74sd3wE363fFtpt1u45i8rvoKHyD4CDMSu1r0Vx3m3kM25TM5tPs/2dHc
pydtUbQo6V3l3fbL1f19NmbBOSow75pVMaEAYqevKUkNlAin7oiWUNOxAJ8EkmV+BiD2lzxm+9um
N4crOA3SDKw3G9g27+ORorpOHlLfDJKn8ptxj5ySFIAYS/ES/9+jLzDRoHBZUmhQqkcS7dKZmmzq
UntZ6cSIngpbcxryOnWNl6T1cewsp2TyU8s+eP9e26mnS/+6fWixr9poaFhyheCVv7Q/ScWktgpG
XqRKhg54a5Z3+igZv4GRy462XSlvt+d6bfcAZIs0PBqh0VIjuLZJeGk2BANuwEYEmeKx+n3bwPID
4vFmg0UXtFSgfL9i+MxUvWGyNuP8DnlgoO+2lmQ/iuyNLbJmBjZM9EEpi0ixMA6WTMrStIizLKZK
VlOzfODRlgjI2lF9bkTYhrDNklqHkVj7TCw/r3a5UaMa+toN77dnbfklcdbOLQm7D9jbORoHzFrN
/g9p17EkuY4kv4hmFKDAlSpFadlVfaFVtaBWoObXr+Pt7nQmipuw12s2p6mZjgQYCAQiPNy5yBaw
d9nq6cCcG/37ZUuyjRPOWm1MVsHAo+D19COO93b+ZNvBZRNfJy64V6M0xHleubqscKqIFZudwsNX
a/MKcGD55bXyyzxOz8OVLHPm/9bXneMUIZi3Rqon2NL1tu1SAHy9KvqwU9CHNV7aNG6ruhP9MJSw
lZW6tzfwPwZFFLtTDGBw7mBQr43AmvHosPqwTGUvj81EiDeY/mdhYnUtn1NdW1pu58hGD1SWvv6T
Od64Q/UeMzOZLxM22PbBPwb181jU1KbG9Ir7YB5aVUCIXxVPBvmL6/t0WULEMyvM+w8trBjsrcx2
YyPpBGwFuNN/n//9JD2wUbEGy7YK3N7sZX3sTpksTdz0OJ6eoieLYpmpnlsYs67AkL2GBM5+Yj36
HfMrU4kLld1YOaTLNxVvxcsHajMOgfgeZDioxaPeem4RKsJ2RGpYpBrYN0evysIqntxp0FxMnl22
tbl/J7YEL9BB1mCaDPuXQDdXsR5KQxLqNhpyiA4nFgQPqJylImyGhdbyl+zYsKc6fmTEq9rdkF2X
GohyjlocYtDe1Syvkr1Btw+W+Q8XCJBQX14Y0YSZhSGCByqJBtg4uByXF5IqjEJ+2qnxDo0q0HXM
7WNhW+WdFed5DeZeI7nRzJWAuIHEf3PyTu9MfjJPfFY1CgczA9gR3VbdAXxeQxkO2RNJJGdv64Sf
2hFuGa3WgPF2EFIi+Gs6lwCSf7RQ3jAtye28dURODQmXTOpE1tCgsObVmCzJ6Ac65aR46sndYPtV
nUKvQUI2uBmUbQjvOGDdApSP//1kB209ntouMvBNx6dMD7rp2FPJrSYzIXwkqPktbVoQPAoy+zYf
QFRQZbcVk026bm2dfbIS4Rvheh6ddIWZbiz6K9Oe0CxVtGM2p5bfmdnR4YoBJIuvSFvL+C02E/FT
48J3m1ijLbqNbXwsqGveAQ7w3rl9tVevjIfSZ4H+iOtnL6tlbIa3kyULV/iEDqA5YlTJ64wawL2Q
5U91sgOqaG0lfrkZ3P5Y+qfeeOImWdaNTsxgKelNl4E4oZepukm8RAzVtlHbNqthoSB4XTehDi1s
UkqUHmXLEGI0nbXGAp1R7o3aK6bK9Pnp8h2w+UE47hdvE1xwYnJdZVk1m22GV1ERu6qJOXU/wxhK
dJ/N+8uWNgAhOueyQsUFNwK6P8JS8kLLCsOqkXQ4ixsZV+P4u4gwvHCrgEaxr4PJ2Nvl+xLdNOa9
JnOHjW4XrPN7nDPNgWRT8LyK5Mma1i3YcB5oCNHKx3XPSaUPfXC9+LbpNu41aM4hLinp329tMB59
QFkSsPWh5XQeroBtrjIFupUekokPliihNX9PGno3m89G3kkC11ZEAVzUQSIOSd0vRKwYgILi04rq
pE5UIKOuyuxzNhzXrL2kuhpzv+t/Xf6omwaBGgB4DdNEkIM7X53SIMlroh7lUKe+Wrr3Dr0BZ75N
nMlbo/h5BSV9nMv6h1sHD2mXA+U5aAegx3JuFDTpmV1pI4xC+0MFrdR4tUgRc5tG0IpGl5BrgIiI
COrM0E5jqLoy0oVdtB7aRN11sQwnsPmAwiw3WBoB+wP+T0j4GNTYMZjBywJpcbOwuxXjqwnrbgHY
DcqehEmb3BNbe1wySAwWkk7S5iJBNWLBZcDjLba9m2mgKmtxKOL8uKxvqrXXmGQ6a8sEVMzQVoeI
gPmFyl0x0K3KFNRAKSj47RlTcojIsjn1rSh5akQILVa+ot9XwQimJu9Va3ig1eNlR5dZEDJZw6hK
CK/D51qQuWnznVlI0prNXJUinbEphsLhcYJX5+qSxhPDS7pzvqn1LR2uFv1JGV6y5AGTzcmNcoMq
+Cp7e27liSdWxRdOggyrMHndY8pXEEK99sx2G8eXUjPwdEJ8u5/aEdw8Zuo0ow2be1prVbtUXx7G
+Rtb6b21/ihVnbp2/nn5i2063p/9NEWfqHKjhlw6ogTUTi3OczE85v+aYRblj9NlCW5R6p0eswjL
GukO013Q0XExyWHIMO6yr8S98ySZqe1uMmYbZhq81Ip5cUvrs4eymSqBvH4dVBHWwzf1xBBZNAzk
TjAEJm0vhu5lhA92EzWPYIEFhSCYEEwd97esP7lxutBuAi4D3SBwWhBhG2kWZx10N5BKjeqxr+zb
UcowwT+34IC8o8XR8QAwfeHJicx6mmnETdjtbcuf083qpsnglpnhLhPk7NSjbVT+ZL7N8ZvexJL0
Z+MTArBsQTEB55tgVuF8Z61x0MpUx4NMRXN+qncZeUvU76ZsknLD68/MCE8XdDhiktsw0/fDPurn
u55glqtS/cuHa+M4n5kRspp+WCEOiHlGr+iyGxAaujaXop1tesPqyKV4Vl+2t5FnQNsRcQCCIIDB
ii3JTFPUNuvwbM6s9pXodZAMv5Mo3inTE1zKnetPmk67yzY313hik//95CwoRJnMttd5yPLZ+sTy
B9c1mtTNeonsw+Y3Q3aIbAb4M40Kmwl91jJOuaFpAZLdScJxLY/tGksyUZkZYT3GzGJ7UmFm7net
dZ91YZHsL28Z/6VfDhkYV5HwYpIQnYHzLeshF1PljoVwOFG3SgPKUO1xQTjo9rLm6uZqwNBoYraN
I0uFCwU6BDhS3NScTP5g7Q1oGxSyV/K2EczUIH9BQUacEelKo7JH00GtYQLpmf6yGCAflom9bvmZ
ploYkEcKrQMUd75pcTzrSgz+BI9k2g5aHxz/DwAcWXw6Uq8Hht6laS35Ulsrg4AU59FE6ocm0bnR
DBPXa9oAP5r0YCqlrGx9m45TmBqrJLHZCnynloSItK62tVo5lpdQ0CwM5Loa6SEGHAQ3zeGy+20t
CjqIgAPwfsSX589YKFFBcxRPmxlc5Wq2Y5kVLIxK6s5bXq5beH1w+lfk7sIHa+2BFnWKhz/NK7Cd
7gh20bmybAg2hZcXtLV3p5aEex98hmu0zFhQpYTrDDi9/TnSYDSeLpvZun5PzQjOoCm6GmO5MGOu
d/ZEdzXEei+b2F4JB8ThKJlEDOAgWrHREkUdo6x+LzNKdt/sIZhkc1SbDgCY/P9aEUJcmmtGm/Da
4NDc18NhAYJ1ltwK+tZKwLiH9zzYLPHxhc1qQDwHQhsTK3ERcX421+njcnxWMEk8782QAcdlH9HP
vdPd6jYOlasHFaDl8tvl7dxa6OmP4D/y5G4CBy4dJv4j+uV2Nl8VAM1VmXaOzAY/Bic22Dwx3Liw
4ZCQxG+TBllPGXvhVuxDQ55iONrg+orCZs6Fns+2gzspzdbPpkyuRwMEYEYWFhwf1zquA6Soe3nv
tnIJoEMx+MrHHb4M7Jg1yyawFMHm2Piaepvh2mjL2gWc3rOaYNDRSJJ4/1bEODUpfK6x0Yu4UREx
2tK+JaCj0afyx9hoQUmdEOqtkuAuW6Hw5QizMyOysKtL3QDISOaPqFG6QzF2b/WovquUMzSl9LY0
VRnZ2PYH/bO5wgkEPWQ+Fw02F5J4M4jpUDQxHajfghniY66jd7XWbjDbLIEibZ5JghYPr29RdOTO
XRWcwvrSKDwiT1d4vBhz7q4ANsrk4raKNYAXAkZiwRge6oK7krmtZ/D04Ozr1o2aW95SWD5IY3et
kl1Bna93ygOUfwMzXvaxOfy47LibXsRxFqjeWVx27XyVFig2IAKOlEetf/R5CcdJQz0ecbF+lEom
OSWbW3piTLh6MKGRRl1nozSkR4+N9Zqv+YF24CFW/ia3xz/3n2UJm2rWbZ9ZkDrzloR4uHav7MpG
dgrZh7m+y3rVZ0nvOquMR3GrAwLkwh+7wqGs8CdMV8FukjV7vYAsqDm4JtQXR1rczMviJbl2H4+V
p2fqPhr6p7Kx7uwUhE1KX+yg6ehqo2wIZvMTWyqxQK+K6qYIicyXsWDTwI8PqqZFElKMexE/Qgtj
+bzsTJsH9cSSsPrJZrTWEqyezN8J5tuKfYEOALAGUVyBS0Hiupt3yYk1ISLVCwhPDb6u1AAt5vIW
ofOpgY/z8ppkVoTgk0y5qZgF9yTTTaeAmMxFTigxshlcT5bC/35yLRq9CTHUhX+ioX8zaH+dDJY/
Rq8RSwJipUGafFRVJXlvb3XSOYnC/zqGOO+cjUnWNtwqkLmhkaYHDYxd2lhBua/fI4dHaT/z1xaS
GqMRJkoTOPGHqsT3RXL4f+2xyIKNIS0rmkv8kEjVfZLongNNvUaRkfBspaSYvcbzxMBEOYhOz3fZ
LrrGpDleXjGI/KbM2mdrsfublfwxoZ+bgHRliiEXRLhujI+ZnVxbJHmN1lViZjOQnqxEiNq10ddO
v2AlZIkPrGtutPFRqxyAViyJZ2512ABjBc6fYIITYCJh00CN2ClGQpEVxhhim90VZC+daxqvNnmb
13CI7szJraAZNAxBl4SXt1NqXdjPBPlyRxgWqqPCVZMHKzkmDtgnr3QWFMOnhV/CXIwQjjowb1Nw
2fpmODtZurDLnT21A+Mv9TplePZByHoXp4Mfly8VJs9lo0xbddKznRZuxzhOmqTEW9NL1ltzDBqA
8c1xt6YMedWjoTwWuj9nklbwpiNxkDI/EIYu3g0KLSaV1rDZRMmhYuCPRP+wcpTdgCVe3s3Na8gB
FQV4HKD7JZ6+cTHLJdLxZof4MDB2WqAMZFfghbGSN1xbkpCytTA+tkFBggGeGLEFttQxl0mGSCfe
CBBxzIufYN4ePT22UhcT/S+X17bVaEG/TQW1PhigMIcjuEpcgy1SNWEOSD6IYebNdd9Bhcjs4/kw
Zou1GyzjR5+2nTs7Q+0bM6YSm2h9Kq1GxgG8dWEhqKMnDtEWiKgIP0Uve2NGloVhxIIeydB6pLVv
Cukra8Nd0X/jj2Le+QaDu3BnQQN7BPnXiFJm+uhUH834UM/g4gSVhYXOcNApYBqSEVB9/aqwiQId
MNcGhqpEnI4Cwa+0jmAzg9xI95Q6zK2tQz3JJKtldvjfT+5jWx8ykCCisL9AnWV4WqoQZPGMfLvs
NTIr/MScWGmyybQSB6sxC9CEOqAO0p6Iiq7s82U7Xz2C7xrcE4hjLv0geESbJnWv9nw1xdM0PlTq
XUskF9LXw31uQohdidmslHITs/0Z2weN+XGNVvrvVdaL+HqHYxRLBbMOZnsAvhOhD33Xm8rCgdtz
8xAz+qg6g6RyvmkBs6QE1T4+CSn4taFlSZRGaAsMzOuzb8T41yEXK0B9FLK2eFmiAHz+1YekWbr5
nxaA/dIZoRHVbh7dValsKHjLu07tCImrPlfAu00owFmlHxeYcLRf4gItKSJZz9Z+oQHGqdxRa0Gn
TVhPj8StsVAfY/ROr38Vk+5ddt9/ql/nHQA8qVBc4TRRIKkXaaIsxW7UeUQK3lxjruPwXQdbid8G
0fdutwSlq7qvN/rRCM0AU3Or+60E0nk8xj4eeC6esMBofkRBjG73spOlexsIIPw0fERo+KLog6ff
+eIZZryqpULmOpgNaOyfVSjqJHbpAsLusvqG0t/Eyh56A8LU2YM6dnt0gJ4H3fBVjXlWXCN8tbIX
y8ZZNAFm5wy56G+BZUj4TQNokmwdOWhkFVfROlyxVNsZrRkuOJbLKmvvbpkDPxNOJYqk8GhhC+q6
yPPJhp+xbm3eFzvKHbdcId7j1UUByYRs0cjkZQPI+iooh8UuIaPtrrM9HeM2HgM6rJCrz62lBv/0
4ADwpmZj9wIZxOLerEciY3na+r1oJFkQcSLAjojotAg0zyi0Y3sWPHXcKFd9KD8enbS+npX+Z5VK
eRg4oFt0X7RgoPZMcErQkT7/HgukqebY4TmswlIXo57+ZAzX1GK+vS4+aykqTNCAb6cdoIWSr/M1
CJyzIghBoOlnrU+NmEOD58OsBZDQC+bxcZWJ/W4l6mf0C0LU7DFtEFUrDDXXxk8Wrm/lkWCGFVmz
GZAQqgfD/nJU2BjuPluaSG+R9R2GnlVYVBePfK/3ABneLTfx47gHh+vN7IGKxaseMPL5ooF44djs
LtvfOPrn9oXPWmVapIJUH+n6QbmjTzHYhdvXzEeZ/nmJgxWjMW7ltc/6LcgQL5v+ep+fWxYeRVrR
T3OvJagWOCCOzb8lVRP2Mt0T/sHOvfbciBhFonTCYDKWt2roOgyd2+nNY0dnF7nEa6z1bgnYSDdR
SbDfqqCdOpItZBIz1pVH3GPV3XitZnswyHrpr4W60FzQ7yZ/PupX4Bn1jee/2FTOM6dBrkKF6sr5
KW2mDuTrBJsaoWSlo81Xv0ay1HzzNKIxQfEfSMiJ0Dgd4U4ZuY2WWuN+MumvfNXuemVp9uAQCP9i
QX+MiedjBMAXBHAwlhi/1vKgQEVGlvVtvAHgJCc2hDNgJybIaQ3YIMp1RPzRus7sEXA8I2T6sdOC
tfmhK2+X1yXZRFvwfky20UWLYJOmeuWzIrsxx4WAGLZWgtrQR/+yuc3DdrJEwS9KNapmuwaYWTUe
kui+HaE6Kulmy0wILp/QLFntOMWXcj4d4kKtCUOsknC5fa7wzOePAECWxTYDZk9MMplYh0lvFA3Y
+Jua4L51Z2MfFQczfbYVoLNU14jD1rwjhZ9ZGO+WdLm3mh2go/zzK/jHPXny0MpoFnvCr5jZQTVc
PZldVHLs/COZ78rBBDenbyUBldbAN53mxC5PCk7sJgzJZdPB7pI96Zan5/u1SX3oUFx2ls0DATMU
qFTM5H4ZDurWITOrCHYUAs51gnVoFttHEdRL0XR3E66/p2q+0hnHhEkaVl8TG90EdRew2ugxYJJR
uILbNDIXTYftvHWOoBj2C9CYT7Px3artQyy7fzc/5R9zRBQMR4u1rRc9B1wLvDv2r2bW/DhCevOI
UWeXVcxP6rCspgN4pi5v8ta3PDUsBB0rVbtFx1gV5tg6vzWsQ5wyEFCiTB0nkpt2q64DGVrg0IFn
xtiZyCpVDN08VClsOZCZcEc8L5xhdSuz8BdrdM1mDvh/zzrjNteKPTzDXx3J+2p7o09+g5DDQWyo
r4oJv0Gxs+gZdPvTVWlVYO5ba8zyqY3mT0q87uLZWY5NqrO7cma7Hm0oCdbr/9gMTBH+t/iGCDfU
kqIE2Bw/RLWgH9f747DP7B9KH+ZmGBM8ZVD/wSaBTmSWhS8eAsVsBIPAtgngPJdIFr55a2QpivqY
80ji5dZQWmi2y/Cim26FoQMMAfDxQpFcRl8oLSerxTan3518lxs/qRIUMnKIrVgPBhSK0WY8GL9U
5zJlNpS6YTzNMI+DVe8TAB0nWSNuMx23+FwK3qXYLnG/7KJJNSdDFqWPCLEzQNiVrZRczEkFOmuw
XhdMtgCbPX3OTf2GnuwDKPOpp5XGS9QTQxKZNsOiReH+aLxgfkrUQkPDDJcSg2x03pVBZESPEF/c
95jPUqbez6P0gQxlYM5lEBeSbGEzTQcZB96ncFsunHke+fW8nEZDgS5T3twza96ljHwWS+6W/eOq
9b4WJ78cEOiDSHyEbPDYvKNxnAQT0w+dmSNHA0CKvl8OYPzAis6Mb4KJGpAoIAsUnHmxu7aFKBEa
l3N2zEfMyKIyYUKJMppv62oMo1w2qbTl26cWhZypQfd5WVY+JpWtrWsgVevU4j0FMacpVdTe8vBT
W0LCpCk9UGUTbOVIpOmUunbz2kySdGbrrjs1IqRMzFSSTqMwsiD8ZlnrpsDt0mMEcNYYXP5aWw+h
U1OCA9VFPyR1gmGrDqKhXRXQAsDk71Ee+6ixuAu6Ys0gCfnbJgEHgWQvIpFYgsymJs1HPtWmRi0s
ZR7L9cNCMdxr0duIN73Ku1xZJYVP42uhAiUs1OxRHOJ5u1hdL6LBUoBZQDa/S78R0BXiBXtd3xiQ
sLhSgsWLDvR69gko1CCU7q9u9PyG7sJhPqbP0Vv7k0i+8VbMt1FPMnVLR21RhEQqJTOXRENABoul
q9rObRpL87VNZwWtHjiWDR33i5AX1lW5QucWE1nRAwiTwvoYByP1Zw/ybLs4zP1mcj0Zcf+W7/KP
Ctw8p4v8J3af5KJ1g7JB3WG+rbLspbkvl3GCJCuipumnRYNSWdybj12HkW5JNrO1WKCogY1CQwzQ
cGGxrCmRSoB/B6zSd7kR9lWCfFvyft+KNBgTxB2KkiAab0ISqvbzVKXmhILo8KGst3HyktIX699T
x+rQGsOIKaqcnCBEiKDQEFwKXKU4IE76NAzja8YS15lWydHfzHggMcZH6eAheDmdXx49jaJYnRfk
uPTGTAIrv5qqcEEzeLhXzaDWAgOPJOtaG58vx5zNL3ViV4jXyawNyZSsPIaCNTbPDkb7WJdKeNnK
1j10ujohUmdxusYlH8xJbNJ4zLB/caN7CglBT28qO0ybQfPbqpKM723bBRMFOjgW7mTBR8ypao2O
D3qsoFBPS+dqtEHlsCp3kVK5lYZxVuv35ZVuhRLeev4fi4RHvpMjF/VlOhoVejpGHXtOhkE42bTg
ZopzakJwFbzuSGvFMOFgkgnaoFMUJPF9PH1rQEKh7/WqQ8osOdBb98Q/auO818tbJMKyzMbsVo7Y
zUcIupjvU1V7cz75BjTjUgZENCmv1Wk5XN5MiVVxMyE5NufjCKvOfLc2d9lwryevTLnvyJ61XiuT
4ts6CyeLFIlsqEGHXDFgbsqe6uIqAdhrkOFMtjzy1IZw3uqZgS9Nhw2Sd65CXJOAJCHNvKo+Ln0A
Ac3LOyhbknDwltLJl1aFOTv5KKDKXc0BGyRfaesJgPkP3ONwe6DKLcEIOA77tkMi4Q1LUaShpo/x
OyaTrB8pJJdDAPWqp7l28lt77tnqLSxW7iAZAmr6KY+n66QtiqvedKZFckFsrB3XuQ08EZ5YQEMK
P8upaNr0eL6jAnWI4mNnz64zyvr3W6cR43CQbgCaHtOU/3Bznxx4VqysNkYUCaepNa8Vp9Xv49K8
yltt3ufqcFxGffKRw92AsHoBW1a9/sUygXRGu9JBqwlTHedHk9l215TojOGN9eSQ+9rZazJlFG3D
a9EB/2NDCDmQ0F0rinI5lKUzL8/XgPToJReYmiPLPhrnZ7233WS03BTUB7lBPQh/umqluTmIGJYK
fMwYPerV7zbqgZcdfCMLOPtlwnly7LyNOl40ZXFAjdcJTJXaMZbxbm9EdTi3A8VRPp7zBbxkjUUH
tBFelTr7nbPnhL38xSp4joFuKuANupAvdabaRUuHfLikASC8PcQBl9Z3Khnya+tImAZFmguUuYY4
fu4rk57hmOZ4YRjRUVd+tePOKSQvCpkJvpUn50E1lzabZpgYnCcKgqmB+eoiqQ/JbPC/n9ioczY6
xMGrxal/t3mQ13dz8/g3X+TPTnG/OzHBNGfomgnLaIzEbc1vTv09Kr2JyTLlTc86+SLCl081PYkt
zj5YDUfTeMlGSQa09e9DmAlIJiCybVQYz9cBuL8Jp4bnrjiBC+YAkUpe3qnNCIi5T+B7cTAAyxCW
EAO325sxllBbV7Tfz13g1JhTficJJtfN3TyhVihpNm8BilEo/WOTB6zTz5OA+nekFRz5iWrusjNd
zSXv9Y7ertBYeO2uqU8kHYUtpwP5JuBAaOVzfahzk4VlgNCi5oUA5bqwdgrKAZWsub2R8FinNr54
nQpB0J4vq8VsD4qb/lreROmLars5yLZkj5vNuI6uGpinNTw5UDQ7X1MWJbbWzXj4DtDmUV/m1B1d
NNc8EJOEKabA+PCXctWHBbj8LnvN5m4aEAEBtI7XHgSn6SDabQ0GIl6qHUlybObvTiqpMmzmJZgz
+Y8NwUnqKidDFePJDTVcN93Hgf4eXQ8h3SWu9Rj7mqT2uL0kC7kAqqG2LVJglC1Jk4TT1zga8o0f
U3mz9BITIPbFFxEqekBjQ/OQg2j5lMX5F+uzmS15qmC8QknbF0ismJ+mmo+vxCmb/dBE+veiq+gh
SjPl1q6y/piVWhlkhkn2Ua0mhzhj/TuZI/Wjzepor2rxGmaKGaOuZdXGrh7jKJxjfThC/3wk7mpX
63u+9BhtiWfc9+NM1MZVWof55ZINN31awEc6C1yW3aDfdIut3LE2mntXdZZ112pt/KFnWnFjlUPz
EDXdfE2ytL8vFIZJNQtUQsghSjqH6QBZyljVP8H6NoBvnXSR7upI4J6HIU2Rb4zpbT2uqF/MVYxu
UwPdBOZWid057lov3Wtv5WSHjZsekazEB81stQCMCckKuLhD9kkz1w0ani27Tg2D/7IoO4yYxvL1
dqgqdyFJ5le0nsLWMlkISCYt8T8q59CBVPy1FZVp7KlrYgDatjrHyeo4fGiujDSISLGANq5UybXe
qNE+nih00ptO7Tp3wCaGU1kYvgmpyvdZs0plPw5F6g22OdIws8Z0V67Ueiv7BEAWVVWeMyRP39fI
ie5wA5FA0RJjgI4uMQo3hUYC8Y0iJlAoVnPtm7Hq1C/MYTnabW+8DQXTf5E6Ve8nu8iCGmLtqFZE
eln4SlUX38rcmlovpnXxs4rM+ZgZSvmaaeN4qCtthXT8Ut7g/z7cJI4DxfHCNm4iZdF+IZNIDs6s
Zzd6aoJPoMb0tdui2fiNtrr1MFUxGMjpwIzGbYhTTGFUxnGxG5pEP9R61z/kmdGGmEemvZcZxnLE
RPr03R4TNYC1rvLMNKp2E8i3QEKWmsW9AwLn2yJqs8atKU+g6Rw/xRACeKyr1ar9rEmaw1C37XtM
wDDmsj5K3rM6sWZXGzo83lKtoS8ZlJZDjF40x2hQjedqaIzoQKY83Q+5vj5ok1GFZb6YnhIp9oNp
t9Gh15CM7UYCYEjQDm2kgbAXXT9Mt2O6aVd03fxQNOMyunNBo+vJVMq9FSkgq0gb0EDaGLH77KsM
QqERhwxbSWQ+xZrZVT5G8aG+lZH5SY977TttaObFBVV7F4RQ1XNljO2HWaCm7eqV1TsYVk3abyPI
Ap/MwUzBR9AYxm5QSHnlTJjRW4dxBs9vNz3r7aIzMHqy+vc8TnOgAUbzrFspOHkLB1AFt9TruQnK
lCZPRh6BuDI1E1CzojLyrC+6EtbRgBxHrdUCkw3RPL0aLJ4OUVGCaLKaLOtqavToNjZ6HOBaNWec
Iui5JmUzXk1Trr4v0DJ09bwl+OmmE5X+Mtb2bclQUnWhqDgf2ihVEDosli+7tFnZkTAlv1+yFRIx
lCTtIbeTOISoOWj8zDVhqH+b87WCrP4nEP7TS2PT4VA6BYUiCVpQdxUKZFW8tInfsJp9xE6U3CIa
Dr4CvuBPu9TbcCWGguJENSduZzeQY1qXJb5KxxR1A7pY0Q46FuXTjHAdqiBvGcHbT+JDTZs2RDUw
vyFNnT0q0ZLsrcQwcRzyBgfJSvogNqr5qljWMaxBDPBe0k5xyZIMAaiK7f2k2uPMMZmjz9hio+2k
6VCKsQeAHchiO3cjaSeQdlckqMfcnHaNZTHqOSUxVxdUVx0Fu0ra9r6edEWCihgDJspsQIXojsSo
gsFOewOy3nYeWFpePDuZgSJ91c3KihBmssVbO7I2HlW7/HdiVTQGu0jbv7Y1jYLFYM27TaJ+PyZF
Hi6k6N6NWOn3rWnbEDoc+oDZrPENvung+2geHXXVS3ciAFradl4/AE9lX8c97a7AUbMeNHjiy1Aq
kGD699nB6TtFuLmVFjEURLJ84jhoITbUma+a8/r/s8FzsZMUMst1YywapK19d8yGb4w+5dHDZRNb
yffJMv7JnE9MgEgGlCkMJnTQ5QARPbB/j+dBvkEBC4bkmIWvdL6GBfPKi1oifyu1YzoHSpm6aiTL
tXkSKKYcp0aEjzEaxWSrPYyAY/cDAo63617xLH8IJ4xiec2Hur+8a5vJ/alB4cvkhenEOl/V5GkI
Qffr/n68Au7q3thBRF69luWiWzkVhJZU1QKFDaHiHIvqKHpLeyRuSwk8yXTvKA+DeRNDqFBGNyuz
JDyOWwSPpIJQtbeoO5LsY+a4xHpY810t05PZfJWht0YI2jCgplCFTcyK0rTGEqaih+zO1jDU7Y7H
3kv1wPgZSR7LW5nviS3Rz3Wtidoqg61R8x1yu5JwnP7mKGGGFN0zlBqh93Xu6Wy29EKL0FzvmxuT
1m5fStawWUj6Y0CkkiuqvrachJd4xpdqCq3kqo52lkyHenOngJjCFBM0sPBpzpdhq2nVdgN/4Nm7
Cfwabe5msmrdFsfH2RtBPzdikGJmU443AnhBrwGQfOsPd1MAZQNrl91bvu0lhTu99UfLpbvmd+Xh
unghmrufUL4LJGeZv0fE4HH6XhFemEmqLLnhRBmIqh/XNFSBadLsd52CfHw/4XwpjZsvIRnDy3a3
Ii/k+eApnALzy8OWQb+y1jgkVel2LQicCiZT4OYO92VhJxaEoxwPjR5TDkilw/K90X4WwFJSNXIt
A33V9ActinvSz5J7cfNUE9XUAenF6L8m1lq6rDM6Lfvn0+qgmwOdk1vtnQG6evFd+nl5D6XGhMDf
dnY2zAqM5VwDOz2YYzjghnHMME32c/otIj+z9rfEKHdOcV9PVygcdNCboMUEQggvSV1jz36WRzQv
PPJD9bNg3lUvEnN8DV/N4eEBnnXgRcU6BFHbNo4UDl96YJBULA6fqRff9C4ma6Czdx+F3QGtLuc2
vpP1RLccCODC/1gWdpeyNYkhBIzKdRE2h+J3fK3+YK/ZzpYUS/9hcr60RGFHK5qnmO6HIQKtvaf6
NVx3KRSBMR7jWj/LG/MRIrYeu+XECbfsRaZ/slmxgPAemKZAWQNInVCx6GyF6aTBB72pH/s7556A
Y3fXogINhaLYy77X98vVdLCoL2MZ2qxunVoW4qBJk5om3JX6N8d075AiazvLN2y3/uEkUORjbup3
V+knxB0qT6ZhtdXRByHan3ULkS9VDAWXPay3rxPeZ/s7zXaL18lvjsouDWWzP1uZBWd1wRAW8AOo
qMHPT1LNtEsK3eJY9Tq6TUHRaIV9s5u6m0jWwNy6wU4NCXFvXNhCRw4hV9jzwN6M+DCo3uVDuRW8
T00Il2TWwl1THlpX+wCyhl2sGX+RNwPMga4l5zXCbPH5btUUFTydg23BuDMtEOgNqCkpF2/mE//F
2XX1yI0z218kQBIVXxU6TPf05GC/CB57RzmLVPj198gX37qbQzThfVksYGCqSRWLxapT5/xpmfET
GFpf9qrG0JhSFuc4OsXNkOaBVqc+yfTg+n6JTEEGDMySgDmA1of79nWzOEk8AjuSJJjsBZjImr2i
DjUp54woNp8b4r69qmSdUQ6roX5ojqjb5TcV6kahPfT9vd1BDLdjFAw0FjSQVa0PrMXcFFZKfGqk
sqtQ5PDoxq0SqRYgWTx/fTGQpV50PBLsfKPqGMJKHmP1MGAafdIkhWSRP56b4uJI1egt4jhMrQM7
KXkYExmWSWwBQ5RANUPFmb+FSFGUIL1CAj3026Y+ESbJnoUegg71//4+f9dUrqN1E/5+W/3KaBbE
oHipXDskaSPxRdGwHNoJyLgAEwFKhZ8JhSMCs9HBlMOsAFM7SBSUjRlDuRNlwWGxgeW2PT1Owziv
jxhIOs3OuF96iuIj8zIop5JFBf2Nu6PaiUYuaouSvRDdu+c/kHPigdV0oeteUOXNse4T6wbS7Unt
t8NN2+yIDGEp3Pqz/eCCGcq6uIdSNCFyAD56zF5bzQxFpl2MGtz1MCCKzOcLW3/J2RVQQQpPKWYs
LMNEBHkZlJOqhtdNCP30j0op76ejUploIwFQmOlH8Euh6S5FN4n3618hVIdz1dmqDdSZsV8U0yV+
Uvr0VG3i0A7bwLqjeyWoPtNn+uRIwrWw6HAmwMpfCWyxwTu0fifQv6Sn4V6HIiSUE3+pRz1QoF/e
+DL2QGEE+7OZLgfcSKvCrQHPBOQvVcFE/Nzbm6p4L/qjUspGy4Sp0NnqeBhjNELlIHHhG8V+OZID
CVAGPbl+E6b7/qf6U/fs47zDYLnzKCO3k7iMywXPCNPHY6vDZZK02dVZCp6iYnfdK8WO/6/L8LlP
T/R5yiJspGvRLXTjUCCuvMIuJM4v+15c4GhZ3oH8EHs4TwrALZ5dMa/NA4M9jVkRXF+SYBSHmCvm
1ADoZu3ec1kzFF57hS4KxteAEu5Gdaeo7sZWIfBkmhuFkpclHcFtA5Un/Zk1saTP+PWjwbqLcST8
Aqj98fM3FUglFoiLYoQv/hgTx9N7GdvT12NOoBbxm+cWsBpcP5fBqmDx1BIW4ZqIQiPZt9phQnW7
epds43qGLt8+l2Y474NDKKqCboOvvjZ6GL+QD/QrAtAfGjFQA9eNfXXDS1tcGjZViQYcBGwxe99N
yBTaO9eR+KCgp70aWbN8UCCgub3+iLMg33dLunQ9mI8rc9rkkPjz4tjVfHvQ5u3g5sDRAxIdFDWG
BqZsmE6Q10RCpo3mTV/SBzYss+QXfT0V+EEoSKCDvNKg8ig7kkajgQ5W4Xf6J1hyvdI5RapyT90R
PLzTfzkWOA+A24EnTId/Xi6fsB6U7StRVqNFGOosAfRASyhM2rr9xlIr22Bm/G6IF/sEXPpt5ig2
htdyyekQ+a4BkhtwX1j4FPxVMRbofaUTZH8K6qIts0+b75nzbtmb6/4k2llQ7RuALq/fnOeqG+uO
UCgQFr7hjKE+FXgj50HSG15BvsWTIXl0ibz33Bp3UhamsyzrYG1YgMTW9bCw79tJUov47Z5fziP4
csFNAZIKjZ9yjEwnmViEjs7UWOOAHLEkqh9bpfFMtTnbpnTqf0D0tUoOEHZBaEizHJglDY+MvW1n
3fNEclQQB8U2fjgsJgHwugsF00yZ36jtXCVhvihoRfeD1T93iQYokpOj5ddXwxzGi1W+6NYAmoih
1p7VwVA+o662dwU11RczitpdMcxlkCXGckxSowQxcRQlXozW4z2Nu0mmXiLeckxbQA5o1QbgzrKe
5FNsuyk2oxx/jpM13Ts2e6mzoZYlN2s05bd9HUvDcBqYsgH0uTw2GeQUunHlKKujEXiLj36GysFh
cb14Aj9yqNs3DBrbjQx9/DXVRlRwCSrdmBGGLDP3zHaMwY6sEj5lDS8LfZqamzhDzu/lyova7TQZ
Y5Og5AIRMIAE1jEeCCby6SmtaVNC0QQnZnhBDjURX82DKA2H3LOzd1L4MaxaJ0fG0CG6Ls/tcjlr
pqPOMzpYp9MP29SeduMs0/IUBYOVKQqbCfbeL4yS3TAOegEIhx9nu6bft+NubstVD7G2lr9+R2AX
z0xxkSCvYyiQgGzHd2JMdcfWzjELTy2L/xDezs1woTzOoBnbJTATaYbXTPdT/u6WtR/NvxLgAq6H
0vUD8P4PXQcMw7pg9DIs7qStnKd9NQ44aVBpcx/dzPVc86GLnqgKciQZ3aku8gcLJEWYIibADPNV
eq1VWNuR9ZKGps6geW7zpC/4cqHSPvTRK1TtFeOWxj/m2i+dHck/++aU2A34a7cOO6jGr05pvbJ5
KpZdZQVpJet1iZzp/Pdx/mq1PcnNGFEY4LtM9RhKofYD6T+GVHJTCmrPBEhMqH2tnF0asNOXgYd0
Tq8lJnai0xNIamyLGZyuXpt03pA/tNYcJBrx8qEKi7rzaPG9IWi7+UX70yQ3+fRaOQBTTJgCf5hi
yX0nzKTOfxrn5lRvCMiusQlteUATHZsfYmCtywLiPmflxsoClu9qcBvEZVDJ1BdFDomw6II4EcNe
Fj+mnE/rlCCrcMZ0yLnr9n1l/hxA6J5r2AaHbCaZ2rnwQbHW31fuLCyb98mMWcZIbRw3Ooeu80Di
oKJvlf2csB/UfUjBhoukuI8lB094xZkQjIfGCQEYkTt4Y6HPJkbEC39MgAzWVtaG/M7qDEleITJj
oZwLQKSJFjH/XmlbMOmB3rDwF2COQcjpRYY/ytitRbfZuZE1LTxLvfO+cSuQQWAt2rdh8Mxha5cb
kjyP5q6M7nQZ674oyzw3tx7iM3NtO5txOsOcZWa+Y3kGOU2QHXVlLzFRMMDEARh6LNCJYlDm0g6d
FZzgGpcXyRkkY/fd8pgAVG9oPwrZq1bg9cg+MBy/1t4xt8l5A7ShszI1YCrNnqy4g6IxGiP1XYw5
EeID7XM96Au+14U17nuNmR4XygRrmGpc2tob3QSSWWh66V5pfAcgCzoKf+/uFya5b5ZBi7syGUzq
HQnVgQZjfavKHEPwwS6McNF7GbMs6tZMPR5Lry1uwGKNbfUAyWWt5Fzpwi+20kdAjwYDxLy4U1ll
RmHM6x4WT+m0H1EZqwjkTgMzDo3qOc0MP2G/+upXah0jMJGRLhgNyyPqxgFmNd0P8aaLikCjIaQi
/amgmBLaIEHLQeKR3I3u3+cUmEL483O5rcF1Qys9xd/v0NFzoYihdVu7/RgVJ7R/XfcuQUltnXj4
Y4tLbjsH8pPLmvRF7UdtBr3yloJj0x28PNmrc9ilm4YcXS3U6/sBNeYZFG36o2u+F2WybWQ3uug2
O/s1Os+RA5KFaFRV/BoX24xWbwyuKt/MVa9neyBYvWh8p920Nc37qgzGSTYGJwhWMI/hZYvgksEc
4GUQAcqR9NOa6Uft/eQ+6wvmeuubKZHkE4I4f26Gl0VWlkhx+xRmqv497cYgbnZVW/2XQ/xnLXxn
yTSUZIJWBrZS+d4DQEnT0JK1OEWxaRX7WCUDbXQguUCh0WksUJBFVdT6KKL9UoDPZt/ZgFnkh7p+
m16vO6to30DPgicgakZQ6eI+jzqokK6KZ5y7OVScnek8LbKMRmKC/zSNPoJCt4GJrr0t4m+tFSqV
5HSLTViuDu4c1Jr4UhNwxstAlBHXx7KbjTc1O3YyoVShCQL1NRUlSTAAcd8lYbrWLTZWwaYnCHzN
+RFU3te/hQBWA7rUMxtckJpNDEVg/gX+1b0v3w2wpUK32fxHT79T9lDgWjRpKbEpXhaejUCb4EHO
Vw3bZqBGDXUO3+z2cfyZogRCflxfluimAIfxvybWCHGWrkSa6pQgUQVWNwpHZYc3jRlk1WlxQ72X
lDNkq+E+kjvHRWJQmHLBShlruzH9DuWv68sRXbLny+E+Uk7nsddU2GjT2UsLz7BfZ6f0XO1AZKzD
oth5boo7nJrddpHWwNRY/9SUm6L/bCa8u7fXFyQqjiD11/RV+QtJMv8GXrIRIzOY0PZnZHcYCcNs
j+ZFlB3s1vIjvcPDuDnZDtnOZnSb2PFD0kpmEUVB7/wXcC7SQFoJsvb4BcTZs/kfiz3rBLznN238
UTubVJWteM1cuVc/6HTQRgFJ3UqDQi5dkrlLMo2aiSdPh3mbxCvSF7sOi+hmMhZvct8IKsgDnuKS
++N3NP1iF/reOOPAkUCm69KuXSpzF9UWKPq9/pX+KEPyQYLkVw01CS/dg7Qs/pV49dtw6xxmiW3B
0YCsH8ToQCSHMTT+7sq7oY0AxPgdIh0nKIctm8LrjiT4itCrXGdJMfPuOjywuCntZmpTBe+SNvUH
Z2Op24R44Gz2zDRAkpfJqpeC83Fu8Hc8PYsslo4hiGaK4DZG5hWYCFrS/UKPGZEA3UV7d7aw3y/o
MztMjWPHKF28ycFP6dgoAU9e/x+Si4vF6JxvNNSsKqTEfgKNUTfyifs2yqYCBLHLhh6V66x6CfCE
9d/PFpJbylKSHP4HEtpjX1NMk2aHYUzDepVFZplk3wSR/8IcFypTBaUuRYXPFfqvvEX3XNe8QglB
DelgL2VQGZk1Llp2JkWiU8GabgVd9gPSQp7R7aY8MPWHnH5e93XB+8dAlxJRD3ktXkB8v8I2C7cd
BsBDD2CE37INRri28023R2Nh7/rKS+obd/ERmqcn5TsUIsJmmx0DBByvD2NJ7+ure17+FG6bVTWy
KmoDT2j3LYpioFxhXlVvri/461mDEUyvgjMQ1IuArVy6jrmU6DpPKxwWfOoGDVoMbpX2o63sr9v5
GkRghwAfBLpyCzx9nItmS1yrTQo7mvaZA4eEQef2TQdBCcOQiT36iSl5OZD1YF0G5UuL3Pah/gsa
7QgWyd13gPDe+/Ap26dbGj7/dL3lPX38WfZh6vc+OAuaAVPQ6bHxipv6Kd4sIQlRodvKmrlfz+nl
T+JcuVDHWgOrHDY7Crtqx9ybfviGiVTpWLmg+HduCZMul58VHNHNWK1ubHaDsbfAvrJDayvd2EMU
32okyzapC6BlU3b1LyOx4sdEc5KtRd38+fp3F5ADX/4SzsHUWYvHceUyH/0OJZkw8d1w+ChU734O
MFIapDg6B2VnSw6PcKvBgrZypKDSxdcho87tSKmmANi1tz3Ab4X+4NjfJjNoO0k0FHr2maX1hJ0F
39LM1K6yYSkfm8BFZt9amBMGmTlmkMc3ZjwYMqpj4Zk9s8idJceIIHxPYBEzJfUYLroN9ay7qPkP
zXd8O5SQ0bjFKx8J1eXSjCmpwIYGQ6rtp5Zvar3HWOyh0NrRz8h4VNPnyT1BhO+6z4i/3b9meRYo
8KJlsQVqXJ9oAZSGPBBAWW5YuaEq450Vhtg/C+RBN1rcWX1Zw5JihGZxOy732vx+fTGC19/FJhpc
AqApSmPTFY3fm8zT6rBE43VYesyqpxDhemGZp8x7pkq8UrYyLhVWU1tls4aVMX0JFKgYTdP3aEn/
Ovu8XJtx6SCRW5VmszpISg5J9kRByZnLWJ2E3o5rAwMwDurVBuftTVfW0eLCRmt61ZJ5DvStqOYl
qIJe/1JCtzszxF0YuVsNkbYe5AmtK0P5Gbe3LgmXzmtlw0qCkAEKTLxTbF0DT6/NfRwlooULWnYk
7WNoVncsDQb7idUnwFnyOrBLSVFX4AvWShgOljqy9uW4HcwSEjMnT1FEy462dl+Y7+XfZ6Doep6Z
4PYODMpWNs7oreXV/aDfd+ylrf1lvtOp5FoXtFovLXExaWpRxqlXDEX3nv8w/A7AP4+9xv64iY/k
5LWjb3jJjxvkwHf9Dcm8z0/1u4xm8zddKZdboMmLsIi8CRgavrwyOyiMThQYKE3zCPXAQ3EDfo3C
y1/rbXGoEn+5mT6nfqNLzpvARS/scndNS9FctRnsOtF9oT5lre84vkHAUzvvrh8GUdi6MMU5DYR0
HLuxsM9O8Tko7xYIHP26mb2e3mrtq5bdxhGVrE5w0i9Mck5UKIZRORlWh77NqL0v6rZzj5UMo7L+
lWvfjnMgNuf9MjtYmKv9mtkP0AZE7mObPBbpLtIlJ0+4IrDmrwXMtVnJHXSVjn0CygTgU1CRZ2i2
pj04II5ExpgvPOFndrg4nI9MJ/kAO/Fyp5tB1DwzWe66/gl+2+DwiCBrf9/kE/hqcJJajzBtEemQ
llI/iayeLDaA4U0H/EDQR+O+C3FQLbIX6Khj+gd0qPrTYsrUMIQmUEZeETWQaOIn0/JEM0cseo1S
v+rm0QLB8vVTI/rea536fwb0y/swGTR9WqoSZdfyQcU9ped3dvGYyFijRJ/73AznVl3WMmQtWEfS
75fq1W69LJKcf1GkOTfBeVQS93Ey5ViJU78q6TcXJKBgKsnBbl7IGMSFX2Vl2wM9NMZ6eDZJJzdG
rVcBVDDTozE0fl+2ks8is8AtJkfiWtcrGg7MDwR1wUY2+yX8IGdLWP/97A3QDQ26WC7QHQpIiY1n
Mk9+JuMlF9oAcHBVy0V3jS/nxtFStfkEZEU93SlK4NRHUn5ed19RXgJAxb8mVvc+W0bRgTvLaGCi
mU9gpKHgVAOWuLltFTBNtWC0kQm3imKxDv5jMGi56Bbx9yhAKxj8J+i8JfOmtfpAB2VTMQeKdUR8
biGvd319Qqc+M8etb8Bgjj2uPVOnO47aLrVfbRLM3a6RaaOJv9WfdXGX58iclqULDNHpu5VtW/Qr
ZOx0wrUAAbNq3q4INy5cOq1bQpUTnW/SPI/NS5rsjRgw8Kcsk2RcEkM83Sg0QmhZtgj86rxj5TNe
MEXjM6Brrb8mkkQq9WdFPCN2rDsAtQPv7VvJm1LUHgSvwfApcQFhhHbRFAMdJmQ+eY9TIf2XpWx1
ceIZ6PV2TqBSiKFL3hLCiHNmhvM0bcgyLYlhRlcfFOW9VYLrnixMzzANgE/srMwpv+EBZ0e1zqys
ilaAY7uAMUdJDk6WByTVd1oyHtTxNFUVMLB61XqV20taZQLsgQGEOhp8oCFCaYBvmmYgQbOdYUEo
OmmHcosWQKAqHhBSWzJ5UYhH2iQxKZgyvDTJ5YaIFLTNepjUt9U+fXyu9nHvaW+u3wbNJypJ2+Sk
PWjfia8EneIpv65vt8hrCNIecB6jlYaCwWVgHEjpQjoLh21y7uq88MxsNyqA8u2vmxGFDeBH1/wB
lXpoeFyaSQaoAPUOTkCtbfXoHzbfzbasHyEqDeI19q8RnvcEjFm0LW0YoZhwqyE14dxG4O60t67p
awBOVY+Zu+1lLLGiA3FulSsDxjMBOmq12leHFFzCjfF2fe+En8jGQcDZVl3gfi/3rtPZ0iwNDsQw
KRb1DTvrtwSq4KANt3MLaiRUdUvJKRSFRgDdAXDDGVjT1kubmPQESZo14SkB3I09nDB4wJxnIN1Z
JKONFbnGb5w7GscaoHTrv5+ddyt35pSUIwCP0G/PmxFcdUgv9dfrmyiygjne/20iX3kD8qvPnXUT
2/pHae9b5xulm+smxJHrzAbnCe3IorZZYEOz9lBa8cbOBAj3vhjuF7Qg+iiA2J6qh9etrl+Cf70Q
lI+ARMQo2xfG8oksUK+zYBQSRNXsYcAmY17fKK0PfjVna466HjSgNL9VhghV+bnUttd/gNBVEKrR
iwcXM8B1l9+vKBSH0AI/wEBuWJCwRRSJoPeiFK96JcndhUdhbYGjhYU2Fq9LpJaEMtelKC91abBk
VQjKt9YDXwQSX9OWXKhClzkztv6YM8dc6qqIphZgBrW5B1XlML7kMtZa4d65Kw8UENTozXHHTIkT
u4BMGTymrbZtrni28wOVAgxDgJM8MSULErrKH2v8lG5rtQPQs1jQnBpPifNt6d5jd3lAC+WgVg6S
H4zcgTzpunuI77czq9yp6CqnNYplPd93auLHjxXz13rSyQ2XU+qn+/jZ3Tpg2QrGIAmjU72XPV2F
AfrsB+iX37GIW0WPNfyAEjMMax7OZGV9AUwCd/iZCe4WtRW1VKYMOztttI35lDwnScAC46bdNgdI
VS+Jb9/48Tf1vfMwAiuJO2InAucPRhbx3OBL/WXZgDkxgXEj+yTQzV1Gj4Aep3oxZVNeMkvcTqI3
PiX9eiKoihnMHiJfPkkfGAN44tt1ryFf30/IwpDF2ng8A2vPyyp1cQbmzUpdX+lKHyg0zm8Ss1bB
FOWm2aseqcs3xy3cfUrouMuMOQ86Ooyj16zz2fGwRF675Mlb1TXqfRXpWRSo42AWO8xWUwB2oQV8
U00ELNH1bJHA1pPmF81YPAa6Uk6/oC9h/JNEAL72xgQJyjG19A+bdea+AjnJYY4dOvlRDHw5dTvt
uRnU/FvUt3DmLuk3bZn25VGpqHubq6yWvFpEO4PauonBqRVvye9MTFUDE25W4duzkm4Va9FDq3X3
TdN1e0JqcJZCTMWba4NJmGYEyTHuT0ggQYgX+IEvEzBp2WAIynaRqT7QV9cDGEj3kkDdLzf1poZI
wnMvCfdfT+6lQc7fzHqd7LZg0O0fAPzwbEtyeX69Ty4NcOd2MOLBUeBHPgpzmB6qQeEWgcEgMyTp
1NerBHYwOrTCWPA/PGhVaVlLUy0uMfzQhpTmpwq1dco6yVtCUL3HqcE1sj5fkLjxmKnGiDLXqAET
y6g/hs2m2qGWkvnNAVTOOijyEBGqrfYUv10/raJtPDfLfaciGzQjaWBW628W5ivk11zfFpEs/Aj4
t8ATh/mO31kpHs3cVQJYPxvaxIA/sK6CJmOSsFsc8/EzpUq/Uw2KwqSVN9OHUxng2phGPIUh3dWE
EY2Umxr12fsir1GsHgAreulSI79vC4V+NK7y91wRmHMGcTr+Y601oDWUniUPVcmgHZGP4PxwxiBV
EJ4myUP8azBexwCBOQEjJoZQ+Lx5TEBtyzr4lD77HbD5VcioDpQX8zqNSGwJPvDK/gV2Im2dvOVf
iUw1moJFAMqBHpdV37vpbqjDTDaMLvq+F2bWeHC2aWwc2ymbgSibt9CGLzzdrx/tQ3EX3eOG+USj
IU89fYO2ctBKmsr66qKXaTR2E+ARlM5RrHNMzrUMNBmiPMcKtSfzybgBV3mYfRgPH+YJsADm53un
8uhuLj1kLEB67jJwXnrXT5Eg2l38BO4U5Sa0uZ153eTqm+XcZrJhWMH7+HKNXLTL1JSBfhsGzJ8k
9YbI+3+NhFT31CSkH5YE2ywYK7m0x33OJC0SliXw0GRPb2vLq4LouGwN6i03lac9KNv5jXqZ/0qe
ZemDgALn0vQakM88SVEKUhg6ltq9Z3uUVZyAvRkeJqe01ZH84THf/P1ddfH11iN0ZjGZ2cKKdA3x
U+WpShhPleQQyvyDCymZmllDua6p0vO9xbJd3UjWID7mfw7BmnqcraFtwOy8zFhDW8Ubl6BhMb1Z
gzfIGpVCO+gkg/YTBX9keZd2TKY1CSthp9QeFrCwx86PgZyg6C7ZMcG1C2HiP3Y4BwTJRD+7GoiX
YuV+Zrf9+KZQSaIqPlRnNjhPy61I7ycGG0v8mEU52HzDys68eIRU763ePaTVXnV/zP8hc7lYGudu
FkCPSuqswcLwqdn7DQqIbXRLZJ9KtoW80yX1PLgUy4Mkl9ncdTE48/PgeuCT2eDcbq6XqNShGQEO
rsfF2dUjSPYSSXAVRwRXR29ftdAo4ZHs1NHT2OixYa0bY8cCF03x2euKyrfVlxmFk/S1K576qPIi
rcb89rMiSwIF9SEEJde1wLcCeTPIiV66fd23Zc9quD1tN8R+YOWm0uLN1PpR6XqqOwJcdyxkMFhR
TgjWpZUrAF6KCg33BQczsbo5RY7bBVMQ7ZuPpfTy1nN9DJzcmX5zqz6CBEpGnid6LFyY5T5qppAM
uwDYtLW1N2w3bWLP6w6TT9/bp/YgY4YVRZTzRXKFFNvKl7nTbBSGyl1j3KLr4fRBJ1M1Xn8znySc
WbE47Gnnlg4a4bBidu9VExjLrcNA+twjTkIm5P36qRCmJOfWuJREU9ppaXVY6714OwXQhfZBf35C
CpR55RbZtf4eB02QPD6Rm84vsmDsfGDurv8K4SV+/iu4rKSeaANBErjPArCxl98uu95PntzwH33f
byKv2zYQAzgcJklcFcUEnFbNAA3gCqrmvHZptLx2VKSCRRd0HTgWbN9WHiVrWw/c1+/5xwjno+Oi
gVJnxtqGDQvMHT2VvvKjPEKjxWPbcYc6tMTg+smuGeTclHaaq/caDOpbrdhE2+k5fqjfpwUVY0/1
ZPMFwj1ElRQknOikgTHzMt6MqAG47ZrvpRWS5+OA1o7sxSk2gRcBGLNQqLG5BdVjl43phJBmQG8A
ILkpjzGmK7nGRYmPS/414nDHbnISO1ugugvC/OeoUsBbKuMvlCyD5/YY8YabsxI3kNJirkk7WvQm
kn2N1WO/fHsDZMAWZtdWHc/Lr1HONu6lMcMqtKM6BZR9Y/aG5Pt5fJV4mXA1kO1aJ+NUAsaKS0uU
ZHY8Rzg71J9+DggRpWdvEPI9/QnjRn7zMPm95P0kvF5BAfKvTe4oOZU+MCuGr00b4xOKz6ETLNv6
WJzaPQjdN+Ze9slWz/q6nX8Mcp5XmENn2QwG1W38WL6kx3w/hY2vSmKEMOT/WRc/C2w2aWKNHcyw
jb2hoOPamFgO+3b9k8mscCc1qxLA3tt1934uQfwQHYFEg+jP/roVyZb9vnDO0nsokURDMcJKdoy2
tZ+89QELMTkhgQYK85wzX+DzHKoZQ5xNsGM8aLj6h0MXoiD5DuW9h+sLkjj6b0Tt2YIwHlCiiQ9D
lrpboiDu9pH+ct2EKL9f21oYNoWaKaj1OT+j9cDUYdXc1opvjXKDom9QQ7HMeozsjeNuc/3TVje1
LUGMCPIZWAXhEOKFZmNM/PIImwmNrJVK2Y8wtK2DajeNIG0E/n7ZuRXcSGtOCGEJUG5jxI7zPK2g
RQ812NLvLRrWpPUi561W38d68uxIC6EyDNkphW57yNXFS/5xfXcFkf3Cun65TJbnquKksF5jQLFy
TpqsriPcRwtVHcRClIr5wF7YrB/AWI7lIb3Olc9pelSS20SW2gscEQb+mOHWMSRkSDsXZkh8BC8c
S3ZmtPkPW3Vmgns8LDr0mKEaVwLDvwRjr3pN/HzdgmwR68c6O01Kh5kRsu4V+i6QqvtMGHAvjWRw
WvQusFaeKABBMKT9pbEDFEiuAKpU+lkMrjRo74FC0auIV1UnlHRhD5NMmCFp6peJvkR/T3yEefEz
66u/nK0RHIssU1Q4XMmybe/aTyprDysUJSZW2PVFkEFhpXJkosuCu//CLHcjp0UWo66KRS/ksY+O
hXk7ad9I9538vYI2SsI24BSGAcHfL9i5sh8BNlTtzE+hkOnltD2VluIVaiKJT1+vEnASugDoreo/
X6lSzYG2QzVbUOuqegxX3jbT09jO/kj2Kua0MWE4SppPX50TlHerLRCN4RTwnfKpKS0onNlgfQYU
VXvJk0el//a3/n9hgm+PmxQac1ENE41Jt53xTqgV9HNw3YggUVqtuJDGdZDTgnTn0gMjzR1Q/ALt
66J55afT+OWn6zWHnkAq27O/K7fWUx7Uu+tWv8bZS6Oc288Y1BrHCUZbewytrA9GWY4ueK3CBIBd
cAnNwUAAd5Gso8VJ2oIFuQ2rZ0wX++UmA6DNPRb73vJqv9oR4Lm3jf8wei4GkN2jub++yK+x/vIX
cEG4NBSrUlP8Apt5jbI39ZARQGHY61+bAY/02sVzkMsjmFx+QByvkrk0xQLpi+keyAQu62cqE4MX
QAocMCODhMTUwauj/X6Xn0UqtdfdtixK1Bq88jF/1ZgXh5nmQ9TYS2/SbRQUHoHmzC0L4035BKLY
66vUBAfuwj6X97TFovcuUhCf3iwbLSg2xjftNGPup3hxbn/Z2x+/JAa/PsYvFsxn2lRdujJzYDD6
bgI7pfr5KzuAcDI0bylgFZ+ZN8rW+DUso1Hq/gYzI2hC0OfyU2bqrHTmBI/pAuUpu29P7CmzA+to
ASPiLVv3u+bnQQtmA1P6rhA4K0qRK1bRxLwrMKeXpk1lhuhlFMOLiqjwoDv+WKj0NC5Kv9fUSJGc
f9FCz61x5z+3zWyBiM+qCACZNqP5MVXFsx5/cxZ9Nw+f17+kwHMw7OCAthZ5K2ZR+F2FoG3UtviQ
bh37k/pjmqlnNU/XjQgiGujkEWlA/olRQ777OWnTUENLFS8mC20GDzm6/YAU0JF4pcgMKC1xpwKd
iE4r/5lSp8zslacJxOtBioRFSgIhuEl/D9qBYgUsq1/eF3PillrLAJ+zo02+vCfd6GXpvsErQ9uA
HxLt1lLm9qrgqCFSo29sIYRhapKL1cmilG4SY6iDNE6/eKoRzX4ZqdH9RGz4h52gt+AlZmP4tsNo
4I4Q+Gg1B6UXNAPA56qgDdX7xqigB5ou/bgfR8V4LaMeWXyqsmaXNSRfAkaQiKilNSRbOhYYeWZI
So59N9IjsAvdqdXmmB4aOzXurcVCxF7mZaMPc3Kw9FL9rs+1c5hSp99TOHCKicQSOY2xGFrrW+jV
Ynw1dq3PUq0niOQ68wcE+syHuo/Kp0Tp87cmd+jBcPNpY8LGQ+PE1qGpKj0JysllN0ZhWe+sTdqt
nq/6vqWZVkvQs1a5rVOHBYta9LE/dyr7sULrMfIYawCnWQsynm60y/ux6oblAILwMbp3FZXcZZPr
MH8EgnfwQKFf720zmV8b2iUbO2WA5NfaoAeABVhbiEJhZDlyMHcYxHTORm/RE+Wu0Cv1PW+X6KEe
+jTyI9ts9yVTssAoO8266bOKemjQJdWhavL6Bp8R4s7Ezed/9FavS2C/8vI5BSEsGgqY3NtUfZ9+
9kNb6BvF7iqUxW2bQpCkjel7nGXth24vzSdLnOwDI+Mk7GJqYMC/KsjRSHq0GQdIQkv8TxQfwOqD
Jsg664N++2XoS90U/pMD2oWdDHT71QWSLDGD6/FBaARgGKSKsIWZiEsjhl2kzQi2Z19xHli/KWhg
EokJQQhHYfWPCf3ShFtW2JwMQKx++p6bVpDRJuiqEfAXGYZSthguoqo1rZtRwWL6ead1Nz2S7b8f
EXcclCVxI9kYdsbYxeViUjbrDLk37qMcQuJmvSm31lOCCQwjkgGGvxa70JOFkCXuP7CygMOCMwUz
idJiZk0vF98AFb2uDNslU7cpRuQiVv6TKbLCu2C2GjaRTIE1HjBNrPDSJivbNokHXBfKEzo21fG9
9u3Fg0L883N8YofUt57MUw5hHnpffiShg+xVjz3ZiI7oNkEHcOVXdwGu53uQZvR/pH1Xc9w8sOwv
QhUJEgT5yrBBWiXLSn5hSbLNTDCnX3+aqnM/72J5l2WfKqv8tkOkwWCmpzvgep7B12vJxoDeUDus
hm1Lm/LYhHTTa70/CLOBCcvfsNamN6PzgcIqdKrurdzVHsp9dAAIdb+WJ10bmnSoizzlAsTu6HEF
sS+0m+w+Xwnv1yzM2+ooIG5GtdXHr4sS7rWObgf6cNllLKQmgKAHK70JRjBgHOVUX4Nnm4C6AkJu
QckP3nH+lkMErHJKEzr2tgUU/wZSMgEuoczooN0Q+iCbbhKa/YR6FCQfmqi+LqK+K1c8zdLQj6MQ
6fynAaTsAx1RSN8+EbwEjHAFOLi0a44NzB9wNLdm1SSClmj3KHv6nFBg0UH3wsbiKqcrlhYi0RM/
IznNQShZMhIUNf0i2oEoNE9RHGjcRrkJw78Pek9MSbM2qDzoEh8VaDH4bmNELkD8qXiGTqqbkzU5
7CWnhkYZNAKBzAMUGJKxMhBdW1vwn33hRDV4l0JwvO1A1WMzcA3HazfC0oIdm5MWrFYTfcwJzI0Z
YFydOyq//c7u0ueVI7E0LBNlJAAHkHdhMmlYZ7Eq7GdCx9ZrPb6zHn8BHPQJ11kBRABV262y66+t
XfHaW+5ahWfp1kOMj6wtJDDOQbNGO7QsZbAdoj8b0G4TAEB1Et7lIa5YkZ+dYx4oRjTiZoihOGmG
94b+zVjrDFparaORyLmRbKqmMvniLC2Yse21pALyQ72ZwG0PvJAfP14e0po56YxFI3jJ6xQTp2mf
Kf/MEegX/mCH8ctlO0s5ArTi/LdCcqEnLjNTJV/tOO/WdwWpRns6IGeGS+DAPSAVOtu8BRvmx4rZ
ud57WvpDVw6uT1zngL2isefUW1VwIZXfqqjJ4SbImGOxby19VEdkcSM3FJtmXIesLR4E4KrZnCig
VCbgtEJ0nwZCx5yKvADaCuIObQtaoCLz1Oq2A3qIWCtA/yVXaaFtGENUZoksaZgI6HuN9xQxS6+3
HtHuWdL6thnlyr4wy1e00q2BpBYtoow/Y6QgZCbzFRhto9dlgjhTjCkH0EsFO3HSR+oPmvgkdEq9
9NNtNrTZSlFg4X6z0FAALRYkdtHmKOWasMR5YvQoWOch24v2hvvl9vKeWTjlFrp6Z0VSBIBcl9wz
QdnT1FtU8ZQkyTw2KaFrVDVaeiP+67Klhern3B0BOXWO7gR0sM+fcnSXRlk3EqMDR3rTbCFVb5N3
q3NBq2jnztojZ+EAntqaPcGRLTIlEOypYAtKj9ltdmP+DDeG227oht45oR3eKB/KylotJLBPbUrb
EvoKI+1x2Bzhhd+VrbDxenPBk+VoN+FtY18Bg78yo+eLd2pxPpvHo1TUoYtb8LBzQIc/leckcBp7
3IOxx7U8/1F10qt2//c0e6dGpT3Z1xS8GuM8TOtxItd64fSGozWoDo1rKggLgeeJLU0CuIisY0Yz
wBbJwbapYGCzTvxjfh279/yhfgzcyzO6OKEgVMUuBejkrGPM1Lsc5R0ld6p2dCZ4mFj/Xg5r63bm
MvHLUDVWoS0Hd41n5emy8bxH1nFqcwcvHrvy3TD8Vo+B0wknYZ9htyaMdHbrfZkDwhJNsBRUWdK+
HIPaTCmHxFocoOLV3RYg2eiiB5b89VN5NsQotGeQvEDZTnoqTz7eykoGQ3X6wrIbkm4q5LlA4leC
JO7yQi1O4ZEp6SbPi8HigwZTIzkoCYVKYOul6VVAMYfJgf01wlwameQlNSiVK1Y1T6FSbpLQvwbB
5e7yiM7xhJINKXLNwM4Z6S1sDNZ7qT2MqiPCwTbHqya+qqZN0juGb6fFDmg1wkbHiJ5665vR3KPY
CCDC95WvmSfwJJSQvkbaozFthVB0fE3VgVr7WgeRIbLK9kxoVRjXFprdqbIp6+sQip5r8vPn0JLZ
OPLKJujygDAxpI1EoMMdmDWOvW/StwSxIC37WwIWH1NNtqMlbBAzuEP1I7dSPCj8bG0p5t8/G7wJ
rQuATCjKudJyI98z9hGBX23RsK5paBwiKMW3T4qBKlOm7QhQ2F3mv+tG9aorK9HN+T2C0YOqBGkg
xBsg/pFGL9DKbaQmRt/1Lz20wcDbjtZFCMEF5bNv0T0X3CuGBFtj8AKWvPZ97vlGcwBr4hpzxJLr
OP4U6Zgxn2lD2mAicpRig9BTrF8a7s4y+JcZPzYkzXhjZqAK7mGo5IWTJs+auaVKYdfiu4E8O8G7
u6vtuLjXwmbFk5yHJV/TPcc/4GtTzljOLEhdd6WF6Z4TNFrhMeOnpjxkqhcPzEviu3C8zda4CZbn
9Y/N2b0dXdyTjpPVQssSygNiKj0ajVrqGnHWb6s0Gt46q+i/XT7Q8y/KWxoD/W+U0q0dTlGRdXNw
wvSfMblOCpv4wg4HZ5ZQTaeVST27R0/m1JC5iH21HGNazIFJLq4iUUPO0If/+HV5TGdRuWRFOijd
VLWpPo9pHFqoXpY7teU3efSYWRjmtApQmDf7+RQCn6oos8qKTNWSgsdMtAqCAwa15HByFOWB6ald
8O+m8RH3TiqgIqG/Cv+u/Wt6h6+R/mdaJnCpB8LABgLTTTlserrJ2tbNwAEZrXI3nz0hZ0uAr5hY
NJSd5RoErwYyVRSWMvEc+psKOvbBDSo5tqpdAUnPJ2fq/unwH9mUTgOfpjRXBWwaCaA5fJMqukP8
gxlvCLs2yu3kewZxI/X98vY5jy6lsUpnIupM0qYq7KIp1amsfdXcMgPO3Wn6Q9aiV61x/XSDdzPa
R/1VCc5FH4AkAWqnGortcgVVreMxsTI9x76pnto+foj6HhJ6zylZu08XT+ORpflLjrxNM3SpMvSw
JCDTVYCBQesgXEVy7/J8Lg1ofkvSWaIP5RJpOoXaDQS6ABgQQQ2Dx3FgmwH8aK7rPxK1XWmiXLQG
Hlao+OAPtKyngzLLKlOh+42nAUXI5Gu21YROBvFNX2+dywNbmj/k+f4zJe1PDVXOABQPOfJtWeUm
WsPs1IwNtzDY9rKl83crtuSxKWkOOcvDrstgSuTXNf1BrXujuG3LQ1h8om6sTT8U9Vn1d7R7Eck3
dUBr4MoXLPnUow+Qs375AJgcWv8R+oifWXalmAdVhzQhvc+iNZTJ0pV0bEp236WvQ3orEE498d9J
+JzgrS6Mzi1Q5TKLcNPp6crgFhcSCDPI4ygKA3bodM+Q2CBJ3flYyJztrbp9aovQLTv/Xw7CkZn5
Ijk6b5oZppGqwwyiyOtG6JsJJqKB7aqMrsANF+YQnQxgeQYAFZKfcgKVROn/LpdOGMKzsRRer2QV
Ggb5fdwQxWXVENoA+1Yr8cRZZgr8GqAhYchBwz4kp07HmBetEWZZKFASisg3jVqW21K4lcvnYd7u
0pULOUU0BkJ0CjkwmeFrKjVfZBoexln5bLSuEh3GCXxRP0xrtAECt9W1tp3zeijGhWIFGvCglYlC
rDSuUnTEqEpFOJFZ2Bpa3NO2s9uJO2OLfCpkQC06eRHV7YSRvQZScs4DjzXRtgEFXhX0t1GOLikD
FP0G/64IFdzl6Ta1kk0MYfcit5yErnWJLnhCfDK40tFs9IX5OV2KETJz5VCoQBLWtVv4iEZmCZ2f
WfNweTGW9hqQ8Ch2gEEDkP/ZdRxta97lJEo6XThDs2UUKcJwH/TfaYI3UbPjOMf/N3OS1xUQaVP4
NJsLngTooVXrNu7uQv8p7zs7+5dnAEMZR0EVHKolIIo8HV1WlNFQK4aA4qabmnaFDHqcqG5NnyPT
rtl+EjfirxUVsdk4lg1yLHBJ0K04tRnQlg1h2gunq9xGQ5Y3/ZWP33voVV+eygWnfmJHckhBZvVG
qeIYMXNWIDEg4wRFLHVy0mIVQzW/1OQjC88K6QgKCBUKfqdjGoOhqvQItkA7P+j3ZHAoHtAU4lxN
ZzNrw1VXFJsKcLFYgxL2r8sjXXrNYXPCtIF+YgjSS5s0M3hsZOPwtUkb5TMpf3C2od2usByFAQbU
btNh5VwsucJjk9JGDRt/yGsDq2jUlTNN1mOmrTVkLi7g0aiksCA0tLFnHUyQMjyUrNqQoNx0VXTD
kvSlC8cVTPlSAuZ4FmXENzXSujAbzCIv+59VCEZrxU7D4A45sKtCax9JYG4sJCob/bU21x6P6sJD
68S6dCwsYTVjYWG04LpOSq+MwTNVfCPtTz94NsODKB5V06u078Uawe7Si+DEsnRQIkJpPpqwXJWx
SyqU7ZrwwIz4rjLEU12km7H/NmrhlgSdm8SPo/asdmsCyquTP5+wIz+baMYo+gKTn5Q/U/+hLXu3
sZwsvutKJ+32+YS32Eu91oW5dIugSdECOlUHBkm+ascxUIZch9VQhTjRI6/v/X4Tr2lvLt0hR1Zk
tskk9ltBGKwwHXd6i9t1M6k7yn7QGTu4ksRciB4gkAc11LmDC00f0qmJ+AjWPvCMQUPyieTJ1iie
R4s8VkpuE2EcYgbMNgtXGsdWjMpPdXDJqqRvYLQT6Id7Yv419JNBG4p86YEHkW3k7mWXNztUyeGC
MgH1V2oiYQkeqNPtgjKGFdAKEQs4Q4qG2rTajxBMu2xkYXecGJEOBsuMzG80GJmG+wav9BQsvOCG
SNnKTbU2GGnvR8RUBS9mO+YHEL/A9aGwW68MZsGbGrPawPxGBeGFvNXzEp3tCUfAhIKunj7PRPeT
N7IYCca1xVmcN00H/yDy2QjPpfFYFG0XQoGpwr+bul9l/8iDR9b8/SsAA/pjZb6hjjzGlKCilBJY
IRyJ0tQuTc/wQRf7Fmil0/srG27pjgU4UUUPpoE7SZHPVWWipERnczwD78lHj+ZIoKMM9sCnndp7
fbsla/tiacnmmgBotlDyR8bkdIRMmCa4MhEMor3ZjQJgzrgngtvKPJR6tDK+pROMpn0cJRDHzl0I
p7bMela9MGFLZJDwTPaW+hSKVxP6Xqz5nAAFhgf++9OF7QGgKQKmmVz41OJYGmkQ97AI9LcNOlpo
UwUHFY27NP1rfBQaA45Mye971BwSViazKdI7yZDsCH3R2GRPwlyrYyztfa7hCWUB1YmaoBSK1eiq
LoaACWdsqvRn7gfiwyxU8trTunisOfWZN4o0uO5ZmB7SaeIHY6RQM1VVK9zXfsUTcL90XHsA0h/i
8tEUlp2raFm3Er8t3EkG4jfIEWgghwcl3ensF2wY6nbkAhFqio28Mep7iBzbKRgbNAFZmurt8mov
7WVAV4DnoIj5gbo4tRcYbdEVNeyFoOhNBFDqbwPCcUO5N6NwZS8vjg1lX7BQIGt9VtwgeiVabR7b
VFbqC1SuRo/y4qYKCvTKTsVtkopoh8GvYSEW0siQv0YTn4UGLQvJltMx+gUowfoEsOVCvFH9hlqp
y4yHgj5QOrjhcFXrHup3l+d1YawnNuf9eOQFdT5VnW7WhTMrCUzp5Gbj+5ywY2lqNwDeNqh9X7a4
VKo7MSlt8WHsg4Hrs8nKU8D1qW+zaTsXLFW+K1Q0pxd7K7jRLbcpN3nxUFjPlz9gechgfVSV+YDJ
nhj3POgHU7C6K8pNIdy6+WaCaF2bPBRu82BNeHgpOcJVaJfhaYcEwJkXDlOtjJDWLUDzY/jPZq6M
33igq49TNFDV0bq0eesNLdlRPWO/S9Za79YQdl7dgXnDHlDJ2+t5zV7hx/Ft4Gwzv0HCgCVbIvS+
d42yC0Ov6ozkhYVkcDNDq92YVOrvYNKQxVLVQP2X5ypW8L8ZlMO1BG1fha9io8bgYNboTli3Y7dv
S4egw7BFz7NvPBcgUUBBxPg5VKs60ssH5Y996bIB9Sa4kwKsYDDt48TRo5cidgIFTNRPobYb2GsR
rEHhF2KskyFL/qePEP3TedNQ+hB2v5TpVl/T1F24Qk9MSNd10XXpNCiY1TAEpzDwGQrYn1FetbJd
NrnVvFm9yydhwamCmxJEXhqoZEGFKs0j6VWrn7SpcCbraoTAR2faVvUR+Vu+umZLppC1gSyWDtYa
5OtP/YxVZWgLCwBnHsgPkbtsAkoj8TSa2cO0BqlZuEPRhYZWGkSpqnWWIdIbcN2BRq9wmgwVv/yA
SN+L48+u3F2evqWYDh1OeP/BXSPskZt31U4x/C5VC0dvGUDoOddbiAOneuj2dSMme6wVSCQOlpIf
DGI2vZvFaF1zy2DI/hYIbwLAevQls887cuN12uhKpylAi4fDQz19iui1Qc1xTFB1mdbY2Bbn1wKB
yRcb7RkvMHDrQRW3GHY61cL2ObjtDDV/FRZ/JSmgCJdneenkQSdsFiUwkNeWJ7kLQt8ESg7Hosxv
RQAWIPA7+CZfMbOwQTEe1QANwXwzyI8ORVfMRp2SAvVUTJlvK/QR9VMr+dDWeGaWzjmYuTTwW+Fd
S2Wcc5ejmU8H/bVjgh8lfy7G2FbqKzD6gvV9m4lwD+9/eQqXsiMz1y64X6AYx5HjO90eJqmqolQF
7iDlt5JsEa3bahvZoJDohmSTWG9CPAfac5yvkfcszuofw7Io0lC0idJoMKwTEPW34OIgbmzdM/+d
pp1d9pvIv7LKLZt2keXU+n3FX6PgbRK39dqmXQw7juZAdnZDM2Zda+BTCKkchnPZq8BIZS5T3mNe
O1q1o9khmFzIXgQE1CGOnw8rT5alrYyUCtj9UXNA+Ufyt1zztUDXSvy0aXkxuwtDELWJt5XFXrod
AVmcyX44IkaZ3ILyhma+ASsdCi39JqXvfrY1541cbWJotMedYwD7umJ1/vbTjIoOaj1cJug7hmag
XFpmZKgynkC3kQB0NHKHNfcKdyMAkdoaMHq3ZQVUtZ+joFjZ3OeTempYcn20LRXCsrB2mnZL4+sh
/TWEa6125yHjqQ3p/DTaKNSshA2L2v302md7hKymn3sVp5vJWDk15w7ixJr83GRjFbUdtBGczPQI
3nCo4eU/iQ/NIdo5o3U9kO3lxfuqeF5YPLkiWpgFiSCCUjvpHq0d9CoDQufQXFteakc3NTiya835
Nm6e0m131dvMXoNHz7mWS/al6IpZkx8WCUZMksYLOHeafHN5iOeOaJ5TYOiBtAV/k9yM0LWEaTqN
61mnsQ333Lpuyucw9SBs938zNA/16CZmA5pR0YQDDt1xEw4/9QHM8U7au62xduTOr+HTIc0H48iS
0fVZOOiwpIhP0dsGd9KS2+KvxUCR2kZmZ/43KwPJ9+8Yg+YrNUBLGtdoawfri6nvL0/Z8un6Y0E6
waMS0sk0sPsmNbbHCImxSKBZXT90AtjrgLl1v/bW/nK15zvuj03pRJssDK1Sgc0oL18SyoWdpXkJ
rGaa7Xhd6IDGBBlldhQn41vU6pmT1Fl5baTgb7DziGgftJ3qz3YQ5FDp5nBQ+qH4oTdh+g0N9vpN
FHGI35hWFyF4rxs3LozKLdvG/J32iv/cjsr4gTxh6BTloLuBFkY+SP1Lug9pkX6ahZXc8C7objhq
DPtIMYbnuGlu6iZC/h1MnINbWlr02ZljsTcTi+0mXkNjRCljh6JpH5QGhHmxNjwqBc+2ScketYFY
O11Q5lUkuocyNFlZxcUTBqE9HC6kTJDoPN2OJKe8amkO4V71DXKYkBOxObQDk8PAVzz+QtyNLXlk
av6U451f9ZZJSAZ3HNO9QcAVaqJW+UYAulH5dRIWIKHw0rWmzCW3jLcS6iLo+wbDnbRNIfAYk1zH
QRjxwgW712bME6cX7b5i+TYMYvD518gmKC+XT8fSvJpgBgKsEOhmlIhPB5t3HW9HM60dv8YJ5w8d
iwFjLuqP2LduFPWv+yRh4tic5L/8kDOiDDCXKA99Wnu1+RQjuXp5TEsn/tiI5Lp4ZVqT6GAkEL9y
AUSm26UPSLbZqbimvrHikhdqoxjTzEcwSzIjRJHMRRCMQu9DUX9hJVP/vTftorJczbeT/ntLNLtG
bhxxnzU24Ov+uDzW+cdlT/PV1zgrXsxv7dP1g1p3EZsg4HA4/YlwzYmml6b86yweBjj3Tv6vDWnR
yoxpVTJUWLSQgkMFahLU5RCbzN9o+1Nfo2ddHhGAPkhmAcUkYxZNDXKIrMdJzzUoooTc0z8GJlaC
oPmTz6ftPyMyTW/S64pOIK8Cib36GdCzTV5Z3r+szB8TUjhuFBNUlQjGAUE7LzSJXY6NY3Q/L1tZ
PL8gm5uVe/E0ljefpTVWFMVYm059hpoUNUCnN8WuWSCMWq2DLx6sI2OSE9YabaIigTGre/SNe9Us
3J59mKlwGd+HzUrWYWkjwOFb83tGw/6TJtBv8wK0ni0eT7TYBryyZ/R/nqwcoKU459iKFBxCqQLS
TTUOENKMftIg0AFP6n2crphZeCSfBDryjhv9iVdGjZAgDzxSbPUBlB5QPmLaa6nYFjlM4omPntWt
OcOlWTwKsGRAUw66IDQOIY7LfaAUwJ7v4+pKuH15G65ZkWYRJAn5JBLcXuXoMdaCGmUT+r8u21ie
QvDMKmjSm5+e80ccXcxBaelJPsJIGz8G01bpnya2TdTQ9oNtFm1I/VFB+PvvMbFzOPDHqrTpdUJF
XQ2w6tfvUfkcqSA46q5Jt9eSxwT4pcuDXJzII2tS8JHyaGYpgzVC3iLtU08se1qNcBZf00dGpFgD
WKw48CE44sTFg9/eUet2UKAjIa7G0K1Ryc2F0wduUpCVi3nJWR1HVtICFqDmT6cGkRWv/O00ICcV
hbdtj6IxH995nW0uz+VSSHV8tKW7se2HadQnHO1gynfIYW5R9bArzdwUSH+3IFLNhztFbVbigaUV
PLYq3ZYWmPKsvp2t0jer/U2bK2p9vzywNZ8lzWOE1oWaqjDRNkNqj9YYguyNvgEsdF2r3y7bWhzO
TPaGHCmEWuRW1RxMsE2nd7XTw/sqqnnV6+ytita6RxeHBP6ArysfhSxp3xeNiEGaAzMM7zUIPFv3
baH/1gKBHv5he3lIC9tw7omY7xWcpbM2jyqO9DJPKuTpzN0drdAt3d1qUbpykud1lkKMEyuS38hH
XYQqA/4whbT91NjVWli2sL1hAFwLMz8VEr7S9h6NMRoTHwZYUiP3z+1J1Tei/T5VzAYt42dYZ3Zt
+n8NbAFAC88UXbUA3wIP4KkTtnwgH4OqAdEQUJy54qOIqD/wIrSR3m0OBYsfLi/WwsY4sSf7qgAl
Jp/AHuk2ECKMa7FLs/1UJyvjWsjgng5snu6j2yUPDUAsQxhSy32hg5LVaYxtUnuJ9Yw8Jy1zwA92
Q4xscms3rYlH4BrmZOGoHQ9VTmfjYcR6aIJWzjjepIByUXOXrLWtLb1uT4xIUVUWtHgdzeuXkNHz
B6hhxJYNnPWhtpCF4LHXwpuEav8o8ORZORL/H+MQAkXpDFpainQmkolPY0/bytEQjDCR2MTcpNFL
rj/WZK717EF3ZcdkxeziQQHw+P9ZlbYsKVLaQ46xAifDRg3cnDp4HG6UchtAAT1DhWKNJGF5If8Y
lPZs72t5RiYMs6pvSvPOGpxyWHnALE6lCgIwDvQ/cHO6NKhR534RFCD8UpWouR2scHCVcvQ9X9Uy
d7BytEoYtLWtEAo8TJ8MG20Ca1KLCy5ufniAMQGdGUCfSd9Qc3hRyEXXTqWQn2ZRukGNpvTL53/J
BoV6NnBW8NhwO6fHsk3Aij9aBiJLQHRsdWQbxpMVH7O0XmCWAOyfgUkGIzq1AdbPkST9VDkBnul+
QB063Ybi/fJA5smQ74NjI9LeJ6liqlM3Vk5egmo2eU3pVvFdizt9tb1s6asacsmUtC4NiBEqP8V4
DLSjG85QPETsJSwe0SVioUu9L7w0uQnTD03ZTu0OXG2TZkcR+C3fLn/Iku8+HrJ0DpoI7fRphe8g
WeAU2jPQKS5iTzu2/r72pasqdGvxAkYl94zyKIHgDwtLihGD/3gUm5ES4Jw2l4ejLo7nyMq8V4+u
iNCC6KCewkrMMlet3WH8MJWrTrkGMavPrjuebXx6iJIblTtD+8aS3/70Ua/1js6zdra6R18h7dax
UJS+aVU40cjjI5YTMLmSgeGP20aF/GuzErUvng60X6FRXZ+b2qSLEdxNfko47KGRonDTmqE4xek7
a1ZV7LWFw67OfV7owAXFA9bxdILTuAyTIsQEM3tyS29wGRh7RieBBHtio0Jll17vRVfQtkl/V7tx
Ex3il1+Fl93R28hVt7iUX0DBdlB2a/Xd5Tn478Nk1huj6st26PFhpfmYQGZEm/aJtpLvWHIQdGbP
YgqfMznSuk5aP6ZAH1ROVj2XCnxEvGvGKzZ5Ki3/3qmqx6YkXxSNljpMGobTgMIHRZeErtU0l1by
2ILkgrIS6j3JBAsiA0WQClTlWils8QY8NiF5l3gYwM7SwUQU71l1Hepen72HChTWvRbiN/VBHVaa
cJZ2AQVqEyJvlmEi43u6Pdsqz8ZYnXeBvlFMr4wO1pqJr/KrfLqB2kA2DzxLoAOWdoGvh3gBxdgF
wi6v6k29RRtn/RltX0ZwZRV25oJp2UYZNeN2vRMeWYkrllzcsXlpZxCRsXSchxgVlaPATyPC5/pV
NP2LHbxZTAD9TFDKSI8X0+iVuI4wzHG4iwxXjz8Mccfo42WPvbhgR1Ykh61Q0kOzAFZiKKYbZGcA
KFmvMSZ+gXfkJQMTHCA3gPUCnCCNBbR3Le8E6g2Wmd0SZVsBl24+ozOqnWyNievEus9gX0eDVupZ
aydtyTwafpEvBxgfhSM5T5qORhCqYqwdOtzVeu8O/IGHL2z4pPl3EKCHIAo3rkwcCu0OUl2XJ3jh
LqKATOPWnVF+IJg6PRFKrxpJ1YXNFwHHFHnTpNuV+buNvHqo7MjcXDa3sDtPzElH3gjHTAHovAHN
YLzxiXmjkcGuOsT0bNhdNvXl0qVVnfkFAHWZobxIfZwOLQTzWOVbaeP0V2Bl2fSO7wqbgQ3Dba/E
toudyRbeh+mWNvvWgcCOO1DSdT8zNzlojmLzt2pl8EtzffRB8h0EBlW9n3R80NRCZuvXyEMXri6s
UrsLbopq/IcHMSYApICQf0HnhVxa6tAnoPMc9oBksmziZLqLUX/Wr+HOSuy3PrMFt5NxJdr4klw4
n/c/ZqUzS6sOJQFADp3nzBsUO4Bk5xb9Yra/1++jw7SzNt11ag8Q27B+IPWb2e/W/r3e+TMFdrCp
P27F5Dab0VmjEFiK/jAfIKFDUxd2vJxJD5pIQa0SH+Y/kU1xCNzmsy1tE0LhgadWdmFDotfJ9mvY
4IWb9MQsPd2H0N0g6qTBbFBraDMET+nL5Z3+BQk8n/E/A5P8l6agkbXksDB8dq62073oVtzGr/VT
5PiPDHUXO3jUXwuEYcAguFehl9i//4+fIC16ViQsSIOscUantluv+VAPuiue7rObz7fihm37F9/B
ShPXtJk7Xpsrm24JonQyydKta9EgQG0VU0B2N8MdtI4csQPxjLn/fBVbJQaS0iY/9Efz0dryh9H+
eXn4Sw+2E/Oz3zt6WADETmOANuFG7+5MqBB3H6oLaQM7ePhUHSCNPc2pBnulLXKB2QQYEECZKf7D
O172cFYCSbNsShqn9b262DAaITs+q5S4KIwqzQ0JrlCSUsA10jjKjyj0hrXi2+LdhcYFVFeogj/5
5T0WvDB4j3mfGjxKtcZOlLntxnT0cqtpe2HdodUwAKdDlt9O5m2x9m5culA0ELxg/KD8AYL8dOIJ
BOoEYNVw8uzajN0g3ueQ3O6758sLvGZGOsPowFAotJjgOghcWCkOIK76JFX4TW38lRiVzlfu2WkG
2Q+6TIHQhKLu6ZDCHLLPbN5L1p3vNG649R9ML90P383v6lbbddeQFbzJfz+yn8jXbHCVbGp3tCGz
+rJ2qpY95tGnSMOu4pr30FltnGTEse3wdsSTLt6Alhu9J85QOZCM2Sqb6YrvL8/30ttgzhapQI+B
1/ZMsmgYVSUESw4moQFrKB+2hFpOU2Fph2yyw2i8Q4L1vWk0j9b9ijNZcthIjaP3E0cLnZFSTJSS
SivLEccKNF2+8qvzv10e3EJQC5bzOSrBkcEjRPp9ZWRWH8wXJFrHxsEOCsGhzK4GaezUWVB6l60t
badja1LIFQdlPYJtv3HSptnnlbFpas0boR2TRLo9hm+XrS3OHYYGKCD6K4AHPN28NVeDvu1FA5cD
DvykPgxKuvLyWEr0g0FyFthAe8qcQT21EcRiRGNe0ThiZocDZcI0U1VVppf44hr4+SsfUkFEj3Zz
n8pUg8cO9N19pTlQkFo7rEuOYW7IRN0LeOqzGg7tskDr2qpxcmJ6xdA4uuVfZ2O6Hfxhp0IJB4To
G94/qsJwMkXbpu24z6mKduLCrlh8QP8kKLAg9dP28OI/4vw9QVGLoZMoT9KbMTJ7NK+mADWsNTQs
njB0tyE+1tA3cUYdnejQAAoUfLlavvL+oFo2bd4Kc9uG96yApNC1oawSwsz+QnZtxzbn2Ty6Jg2f
VYpSw2ZQJ3YEREiuEZDDeGD32CjibrBuVDQWWi1QbJtVCtSl8PvYuLRtwtSnQzzCeNuTp6aOrwzz
e602XgzSo8EvbX38uHwWFqOCY4vy0ctNVg/NPNwCmDzkUML8LUHCz0BHTGDYfemirUBBM5oGxue6
gXTmNiIzY00/Xq8yOy5e1cdfI72HUD9JA2XA13BoMlrDoQGyLWEuHbzJTzzu35f5q0LAOZ28lOkv
Yj6uzMZ548HcngNXBIcOQTA5Y8AStSpD2mL+6fcK0ZAePuN1S+meGXbFN+By4vFaDXdxzY9sSmGp
HqlqMehdA/rkx7DbmNEV+NJtS9t0Q2GLYMUzLbjambUfDV9IiqC6JgWh4AsKc64AlpHVaI8l1mNZ
mU7EUvDo/+iKtYLnvF7SYTqxJh2mylcrI4hmmGseYNPcgKLM97krjG9JX9tJfaP/taY3OqsB2+EU
nPMznkYaH6gk9TypEVvyKPXqCqks/SXOMrvNtMe+/Z36INxO1vALS+4eXXoIqOBdUSeTy+SxHneN
wYDDU7GM7JaCLhmUMraO9uB+T1OPTKCcIMC9vLNW2FWyL7Xd5a27cKmdfIG0i8Kx10gA5TBH4+I1
rwt0IDe0WrlKFjfP0TClydWjngRihk1GXbAPAqhEsYfKiBxUYDaN/g+gKAwJ5TIoo+Hikhsuedzw
bJiwlFakeJxOjhm9qFH0vRHmZoyxa9ViJaSbv/9su/6xKHcFI2xT466dEZvA84L+cedD8S5J/yEz
joEBvzNv1Znx+fSKIWgV7P+HtCvbcRtZsl9EgGsm+cpFlFQq1b75hXCVXWRySe7r18+hZ+5tKUWI
cI/RNtA2UMHcIiMjTpyTxwDzSniSQZoV9I7ySiFwwamcmRDceqBqRa/O2FM55lskFG0ybGbYAQ/d
IWKOKr1f336LOwPCoSBSAzMnXOf5kLSBAbSZlxgStztJ29TBXcV8aA1pfJWQd3Grn9gStnrHrbGq
e9iiUy7fj01xazHy0E6WX3TgqNFU6UnVWW0ryMTaQ52O9wHyPV5pRPs2BZ8SWKezl+vDX7q4LMh7
/nf8wsmwuqLvLIZvCrL4VcvrHyC2PqZp8hX0rxkKZ0kQuL0U+EYS25PO8dgPv1QSrt0lC6He2WcI
/jbPjTY2Z5h4zY/QKtortY48/ittV7zNsh0D0Jy5idYUe5Gmmueo78AOCx1T9mmY7HI0W62i65bC
EwzoH0PCWoN/fmBai3ntzC85an0yNkiJBvQljCCgnH5A4XSrmJBmGRs3q99qtbtvDeutwAwrPDnG
o+yCYH/FTSwerpOPEhY7R+F7kCN8lAx6J3rQESfWpp/R16AmGwDL7euba9ErnZgTFlWSpFaqVEx2
OyL33bhD5+bA01w3sryiWE3A79DXIJaderCAVUMMuB+6LiNabAKQyhsAXyXKyh2yPHn/GJr//SS+
zmM0nI9xDaA//6Ub0z2USFtzY3C3Hb+0oF9ZqrVhzQHKibWqj2oGeDcOhKbh5WrLVu1LECiyZPf6
/M0/6OLqsP47LPHqyDMKeEkG2HrEPmpkzVPZzZrMaYy3MnKpmdwMvX/d4lJqDVcj4lWoP82Ui8I1
kqAVN/8D/p+yYTuUg60ABsBZYad6fky0wZFIsTGNX237bfDfalLaeAnaMrdc0mYrH7O0R0+/RVjV
yVDLhGe4b+o+5mDRhLhtX2qRq7Mo2V4f99KSnpoSlrQwcrAw6zCVQC4vRYdwyNpdPGXgKFujYVgZ
ldjGOrbFoA6AZjuGAhHcEhl/UIUQ+nB9QIvR48mIxN5V7Jo0pwHMBFLqt0x/k3J0WRiNJ0ETM21U
J1GAZOuJP1DUMrvYowz1Nh3C573pXf+WpdMJrz6zsoM776K/25T7VgLRJNYxnJntK9C1UKe2jEPf
fDIFOqt8WruzlkIHsHsBkQDJ51lG/vyI9ohSqsiEN9VG7cWq0NRf5zGkXS1euqWmQg84VFYO6/K6
/mNyzgGceIWgCIBNT2GSmiV1QmkCryTroQjXGSsFrgtLUAwAQ58183tBJU2MYafCIok86xLGee32
6kNL/UJdS5/9qdefOR9YASYJPcEyJhLEDOfjIe0QRpmGNwZkmkdPv41cdae5/GbcpK7pInB2I3dw
IGOMZj+X++7PvWN6K379D1/WtY8QrmpGC6PSZaiFjj56TqBQ/2ndBG59y3b5zro17fJX8vug2sld
4ZqP13ft/KOvmZ5X4WQ9lcmMqqTC+A2CLLOs2dqaTM9l/UqYYuES1vBM7kwFo4OkawKKlB8/4g35
+DL25t20rW3y0BzYj+whf26O0ydhdqg7ihesRPUXR0X4CMHj0ymMMDp8RDWnt+9jeaNo2yw75CDg
uD6jlz5JMCU49DCVObCdMEXt9AMa6GSwi8/s5dC9St/mVn9skI65v25zcRV1FBTw6AOTz5/77mQV
Ez6AhHWEDnakhDZtLaeIvq5buKxbzKM6MSGuImMylyBk7uSpq9yVNsv8xpVsevcMaPuXbEff5Pmt
siXLqbzML92+gASm3UKykRzbm1XQ8MVVhs+BwABY6FREXBe406SPaaEVKIfpyl7t91xH0vs7X+33
+VNkOz8feEIj440/5xZckerOSLN2ZLOYdT3m+aZsk2nLO6uabMoNErrUisxbJmfRMbSiNnerPCuP
fZ+mT2zS2D7N1Cz3g0pBm3JZtrqnkiB9UiWzPKgASAFDrg/ldggHWoKkt7B8SOIVtV33PdRf4jyW
mEcYG1VHK5jxlFpSjH6FWiU7RIElJjtVpDX+zYtoDEljoJbxvgb6B7gKwSEGYxIGVYUBa4khe2PP
A0eva2nXN7PBsgEdntrrvjG2kN7pyrWi1KXXh3nkoNC/gP4P1GfO/VFG+54lRZg5TFXLTUOT8N0c
NeTLg2qNFWLR1NwiAc4SPMTEl9hgxUrM4yhzQFg/2lThbBcVBETm3bCWj7ncrdaMXsZOBW4S6DQh
8IoLTcrRT5050VjUNxqp2IOVWOZXpeXjfuwHsuIP1PkaFrYtIN+gbMVUQqLpz2k+cQgDa9q+Lkrc
Wg5/tu7yLbCaiguCKoQIsZ0cGi/YJIfQN13DQ47t23zj/hryaWF+z75B8INK0jZ92OMbOhRCjNeI
foB1dcXZrtkQJnZM5LDNTdiY+B1a5apoE7On657v0rfOVJz/nUoR11MNYHCQJpjQp3GjKOl2jGr3
700gZY6iJH7P8NLzTU+hNFPqAUxIMd0wQu97nqyM4jLNApWUUxuC/+7AKMobCTZKL428+D57MQ/y
TgU2Zm/5YIQq7GltcZZm7tSkcJZrRiPDMmASWHcQ2TG7+3F93i5zHMKghC0WyjoBOTYsVAf6FDlq
ZeuO8Yj6i51terd2O8e8o3vuyGs0lhfBvmBY2HdgOmMgaqy4Yz6k952LCqT5Ydyo98wxdxTEOdnG
elVeu9tgVah10TIQIQQ17JkTQtgrxOiahpWwTHJm6/w5fs9B+2oMLplsefi8PsELlwHBNWvhGgBS
wRLxH3AvVoryJ8R1lLux69CgHLoz9Jm4ZuCPAfFXhReWDjQ2qomi5VyL+AM/O3FcbRzlVpF3IONE
JCgP+yz+iRbz66Na8MYY1T825n17YqPSKglMQbCBjCv77uo3OXTjaO3AXRTEsD4yiAGBUETTygWR
dW00M/v4AEnGF3lfPJF5W6ib0rQR5q9AhRaW6cyUMKCoV4OhksBgmhk3ErRMsuiJQIcsspDIvakM
p/xreDCCBGi44xfAORBIFR6ekFIHBrBrM6co7kqttxMdAqmjr6+2JC8slQxeC6RJ0UgFwIFwzkKV
lOhi6tAGFwDAx4B0nNgxor1X6+Xj9V2x4K1OTf2pqJ/siqDQc3lqYGokJXLf/A45jI/rJhY2N3YE
gAQQAdKsiydtqWeI6wqY6IGJzQLtPoEiXZSM/nUzS74eHOPgGQceFYrfYkayZZbUh+mIvE6/aadH
lt5I8WuIUqzumixGFHczDU4fH4v0vkyfrxu/xOrNqAMQ3soghgZFiEgQQtB3Ar1XcCapD/0IkNxw
MHde4ic+xJ1He9xYDxKetT2ERewXyV/jU1haRZDYAOsNYgrwbgjuUZYk2jH0/TsKepqyWTF4TWFp
aREhrAT1AMiogehAsGC0Rh4QvDQAwX818v2kPqyGiwtPSMwh2FXwyAG4+SKXBDWYkWQKwVPVuEl6
17L5prOHB3Y7PQAuUkqbn+p2jdBUXTprJgIdIMIAKL7IJk1IDzZGiYGhL9lu9++116CRh9lQym7t
zL7rXNW3jsVWOwbbavTMHRpSHWrYoRNu1j7mUtt33kUnHzMHuCenMZmyqkAvEzRcWxvglbizAwec
B3ZzH2/wupTf6SNzQjySmHP8tbKD558tBM9ntrVz263JmZJw2O7ek+9x7yqhB/zIffvxZf6a/GEL
tsFtfyBohX2gfp7bwIC61z/hMkEtDH/e5ifDb0s9Lqp5LXLPetLewZYJTXTDx6ZzBk+6fVAfipV0
2yViSAdfLp59yO0pf/hJBZO47Puwgg6h0vhj5IxefYs02F2NFuv7YcXYwhmaH+1IvgNzgCBGmOEx
THL0HRZwhMlWziR7AgUotMOvT+KCKwA2HiVVeEGE1n+85MkcmkZessJUsIWgDN2Cb1hf01hYWiZI
UQGki4O6QO8TBDxCPY9mTn2s/egNdfzggK5e+ek+eY88sIIhP1Hb14e1dDTOjAqRvCpFGTczGIXY
hx9uQTSH+HdbfxRv9FbdqneQ5ag20W12o8D7rUQaC6lKdNLAtyM1oBMV8d/5LqHWNEA+GtrKUPr0
y9t4Z+5D3R4+1XuEhQ/8lbnGjn0kb+wp9puV63PBQRG0AymAGQECgP/ObWelUmlRECE25LdBdGTl
LbW+e3V7fX4Xtg3BtUnQcEyQ8xFLCmbCeJPwBE/n8lXR30n693sfuYZZwAz4xsu0A6/bZkx0zp0C
7Ql94qr8TmtXoErzKggeDO8DgBaR3IAQoEj5q6aBTvpufuwpvpI996af0zed7GTjMQBgCYJ9K5vy
4kBD2hBmIAcxq8Nghc6XRpYDeUJoljqsSdAF7hYKtylbiWvWjAivvbJQLCiHwYgRNHYDMWaN+/Xa
8lws/yzSqCNyweMDQDYxtJUVZGOGIUHZAQJLkeb26Em7vsEutvEfC7Axty2BqVcInpu2KFinpkDy
l5aLSo1pPSpQB5I/r5tZmC34PRCpGKqCRkURrhbkVYHouUDmsgT2EDXOfnwL/zoYMgBxhrwINKOA
+wPTyfm6S3UeGRWYzBweaQ+QYXcNrvhquPLOXxrKqZX5wj7x5GPaB20MsnVwziU7INd8hbV3Gq3/
fn/h0GC+kFhGL7WYpesGpCPJNKTgnzAOzaDdUgodvqz9F2ZmQgbQ0WLKkPERRjNJKqkMKCnVlWbD
jdNSs6U1icuLNAEWhuAsUgi1aFAUES+JvOTIZZIUODNj01vMy6cRzIDErdP4cZB6N1rlSb5wOoJJ
wQfEYJigQwMqfPT9OrnsseJnGDRuMiBPkW70yjfYym00/8QzN4dcGVK3uHw1sFugw/F8JgFiIoXR
oKxkmiBAAmtaDO4EIyl8MpmPXZCt3AyXDGezPdzzeM6DnQhv+nN7UaC1QZuBkKEPSr9NvYLsM8vP
YyenL0nyqigPUfRuhSvlwaVRQukI2Eikj6FbK1jFXdKzrEKKSav2YeTkQ2PX7KYeLDtfk2dZcE0o
cczqmrpKoGsg7hqg0tH+AlO4+neZFhzaNGnxXvxurebhuntaMjULh84IdVwZ4htV53mNvjbsFoN0
MlrQi/bWjEZQFNWlZDfh+C88FViYQDODzgX0ZYg3VK+atRJAptGpVAKiLNU2KWoya8/PpbVSDdDD
wgw1LgJby0pG7B5UT3IloW5CQ9A+pfyBKSlUPTiILzh/vz6Pyxa1eWzIxaBUdb4nS1p1aVUCLmh2
xu90HHwV/LtTWNV2bCabmvCVm37NnvAyqQeIW9AI9oqMfcvo9a35sB8CeDOpfCDVX3P14Mip6P36
z/CEIz4iui7TBBNq8h4K7M+QidjkzLs+hwv3C1UR8wEpNmO4RAgmz0fLzOcxDIkKfPFD0xkeUZK/
v/fPrAgzF2ZtlcQzoGGI1I1cBe9tU95q01fIqpXyz9J4UGaCU8T9AoDTvIYn96U2jXE8xSM8cfeY
9hZgGhKaqlac78INg5zcDMLF9YLyiOCW9Fgfq0DCqy2WFTeS32T2FqC2xIP6oWQ/szWoz6I5sBMC
6UIAtRfbtsYhkmW9mG/NqdjT5JBqv8D64ZHfBbBMnfZ0fUcsRIHoDANL90wVeNmlVwHMI9fQ5HES
y/qSUtPTOFt5Byw5QIRngA2aCNPAmX2+SDhEsq7W8LV4vO7kFii+fvyBTC6AdsbKUi3tB8RPgLtB
DxCAIcEUU0plROsClopuLQ3AKHlbq2tgpMukFY7qqRXh8iDokOVWiQE1qZ79kiaD7INBq+5ztRtf
FGmiW+SUCx+l+xQpSVrfxAUqhDavYgscl333RDJP7bvd368kphg0WOjFAzOeMPY2LSaeRjrSGlZw
r7HifihfrltYXEg0nGtwIDq6UQQPrIbGDKueLUAai4FvKFNif9CUEqR7BcROmqhbyw8tmQQHDYgY
TSQ3sIXO9w6ERbWgNuCEWZq99/LblGgPBaqIDpLLm+ujW9o7KMYgOYLbDJ0hwuho2UGHMIYp8Mij
w9zQv60m2yPJXa64x6UjhxI55g94T7yLBKfFGo3n0yDBabXjR15CvxwyfCuDuUxyCXtUMGKx0QBD
Ik6CVG6DtPdJ65HJCcEbQWI3LzVHj/xVoeAl1wWcCuIO6GtDNlHwlIoUVnQygFUpqmbHiLabWHsI
0mE7wi8HVbtP9Mq9vmprJoUN0uVkDHgIk1VVQnOa2IP51QRuGgYecHScrQRzi+ZQugY3/gyUEVvV
u3Hs9FCCc24481sqv3O52OcFympUvW1G5krZGkvu0hFA5zB6URH361AtPj8CUTkNRmwhfqSooeiT
vBkzfqPnSJWbxko2ZTHuh/OYLwMYxO9zWyqF5l7e4gwEyL5rSW/riBXQ1RsnXwO1Je1YBk/QgtHp
Sqy1dPaQuUQwDs20S5XTCADIKdFnkFNNAcrP7qsm2QSAeV7fLEsh3YkZEatbQ51Wbef9KVehFzav
UNQB8fomGie7i1euoqVlM1RE4HjRgKVDfGOHhqTEajoHyEPQ2XVg/rLKnjpSM0Rgyk386yNbPO+n
jlLYJaHVmcDdYLVIqx1Z9ZibEPtI8t5PjXCjTunHMBnvVXYXk+hfXO8G2ujwiMKVi2843zMxlBB7
AC5mYbjR7lPVzuMYV71qZ2Tlfbg4SLz1keLByYNst2DKzKVx6icAmUjTmMp+JGnf3tKmVEFqpPcW
8aMurk2boK3pCH286FFFo+aN2VbRSp7mcnHxnMNhxJcghQIl4PMxG1oPhlREAQ7yt15P7DHI3bAx
bL4min65Y2EIfWCow83vLNGQ1vVGq1nIb4JGjJMfA8D5Kd/iqQoczcrhuDyD56bmMZ/E0iDeKbQB
hMSOMlZ2DVabHGHUWgixZkS4ljrDqEtlBgBlgRfWn5bUoXd3JRBasgEEBxwJ8iUErux8IMzsKnkI
ARJIisolabfNaLrRpLUkyYIZ4E9xCUARAFGDmHoeQQEaFIqMJH1NfwJF4NMARy4swhVHsmJHZOPV
JGSKeg0qowQMdlEhbWpp8AJDWfEgi2ZAVDH7X9w0IquQZHWjVJcEszYGnSObOVQyCRp8mnaNGWTh
GM/kijNXq4pMD7Ct5wsUlhXOcGpxhxEQyZke5EKS+NbMmWtWP0gRbdBj7kxr7LuXV/dc5MBLDklc
4N9NwSqUl6I4YLBqpulzUVWvaoGLTUZlXua1bUiJk4Vr2hsLfkIBLAbqITOOyRT3SKeFcdpOf3Se
5E2nfaZj708IT0aj31y/AC5zktiI/1gSd0nA8rAeBlhqzBfDtHDreBJUtKfhBwikg8Yr18oHawaF
Cydt8gD4WRiM6nIW4NPpMe43RH1j1PRq6Z2uCRMtziUICdF3P6MSxAu1pXprDHWSOwoA/GP0MKDt
A6SAHV0Jgpb2CWBg/2cHSfbz3VnlhVwEBAOLFQ053TfdmpwgdiTjPbPeTNBD/+XCgdENL3DAZVDG
Qh5b8FY6zRTWy6AGNEbtrg0ih+k1uBz0g0TCPR57ntGDgapfK65eHHfBrJCj6RLVgLOH2QS5+brR
7EKhXkZWXPHFJhGszF9xcqdoLG/CzoKVCnktDGN40dhG097H4Gea3ATgAL4+mRd7RLA3//uJPTkn
SRnR2R4I6QKXRA633iBF/S+s4KmI1cKTFKH5uRW8suVsbEAbxLWDPPhG6CIM0ZT361Yua+7zYE7M
CEs0TmgMz2Yz+u30Tltb+wR5o3Rk++aN7JqH4pGEtvJbWnlQXb4BZrMo9CNfjSzeBa0PC2k9u1Ew
b+avFcI4tq++KXGpegeKGpqitfTnmG+vj3X2vWf1DcHmfCZP1i1sao2OBWwqA1jQvwdgYVDEs+Jj
E62Rt1wcb5gC2SeYKlFpQAwnXAN5BMaAqtZn0YXbit+20W2l3zXFqzY9dPrKXC5tx1NbwrBaVZrG
NoctPQWXPfGKwNXzwpbWOljXxjQfw5PpY4rOchLBToRaTT6gjyr/xYi6iTl0hLiGN8FaD+DKyMRW
1qkP27IK51ks7vLwN+1eoPZkr3bMLu0L3GqIfFFvR8pEWKyKp3IvUQNmAP010yPp9xOY3YPmBlJM
17fgkkM8NSWs1aCnQ94SmEriXZD/lOnOCH///0wIy8TzQi8hcFI5vTKAOfNeKr7KIfwXLvBkHGIg
YNV6kgXKvOeg5+jFMq/AEG4oNgtMcofUoOxcH9Ti3kNwg6CKQpxFDHFIU5goNBHYG9TXKY5DZyKD
W4H6R045tMG1NwRjKzYXdx9w2rPK6QzFEGIPS0f3V9UHYLnMKzeZLxIQNqKfWn+6PrZlOwgF0MY2
MxMKCxbmSjUjTypQ0/S7NHHiEQSgEijk14CsS/ckvLlsoLA14wuEe5L1EDitJ0xi2f2sixu8aWwt
94fE6ypX457y98ozcIIn9uaBnziMrOBhrw6wp05biKpqKl6vH1S55cXKQ/kSRjW7W+wNguLW3JYh
nmCV9fDsmML+1jriTaa8Jdtiy26rffqioJRmgyTmHmoRv612m3xKm+sLuHiZnZoXTrVWR7Vszea7
TX5EVxAI//gnUMI+c+ttlP/1vpyRuCiXI0cBLmmxvUXNJCVtGDTOcsWvqdc3t8Hkjuru+qAudyWs
zNR0SLOivCu+1DI9MdRxAs1zGW8H40DCl2pwJev1upXLblZEN7MWBQgL0OwNyOT5Hhl7ZRqyToMQ
6F6ymafiz9pXbrSjurc2TWjnPnhg5U0MOjDwJjIX8hs3zC1XXr+XNwC+Alk0dK6B1/qChlzVrThT
WvzstHLBIC2BgbPYRPl9Ua3s1Ev/f25IOBK9GUaqYWC4g/YVSnbWubT+XJnSNRvCYUD932ykBIOR
0QoM9dqdudF8JAd9BqBtuwl9COUCQc7B4QsBec/Yyb6JVm11JX5diCxRwsHbG4h55EeoGAPp4xSA
zANQkvC1+iKeAuDzHfFBNvibenwbvxm3SK6tPKsusfpz3ejEqHAUmWGBAGg22nyNwBEDL7CtDkDM
7OqN9KM6jtvrk70016fmhO2rmIkcSR3MxeOhVr5J94V+3usm1uZRjILaAq2b9QQbr9AnvqV29iDZ
igxo7Ju1Z0/NrXL7cN3iyqAM4eIbrDZpoCINivVxFxs76KaArvG6icur6GyZDFU49hloJoIUJuiT
9obw0S1s9sz9tVf2n1z7ech/bkc7tzOgBSWG4i/WZ1cBWX7oEkfZAD31jLPg5btx025fTI/boZ/a
Adustd/+0TG+Zl94XYUkDPR63o69F0CqQz82m/gjg6hHA2LabtvgDFKcRXnHdsfv4V69U93JY58B
Nmq7cm2szsW87CfXcS7zWAsafAuo+j3NjQ4xOFrQCmF5ySH+rN+LV8mPj0/Rbe/E/trb67K38Pxg
GoLns4zRMJJ5JcY98QIQctnWzegpwFvPXAzmV/IhPZhba+XwzPMrzj/qn/Ptghy6IcKUCqkc5UYx
IYbFZD9tspsqzFcqE0un5dSE4HFCLZahvAgTvdRtiyLcMpyWsuUrZYmlKwqXk6zrQNIiJSzsZAq6
7iZvEI3GWvZ70pDUqDM63AIw+hih1wBt5FaxEuQvHVLAHcGCAIQ4yhCCc9PHwFTLYH7wQXU0DY8T
ah9d50XTbkY7NpWdJSueZynoOLEoNgcHpSGPbTc/j/LXMIckTgkuSB4cJtJFK8dhXpaLnQEoCrqR
TSg5iLeT2gKZHswvCqiv3yRh80iyhAGbR56HPnhsZVBbkfHlutdbPAQzS/V/jAp7pZbLsspkBIo0
nO7B1OaSzPwy48mx6I8RrLUJEMVjhbORj9IDyesjamG+TF/kFNpZerfnBoWcZ7hyUy/u4JOvEta5
5KwOggxfpTQT6qHVcegLJ4/WqjKLM44YCxlq4GgBgDj3P7rJ2tYccFCy4QdpdFDIhiAFdIh8P6EJ
iK5l4hcPDJ1fbyBuxOteuMUauZrk2MSo0uwDYIg53f+QTd+8024KY83RL47txJhwn5UWCQHtgLGg
zjyTJ9uk3smWQ6KbutkpZrTi1hZX7MSc4AyqsGJGVWEqpyCw+673YkN2BiathMVroxJur1YistQF
OCNDA0kM7WcE5IH8U4nfOvOGSr+uH47Fs38ypnnMJ9dTN1iVxWpMYY7qLoI4t2x+hQPfpeWa6vCa
JeEqqiVeMXl+BxP+nSeQTwIXUP3MQd53fUTLq6RjTOjxQZ1QWCWgqHQaKxbe25puo7v5OOvXRvUa
DdniHQcH9h8zwiqVOG0GLXAzFE0iu0HOlO3Yh5p3fTDLe+EfK8LycKbLtdliMKQ+mDLdaPS963dF
4xPJKc2P68aWV2huhgYIHoGDcHaNgU8WBG+g2GVKjoQ+CEpqWyspOKHVlet7cVyorQMQDoVOPHXP
t11JBkULCGZPRStvRR618o1CN3zKHxOuOMranbrklZCsBQoXxEJzP/G5Oa5NaIKNZoFy6NYm1bFq
IzsvHsbuvdJXWBWWJtEE74sJpA0KkWKzN9cR+MYcL/g8VIxtV4WILtWY+bww7tMwbp6vr9nSNjQN
cCiAIxOwMBFX3/E817MmBHtaFXuZGh7HcNhcN7EweXNnDPIeaPUCpF5Yq9wIK3OKoSpvSQ+su42h
EEMLlyD1bK5hmBdyOgDTQ+UKxQl0JEK043yhqhw3WV5goVDPdeLpyyokV4EmZ8EgxIcUNNVyxZb7
EQWM6ZEb8cpx+18hKyFAATM2usBmQXa0twhnIM7NbDRmkXkT2a29EcfRBw3HxFOaXp7sVE2SZx5I
vSeDfHEnMS37Ah0xcTotyJ8KY5CfZ7mTYzhydJxyqdmYMTOQyTGlQ69V3bFtlJ7bipFjRxRaUn4N
Zla/J+mgOQbaB97npsXIGRRwEARAc3+iFdx4rEuTHqvUgjxNmUVbpQuH36wlmXa0YqrvzCnoJDud
ZPJNhgY8c1oaqbsCMESvD6d0N8kRzdzGSozgRk+i+FAG9aijIbktZRtMHKi1jsNIqCtLOrhtEpJb
6JEGPqawgynTwbOiFBq3a5mCR3Pso95LZdKBjT3ovrt2sNBhRmOQCltxa2lO0E98NyracBMrUnao
06x/NpOpeAW0/gW9FPcw1W2HnFNgpeRp6uyGWrmTRWqW2hWIizes69MfLW1MZ1KK9LFFgXQb1pbC
nFHtIgiqz0IFQBRUhaeTpO8cCHYRXzdSzSOxHO+UlKteqiBJR7SB7nFoJI93Vb2TQPW0N7rO3I0g
64PIUTpEXtNJbfOVBK0S7vUUHHL46sLcVw3KxF6pV1Tb9xGYJZskzyxbG6weKglplRR2o43Fk16x
GHFrgjsamMzXrKjGmVbd2gxdAO3hkpLWNvVa/jGMMep8bZqPUKKzwgFc4XEQb9C/FxcgXe3CpxYc
PeZTmg7t6HQGV99432TbQh8KxSETNIR7RRl/ySDbddFJU0CSUkq6l9HCcrkKRzu/P5U6bKqVgS5e
KSnNvR6W1jOC7mw7Nm0NWHZoEPZSDEbR25DHIOaWK21zGNSC8n2N0oLujvh7j5dylNu5ZQYG+hOb
sUPfh0Unu2UFsjtan3eblnP9lWVhEoC4HoIWUiZDEjNIKlCRKoZjVlMBz54WOkrQiUq5DUquZ6MD
MWg3QPen1ZphE8Ff7+uIA8YqNdZB61OmwnaYxC6Vm3ALfcf4sTKDaQdQFsqV08AULw8a5uvDFNpV
AWALhmT0oVuktNt1VSJxRGSD4paTpnxr4CmP7bpjCKI6dQhsEg7BQZOk9Emmef/bmiAiN1pT8jBC
D2QbhtXwDHWHGCcwNqebhMeBm4WG9lDWiuSwDDlwW8OYN0bZJbI9ARP7I8wspqIDrgg/1BgQ4yME
j8z+PuA820MgV0JtS27SB72vradGLcP7DJTYH/1YAxcsJ5rlT4DL8+1EpfoQKSnFNW+w0MuahDx0
RSq3bm+CIu3QyGnxaEgNv1HBjgKWOISIdj9ZKAHqet17ZshbyyaJ2fVPTc+B74rLZk8mOrpGlsVe
YigQWrp+MyyI7+BRrEDaiM5gLCianLvr3qKZYdZgnR9bLrvSlDsQzHRoHjlI625wt78Y5W89rTgI
QpLn1k72n2MICsr81lil+VHmaF903acfI0RktSwXdZjMN28KMG33nPEM0N0fw6C5Uxt+5+VXGRqH
KEDQ2TSgbF572y5eXqcfIFxe4LFLTT7Myfs+3se8dduSu7xWQdeo21KgbHW98UgauRlKuWgne1tZ
jfluupyAOVMBuO2MSz1fDUkqY5VauLtI9QkdBDcCH7DG6x+F8msKJ2ZbqFE3JA/dtIjwP8NKKLIQ
+QD7NQMM0EUNELwwfHQVaENKwapKmvLOCNpPHJV9x/cc1eqVkV7QEqEueGpq/pSTV0sutRNtWtDU
ShAEZxb0w0oPuU27ksGP+0qYP4Drfa2nfiFmhaDt/IYG4As82cL0JnKqByjlIYjEFWhM/SsY67bT
JANMxylg8cmjNP68PtCl0As4VHRNAu84d2uejzNCz9OUzvTVrGZOj564UI0cSdoBC9zE/nVbC5Ek
EIKg3pypItGTIYR5HVgg9EKDxGekfTVhb9PGvW5gaX+cGpjn92TR4AbVMjdhAC1joD2R9OzI++A9
jaHvSHharpibt5t4GkBwAygiIknU64Tl0o0Yt7cxYbm6p6p/jeK3cA20vDhl/5ggApwsGqWxkHqY
GDRQlw21W6/JrK8MQgzveTDpPVFhoa0+zW7b0pd/UZ9GNwCqX2jkhicHjvJ8WbRJMsYkUfCCYFFm
my3u+rK2JUV552pxgO7qwxRFdlFCsOr6flg6T+g4Qq0TeGsVeN5zw4mWjnIBzTqnqxVobH7K0OKk
eymavDp9HuSVrMri9YB7Stf/PGXQxHJuTsqGUVIbFOjID+42qp3eVW/KEVHULv8FcoFxxd7Sbtdn
fQTwrQKqLAJheVu2tTZfjYnyXOZeOn1K9GZY84RLVkAwhO5jC/7hogG5jfCslTXsj5jf1SAHh2hz
qSGE+HvwHfowT+wIZ9corAaUpjJGk0W2nNNtPaWHHIFqyuWVYu3SoZrJwMFKNZ9cEXQySFVvxBG2
BcKNQ2pOhzFZ8+RLpwr9l/AKc1IAz+bzrTB2aMKsQ2wFqaWh3RFO3XJggcNVlN2vb/I/D0bRDQEF
g3MFPBpaMYWZw0ujRCuKhajEG97x5kF/4E3jl57uTDfFBhI6T8GGevQFtXd7hDbQnq+kWhYHe/IB
wr7vrSpJUzp/QFrbbNhz/juZVnztUop9Bl7/3yghrHc+oxbI/odkghFpi7C/9G4zr/kEob2fbv6H
tC9bblsHtv0iVoEz+UpSs2TLs50XVmInnGdw/Pq7mHvODgWhhEpO7f2WKi812Gg0Gt1rGbvi039u
zv1b/U00WM17eAYuKPygDo1KHFvdxiwXBNMlvG81tfNt2pqZE30LZTfYPeFuq2yzxBW2nczOcf1B
/0AyH1QNpqlPfJhK3G4nb4PWM84dhVSw7EofxlZ7jPfKnXQmW9HrLTfbBuMj/psJVsFwcLnIil6O
oUr9xtU2w1F5QaEs9qKNv0VPwUZx0KwRPdWb/vB624O5+3GBOv/74tge5bSt7FjCpx3OCRRPfOX+
NsDsgNcL+ses2YEXAJPV4W4cAKA+5qHTHeJfYGBa411N/roNxD0Clgs4R9MFUp4bDRQlsYBZ7SR3
9D0/RisJTZVrfWPv6SZ5u43H33l/DGPCTBAGUUdHwAVo1DNk3dGq3kn759so1yPLSIaXVjEOiftx
acodYCCBc6c7BOS47x2kTnb+E1lDtToSmHU948EAMhFFM4ao60wAqp9o5s1OE3GV3mnfm+dg8lSR
ebxcf555xmshWs3QHXX50TS9kGOzgnuMqUffm43ygVaWk3Wv73WRf/BOUxPcJDi1keDjEnMJ1cRN
ZU9ZQN1wFzyqTxCTxYzMMX63duGjBnH7g7Wm3+ONLTgjuBt7icv4ZZQbahLgNdSVP5NV+Jp70eCg
qDA8ojdbd5U77VssOWQz06H9g++AXAuTQSi9YQCVcVHwsldhkRjIL2NSbZs8QUlep+PoSWEs7cKi
h/lTheeuUtUzxFVLi5+mijQvRW/Knp/Jw7bA/BKk4UtSrG7/OA2rzcaF5W9j/JpOVp1jVhdxIe+g
czvsCkk0WcN1ZdR5QUmDm93czXj5xSsSR2pvmchrJg3lP/VJrj56JdwmWeeWOToLsp9lSR46Pfzx
L8b9B8zSwMHdrSYasfB+LK97E8I9crq5DcF3qz/G2ezt0UDlbwRHgdvvy6P8BcHFPY5J8mKFTvDz
KJ2m7+kv4qiiJ2BePF+sqT3XaRZRlk5FKJeG3oDOnLzSUtkGfrOZTPS/mVrgJBUkwyrj3JTax217
eeF2icsEilSt0fVDsKSZBEbYH5W0N8uX2xDcAAFGfyQ6EF4GKd2laXk1DhZGAecDxDVRv9TvDfSS
k/fbKFzHX6Awjt9GkpYU4/zdoi+r3LWidnhu1oSnS4LLyUzyw6bYeVz1JAqQNan3MMKtMOR1R86V
Z3xWa3vXbiE8+g8W4YqJvB71Eyzd5bpNRo40vMCJ0SmvUn9MyPr23+d+eowpY9YKogs6++ZbY47A
HECOhGtygcbjwRmrh24iAiv4KCbYs0BaDnIIJlj0fYhI2MOKsXks+lU1nutEEJC5EHj2wr0ElYsr
gphAtmhHexx21fj7Ln7nYy4o7pt/8eMFDONh1pTh784neBWDTzlxMn+rGa8kE1w9uNtlAcMsmJ0S
lObn83Qct1l5TMxdK3mJ6BIw/9irc+IPisbcPcALB1GqACiK6U7xkdTfUtOz5Z01rORR4ALcZAt9
2aiRgWFJvWJrk8AarvUVGKPa71a7qrrVsLdyB6LZe0y4rrrYgQQTSNlVQWzjb9kFLpMiyCCYkY16
xt33G/NeesR97lS0Lj3RFXXpR7u9vaO4n24mUcYkFajRVebTaaQ1BrWJKCYlj9Gku3qc7OL6K5FK
wXs5Nymf6e/+B4n9fDqedyycw/h8o9tCsM446OWbPL6F+S7JC4cUOxo/ZKXTBKJ+Hv4BuYBmwpJa
y71JWhhpf+JB1H4Ln+TH7JQETr4FtTjk5yU3PJFD4RERKQbXZxfIzBnZ4W0ioHlC3QRceP1jRo9q
+zq0d1l8HCri3f6WvF5m2QShKfI7C5y3+hx1FicyicOmryvY2ZgQ5CJ7H49k+2k1nqFGtsWT40nF
rPa98iiAnZfvamOC9xvkEegCBfnZJaxa5FWiT/BZ6nVviP2O/xTsPsKTvZ3OAijuev6BYp0o7i07
8CdYWL6DDGdT3ek/kp/FabwfarC1a2v9nKzJt+AjdIT1gDmtuGElW6NXobxctLOVUNBwbCfbpAfz
Lt9+vPhucRA6Dt9nF5YyniN3E00xY49FXUMZYXvu3OjUOaarPqYgMTePENn+IWpintOaWyaymdXM
VJ9juhITt/e1dEjIue7Bv4uup9Xt78g9/uZK5jzLjwcsxlFxP44zDPJTN7JTr9Fkp7d/dOHuNgg3
vVqAMKE0MWra2jECjqT7EAN5xCvlbQDecs29TSDYhHIBlDkv/T4Bf1VmBdjcE15rKGjIpyA9FQMo
7Mpmk5siVW5eqF7CMR4RUBVjeiXgQC8L7c9g3dYnqVxnotFobpFvCcS4gQKB2CBSsHDDWt3FhVNt
dWfwhkMvO/UBLYT6t/YgbUGG9jCI9rdoSedvuohg5WCnqKgDGqJdn+gRKJzJS1b2SruvS9d+0Nbp
JthNK3+Vi24zImTGJYlVU7XNsLq29T0L96n5PKZofti28fq21/B8f7m6jFvaLXhnKAWQjibMKneK
cKP0Ql0/HgpIFjA3N/d3XE+AN1lr0TmHrfJVAMIDKz0E6Vut7VLfaeMDCR8lMKGXYCo4xsozCMT9
UFDu4y3o8hfMoXzxKYnfQ/pkrmLS7D4dn9BB4KCXBY+ujh2LSKG41iqY7wRjIDoN2YqpSZJssgak
htF4r0hfVbZWRc+mIgjGM6W66RRphhgL+SGPUQAz/DXtRHzb3OYCdCX9Z8r8OxbLlnR5VrY5cKi9
sdPvrbSqlVVQ/FL1E/qsvXB0M/t+6ARpIOdchZuAK18Bh7x5peExDX2KuwpQZVCwyfKPrm2cLHM0
+Wnw0YTXCvYAJ5RdwDGhrCsidN/IuP6oQY1uycrDgOC2w6AsLnfu7e3GOQUuoJhgNuG2aPXGfNPq
shUoyfZBY6xuQ4isYVyj7iQTuuSA6LL7SX4b5Sdresr/4coIQ8DGDwoaTDOz8yJVD5WvYk4Ihv4J
TTh6tMup4LPwymRLDHZCRJaon9MS5/JopR6mpD07yBzMlX5Q0CIpQbWiUCSeomFbRePD7UXk3bgu
sJnTdFSUwdZ7YBPtPS5XfbJPy20RvU7VqglfAn1L1aex2vWlp5EH1XBuw3Oi1QU645GJGmpaNWB1
Myi6huSrBqVjEgaOX5DXouwEHiNCY53STsM0mW9drX2W1Z9aF4MyuHNIdkAz523DePcu1DyRumkY
8NeuuKTVuFQ6y4dl+oh0uZKOEAB1ehqcK/S/gWfgo8jRa0rlR7x23Vta5FjJ++2fMIcsJq28+AXM
SVBklmTLCayNh65YWVYvo8Gtll1TrnTvNhR3YRfGMlcRqCxlLclhbBvph1AK1qWm71UbDGXg/g2z
r9tofMPQfIITVsXoMfMZSTCFaS7DML3aaYM3FWha3NyG4Bv0B4KJLWnUVb4EhUxXRl8o+BvLZEK9
9Zh0mzh5vQ3F34HQ+/pfc2ZzF0ePrECbbZCRfI17PJz5J3ndnKwvvMSc89TR99o2fRCdqsr8+699
Y3ZMCNujwZDZ9bY8JHIXAZM+tyuwmjp0izZYKXAiF8+8K3WTecMqW5dOuDfu8A9H+O5BPTeiJhUO
yQFOv7kf/H9+CBMAqgRu2af4Ifp96r4mB7C9ZIarUM86oi3dHbffE6+sHOk5f1F3oWD8kHv8LsBZ
R0LHb1Tr+Mpjuq17l6gHCiVbZRXlj6VRCUIdr0xwYSrjU8VQJ3ZfzGu+Lj2QG2zem8HttrEHbY9H
ugodcxRKnfGdC9TbmC4AqTOqFJfOhdWteoWkOL4Mw2kwVAU5BPRDT048dqdUB3sbBvIUI4CGcOCm
MigolcRr9U/MKgjuhdwttfglzJcOQ3lopm6+R2FSrj9pM52chinp2utD0YE6x5sr915gMR82ssqk
hJo47jP7/HjCq0x3js90azzjIgWxbUd1o3X7JXkPMeZ2b29nkZnMVyZKb1MjBLRkomvBwLQNTby6
biFP9jPsRcyT/NRhYSkTPMo4jyy9BNwovQ2h7rTVrja3mQ9+K+3ZNs6g1HCiSmAjN/MC06FsQQLJ
uuJckSbFaIsaoH6bOCPK9ZZRPoBZQgbp4e3VnH/+9Yf8gzT/kkVs1PUKfFMakAI8PEWgr8AoBjEF
YYAPApYVKNpZGEphTq/Iaih0rDPq9hSpsFWuwYS6DolIwZe/av/BsFle0gzSlJiAGdJ1LHm5f04a
r7cFTxwiFHbDg5suHCDj6wbJVh9/Ufsc515gT4IPI4JhdrOFiYYRQseoCCod3ZEm+pS6vHrLk/in
3Knh3zoc2o/wHIgCPTpnNVCoX7oBzcEFNtC0dKXJcMEbaipeSdWVJiqQXW1eBmf2lIW7jXEtqU2Z
lW4wYkx5HjCB5HVZuxLEzHoRe8BVkAIYWqrmUUADjEws+29Ip1pJBxiFDuQO45QKGD2IMbwWOehw
iZZ/RSlkP4u6i19I3WaCh4GrDzijm2h7hgYEpOtZwh06QMOsHaTCDaayduKppmedNmj31nM8LU8o
lt/eybylBX8ohs908BZc9R2CurMLtATWVuBi7dpXu9m3/lYOTjh+byNdx0SYtoBiebymItP0SEtK
8GrNJUgdI0xF+K5Tw00U/y1p6x2RjM+xVHYjEVaArvppAD5PJkK3C/RaFvuKWVe0GCu/KF0QIPq7
dFSztdYG72YW7OIKo7JEjdGbqPevhW3vSTWW69vWX+U0jPHM/s8bPehIgHVGqffcyaDV1eV7qQD7
QJc65WSaTqdLgvohz5fgRzAXLFw62LEut40VV1bZY4AGD0xuaxBX8l/kKPHG4Mc/2LbAYYKOj9Og
i1XgWH7vnXKvyAPXrs5SsrYUQcThLiMUatEBgye6/z/IuIgEptQmrarnoAyAOloQZRuo9FTUo7W8
1bWDlQoofrhwM3081hBxjh1r9fUy0+UBXtOSINpWE/IGjJukzpgV452d2bKXRv6pTIVd4ldn3+wu
0MWCWBUohsBbefnp1EoBE+1YlZDquZ9lP6BdT6rNP3y2BcZs/GIt4yRXfdIDY4jNH7QD6VwUua3l
P+Fpa2eGNXpkTO/vIU1IkoPoDuyHV0TWXdZX1tSGJfgCnyXJtYMPc9o1/XPWK5j5F4DxAvkSjDmd
ilbxMaIZla6Jx/ew+9JiyGuDXYSo31MpdPz+EOmCKi/vs2FSDcchdHXw7ZgdV4ZRR+IZUpKn9SDT
/USR0faGIJhcVzHgHrg64DUenYEQYmVwprYam8rACKXSt46hPgWR2yE3wpuf7inBpwq1j+ynZGEG
bhBEcd6izsyVmEjGdrgiucGkKTgTS+x1Mgw4f6NVFr0Q87U19oH5mKsRuPKfb/sML4r9lhvAbXRW
nmXSQKMNgriRsKZyqDy1hbxvM2UV6gMa5ESvHtwjaoHF0l9ZQ9hpyJVwRCVf4ThzuuPRGFIBL3UQ
4fpZ7BQ6VA4p7XuUh19v28k7iWc1NdQyofmnsh2feRt2DUZq8bCTdoikjzYSj5yAugj0jHkpCGwi
MGZvYABZH2IZYJ36aQcbhaZeGr9VYMFRRRfs+U9d3BVmX13YxSRv9dQkSW3OUPKrkn5H2fT2unH/
Pib/DDzvKKjoMf4RYGTWKm38/cbOnuSw+wHSQu9fINCKC2VvgmkhBqIktWoXFZwemq8pZNlIKZqi
vCbMmldJ+w/i978vgnFekoykCVJc876I3PI47JLNeK7etbXxZDjfy18ynvmKVbOyNhLoLXe3DeTG
LbDXg8HGAv0i+3Y7+bTrY4pjFQPIrj6TnELe9K9fVWYTFyBMmgCxO9Wqe4Co9ktl7rLUA/Gbi40A
kp777PO2RVyvWIAxpQZIlIyVngNMAcGGDOEHTRb4HXfNwHNuQ7UDc1VsCUfK88hU6hLFsEA2QMPp
Y7oPDKBx8084mAlHUECvH/ttsh7lGb1FDmJZYb8huAeski7MPVluWuf2ovHSHXT5gZ5klqeCVZcZ
gURiDBLrCH82qVfU2MeRp9Ofepk4JH9W/cfbaLxPhFCH/mt08iMjZ9BsDNipOUbIQT77RhtIG7eC
RjzeF/oDAFnHS3PGarKy1AKA0X83YURl7kPRkSHCYE7i0NCKJo+BMRprO35Q9Tsk2rfXiXcALs1g
9k1JWlK2DSD67hjGEBTala0n1CYXGcJsGD3HlbRVgVKrzTqrkvUIHqaM1gJv5h08UHJDCg+yE1yz
55+xiHOmpGCmbg4CSrWmlhPaL0lfgn3jM7d/3V42rkELpHlZF0ix3Y5IrYFUQnLagFxoZmzSRpDw
XRdyEdSW9sz2LlAqZUzGsseyddH0AMITp69wbIeyZ2jJSydTL7RRwOrwahyBAWOinZMX0RrvvXd1
NYh+jGhxmYw+JWmTa+p8XdlL9/bT+DA3ZyUgPTEdG7yP/nb08lX8Yr2JnpW5idNyGZi9PGp6o4wx
Fnuw7NceqkzRVKxTqOKAFWE/aJqD4DVzPnhhJno04QWtBbTF7PIQd9xWU2B0EJ2G4UcFsd1+NYQY
ifcm+em2T3GwcHfB5QVHJIRe2Pvg/HKoFjUFVoEHEfrZF9bcMan3GxDmYVrlNhpvVQGHNxiwxUMu
iRVJTtEYZhsxbu9WKN1pMtJSnaIwAz5RCcwiXf81goJ/JI1D8FJyG5uzey6gmd2TajVtUEou3Uw+
4f05rV5zXwDB8VZAWGBZ0tE1prGsR7lR+tEgNSiJVA9x60ngdrfXfneg6t8WknUo+KGsBjlQlNSu
BEm6MZH1yMQydsZWGfdh8RqLxtG4tiwg5rNuEQZSSJskfgSIPFrF7akCaQE0jcA1aItEMTmnwYUx
TACd6t4ekhIfBnpyWbQfy29D8NDFP25//nm/Mkk7SJeQTuM2Yugye5FNM6lrFPAXuX3qyJ1ju/l3
ddWCPFWkusy7ys7s4hBTNxXMu7FV/iQyjHQenYEmyLgPHse7aDN+SrtglwGtFVTheeF6icYW+83C
LkGiTEo3PYab+Fgew3V0so4ETNXTRt/UG/pxeyE5SQ5q5NAAxLyJBjoGJjCaSV6HkwnzbD12OjRZ
016wjXg79Q/ClbpPokT2ILdAINK5G45Ws8t877YR/I/0nxVX/JYWFGB7vwPG+IAX0jsMCBpf9Wpc
+2/hN2n9D9ctZdbcRCMp6paYS7zcTBBxUbpJrUpXx3ATCtMxurz6JhNEV95GWqCw5WizbFVS9sjf
W+2dam6mHPL4jU6b20vHOzGWKEx+qPlZK4URbIlt6NxBSXw4pPFait9s9S6fHm6D8VxBgeQkquyz
QiO7l6zWrLOkQm9oONYKSl5GA66kMlyZk6ULVo/n16ikEzCzzfNHLGuihLZUH0V1HPhB7zUTPYzE
/oelw9MSrvUmKPuxhS7dAJRwXab4uHWHlYokbnCLsdgoqGjFBXpfwx+Wmu1urx8vimPIRUf/MkYR
8bx5iUiRAEMGBqlENWAEtqscRXrUQaukj9AL0AW3ExGYcglWqVXbpvKcCeerom3dcdg3U7we5VUr
0s6dV4qN5ku7mNy+kErLSnxAdcMdGTFUohSOD+LEzGt8jP3WZwmp+O2l5LniEpI5EOs+6caOIi/O
82Kf5PY7NZSTqoFT5TYOb3/BR1CcB6mwIbOlmW7CFSWQsIsHKjtK8lqZr7bm9OZOjrbCJl7+Ov4H
xhZpCpqNhakArAzCbZ/mx3Bstzb1d5GWO5I5/VSMAcR3EukFVvJi1cJKlp8xJHFvxAmiSKFb6CV4
GQLQwkUnyDsLgGTBeirKpVe2Po3TbjaxV8rvoaxhcrbR3SIZj2aJ1iOiejEJ7wfrgxi+V1gvOEs3
caM41OjvlfI5GDQ8NUUOAY/q7Q/Ndah5ABUdWahPsFPquSqlamlibw5GsG0aBOyI/qomEfUQd1ei
/vpbCxXuxIQAuSEhVSWEUIM8N/4TVe/rfDN9BePbP5iDiVrIA88TH2xVp7erTqomxM8E744jroW2
GbvN+OM2CtcaJB1zMxnKemwaV6VNFlYaUIiRPOC3uEkaP0KkzsvSYk9l0aFw3a6NTNta4DHeMxXT
hFCGNBiXW8WpydcUfivAjUdabY3XoNMkj88+eTFB2mOkIhVy7iZZgDNRLhmkLk0C9KCjsepg6U8Z
8Z+ScFqbWNnby8r1xQUSE9xKVZ7ATYRlLZJtamzGGMSdgqOca8ysWoeyH5nFqC73YTn0ndbkMCYK
v2rVs/J11GykUKQdx/9if3DYLCjAdlf6FF8sgkDCOlg1sYMHnbPur9KVdCzzf1m5BRyzvcokyvQ6
gVmkSZypBHNijw7+fwkVCxDGC21qd0pUz5ex/qnqt2nzGAeCTIHrAQsIxtckkC1aUQw7ZB0GFOsR
M0+GaFySBwKZXdz9EfvRK8j4QJAlra8WACmqI0TY6+oYiqTYuSUGsFgi4IGC2Mas+qWfRSVeHcyB
IMmyPtvxOQhNB+LsbqjdtYhLQ+wo8ZOV/cObEO6Vf1DnuLW4LuOCO9pmCFS84heUuIYtqp1w9g8M
QqMHdLUJHrnntV0gVOgeQCxAHNcG5SVRcfmK1OBHO+joqaEixVNOmAUzo4ZREQR0JKyMV/ejMRm0
QTyQ5C+ZmJ4xJjspHz0LjZxq/PnXwecCjPFucwjm1mSAZem+xaBnbzp9L3ge5K7ewiDGvdNyApFs
h9LMhE6kSXlR0sek6Z1QxMPPSagubGECad9IpCnxvwsdpZe20tcmxcy8XXm1ZZ/GVn2B6DXojUXu
x9lYF7CMcxiTYnd9Nn8vvLEa6OfIivtR9KY2/3Ym6b4AYXaWZbWBXNawDQNnu8yqMGUgat4S2cFs
ozbSiiENYEc8qIeODs7Q2DAkFQRtTk54Ycn874u9FOY20t4BMJO5MejRouuhhoqqiosRzdzi67Z/
89cNnO7oZcY1jD35aCZnut0gepdj4anNoQJF3W2EayE4jGWDtO1/IdhDLy2lJh8kQOhrddu740pz
Byc/SC935L7/CI6qqzyj/eVUbvxVAtKsH9kvED7f/hG8k/fiRzBBQ29qK6/m4i5ma9reseXjAALp
wgVpdAnFnVZ28TJqiGD5oeqP6Uz0CO1OonIB1LTSnUZ9yLKPcgDf5eAEgyCICD6kyQQRdYiSpprL
roZRQvx2Y0mi7IUfPv4YM/+ChWMWUleUjT0j4EJr9c4QrPp4kyWzaL0Xy5s+397+aKLVYwJHhFfE
YcoAOFXe5HvTdI76BNM1Xq8K+CD5W/uPaUz06HM7g3oPkBqyGVtU9WQnl0XVUE5T5IULMvGj0vKG
ttGcjY1o4fWM6K3Ov1FZczryLY+h8+h0Ip1OkVMwsYTglVEjGuxS5dfW/yYsVYrWjcmZ5KozDH3A
36d2+F0a+y3J8jda6uvbjsDLm5ZLx746UaMMu2l27jIAy7UFxYNtg0kNleDx72SAAFvZ67kIVLB4
bJ4R1caQtQYCMRzd2kUrArbAbX6IdogfmuJW99IzYkj+1xTGc7hUZi1XWUdH8nUNG5mPrwDWAuV8
lJGdinqYKX2aqagNhmvgf0hXtexajjCx1gJprDEPAhW9svmXfbVAYKJuYZptS+azrLYSx+w+9WAd
NILQzj0vFxhsjLWqJq7V2Teyj8p+mgIoVjwMKYWGANqcBWDckKSgHRYSL6gksG+EstSblVFBRIso
D6qM1xrLG5pjG92X0ua2z3O31gKJCUkEShdtos3RonkkuqeTlV2KIhLfAf5Yw0QkNVAgcdLDml5C
wtStJJWuoGshl9SpZLcAAUdmOYGKbsfXJPsoOrcXDWOLfgEToEZQPtNynmRvii9D/QSf/e1V5J5Z
i1VkAtSU2pOfDbOF+WvQP9ryqpHOfouN62UNBAtKUd+9wEFYzj19yn0tD2FQEG/xpO36k9sHn4EW
up3oKUoExWwuo6+VqZVnX0R9Upq/13s0vnfJXhc9q4mQmC2mJgXtzWZG6iX0KR8iKXTlxjEGSMsI
Ntjs1ld5/EwWbhNwm6DOfJlkVNNIK3+ukBDrTQKDdmD8oPq5EXVjc3fXAobdXUqUNsFcEJzM74aN
b3M0fEF/CNe1FxDM5qJWJ7cgoYDrWU8h/TVqu9uuLTKB2TqgnjfUwMdKKXnskCTwSLtR/V//NxBm
/4xaZfVgAwJIZ3i5mrnQRVGD9/8TCHu6Z3UdU9QJcC/FORQrK7DFO2YkohcXrBd7nNcdZk6auVoq
my+h9i2CMOwgaH34Xa+/4b0Ws1Fk06rSZLbEBE3Tts8c/f6bco7vrbN8B6KJN7JrvJQ6mtccXwLq
5JVTHURkUdzN+sfvLOYiUFloALbmnG+QbFfvXjHF7dbFMYmOsi3SweM9VQPqv+1qzZtgcSeQIiVM
zApgQfndh8iTT3tvKn/5w3MS1msSq17bkxW1bdDNZGvdyD5uu45wxZl4EfpFLuOkRAa6lo/y2ked
c62s+l+ZG0ODczdtiqN/qFf5K1k/BD+a/ettfG7ysbCfiSOUykY6zdfnoP+mlS+SOkGOzVinsown
TcNy8gTSo7ch5z95y8eYuFKEnd9bc75DS6fCZIXtrzpsFqkTRGLRfmHiC9i4agwrAwda0dbgZf2b
pAlOZxEEE11oPWkExz9c1V6bw2Oe/hAOGSiC7cAeyKNqlgU0mFC1OYLOcCM/Rg4a1s7IR+vJC076
BhTn5Zuy9h/jN+ONOP1WuWtd23uZx/8zUUFAYDH74FXlljS2we+P95y2Z7t51CLBucOHwOzG/LCO
awTjHzRV+4rMO2KcWieMt4n/ooi6OfiL+geD8Y3WUPxBtoARpeNLlEHpaNDWCcSvyrL4yDVRiwp3
l6E3hYCgG23zrGx5Veu1kqnIP0wMFFVG4djtuqsjryr3YQw1VoFb8otFaLXQ0CiN8St24Ccz8iYb
shFF38fmFb3ScJHoiBE73cnO2p2Q/4G7oxdwzKlR+1NijybMi8iHNu6tCqTYbiaiHrhm9ZsvlgsY
5mAAc1Vu9QWskrbWw7gip2ivFl76Vn6rHXkXb+J9ctZdf3U7XHHdcYHKnBB6kuLNLQcqVY9obSTD
WygJMqE5TFxFRMzvgXIMX+uKL7WvU8XIArxvpBinJVs5WTUtqIMGrwk2mjk401+T7s8ruQBkon7d
KlKiSrAptUblaCA7BgmAjqdJAhW728s3Lw9j2292Adw2wY6FHXd5wMp+JtWq3GRu2w0g6YmNZkPL
ohEkLtyPtDCIiRkTqCLiYUIDYmsnD1MeulFgHtJBMP3M9fMFChM1FASIJmiBYqQbC5KH2jkjd7po
8OWaYoT5OsySUQOiiIM9d1NOAaTR3JTUjhHeVeVqKF67wrWiA8boIv/QNY9j7Kr62v6nyztIDqAG
a2A6kaW877U4hKbS/OKGpzB1OOrjN0MUg7lev8BgVlNFC46m49FjLhCEqpdlP0z6nU4r2f+qtFUl
GtTnfrwFHLOqjRRAd9uHSZr2ro+fsvJs2AdhpY/j7hAzggKDASUG9GIzjggqeb3I52/XjKCFqX6E
vsAHuZ6+AGBWrddCLSpNANTQ4sj2mfozENF18E4r1KPAojEfkOg4YbasrUuhFSCcq2MBDp2Q7m0d
fWZTG+t7irG5u4BoyUbRmmx7O1bwPhHaXy00JWLkQ/+9MRbJuDLkg27nIFZMjUfTfEDb46AcElHJ
hreCoCsCEwX0KzA9yThCr1AI4oXqvL0Uz4/ILtAnT8rVzW1jOJ6AxkoMY8MdUGdj3zMahEMJrC6p
SzDt7pLQJ05aVqIMlMN5LYN6WkMXp41iKzoRLz9WESttmmVV4ebjetDue93p7Napps7tMIfVnmwd
Q9q/rLp2QP/uyfpfP47CQJThdWsuUuH1nMH3sXBSTxGVMmXfR59a9RAGX7dX8vqSdoGhXk1mmbqv
GzUwGlt7UBTIqaDbYCCfsZ4c7VjZqhHeIYLxI24lR2nl3czzevsnXG0J5hcwpSrZJtRILfyCArOB
NvLEprnDxjgYdPB0EJCOkUhlmfth0cw8N3TMHfzsgG+Vqkk7yVoB+cZgMjaS3tfv7QSZCIxv9PQx
1LvyoSKQzVpD86htHF83g+Aog55jixtDp67bVCP72Lb6vy7wYzEwX4L+BXSBgISfjXGppTVoQcGo
c0YOMvkkFVRRBswex/o/EPABywY/8Ky/AlEBBkuR1FILzWROJ+/8/mXQJ4eAcS9N0EYDQowXoz20
+j7rXkJDEGh5n3yJPP/7Ihh1uVJHYZ0WeO06mdVJzncK9G119c4MX+RJEPmuM3asKYhc0PgPFofr
Br9YC4NsJEXhlrZ21Arlceye7a5cBUGxLmPqULU/EZIcLcnaN7L/8ffujeF8PJ+bBCPRvzfgwtao
pXqLJma8Jiv266iHjlKomE+00OxL3utIOdBAGLjmLXORGM4Woz/TUAyoa0CK9XJ9pWFUQz+AxUOi
Pw8K2Uuj7IEEIXETIzgacu+MCbhVSoh++1+ZJmL4up7tAP48rwKhEqTdV/Okqh/KZkeN3C2aowWh
6mZn9SA6tUZISWwte2WBQtZfp0hMYnfQ14koH7l+E5x/AKa1wH09d9+zfCu1HflNiwFdt4ccd9Y6
VAd1kPQrjBTHkLbpuNP8E/rd/v5L41BC5xbOdxwbzH6aojqowjmQgSYiPia0ztDARcsT2EmeIPR8
Z8b+9y6xqSA/vzrZYauNASHNBLE+QTi7/NiyWueQraaFq1Wqo7W5YxrjfTT0DpEDQR/BbAHjV5gT
M5G14sZhoz3/EsovtRq61aSAPPgnGkM2SHM8CL47Nq13Jt4Ib68n7yuC+xS8/YACtdXvS+ti67Sp
j2cuO0NWXtdPv0cXFTS5kGQlW9Wmb86dTdyu9deBLCIp4qzpBTLzKaUCnU69BOTGP/d+7NK8dqQ0
WGMG3RMYOV/gr9YUZzwksGzMMrKvhtI4QcAgQ3ygk7rXotjBCXMEQ6gHWq1VAuHmrAzXhfU4GeFh
6o1N8w/amrOssILwhK5DbFomWuRTVClhDmMn6RvVT43UOCV9bGJRxykn6s/0jjKki1EWVtjnG6jA
+w32JNIpud3XVrdCL7ZrVPKnlNMt5FFBAS7qceBQxs9tgDhQweOFzs3fmcDChbTSNFFWA2YS7fRi
G+l7OdjU6VaDxry1DScvM9906ZjbayV+QaPgPBSmm/eQibn9mbm2Q4kP3Z1grsAUzeXOaVV7CKUR
vyOG+nay0dRnUz9ZmKlKwoOdinoiuO77B40lT4GeYRXFFeJ/jndZSt6qJvSGQXNKUcjjBQQFPF5Y
WBDN4lpxaZafKmPftpBdRxLnllKE2ar2MZfLQ6gmj4NdP9xeRV62iuoKJtZR7zMtg43rDRlIpGly
4cr26OB+i66EddISRytPOar65cqPHn2oN1qRS6Ln2+AaZ6Musf8faVfaZKcNbH8RVSwCwVcBd5t9
bM94/IWyPTZiRwKx/fp3cNVL7mV4l3JeVZJKJZX0lWi1Wt2nz1lU4jDka+iyMGEbpFpTlN4avN1f
N/Hh+YQsn4D+DWXFedh4OcoFmGfN3QjIs1xzQzdVvq2PyAKT43Uza/ezaeNynuHsGOpaDk/bikBF
qB0R3qRX7ZOYEzaRIn6CaoQXgI8m33NV3aXUgXErDpqRpIzHIxLD2P6Cvk577Kpi3DgiK76ED6vj
T8i3ItovwlBeN6QYKZLyKmuU4yPZjm5dnk1l4Jm5iBmVVnZja1Fabxiez94iAhMHCHLsg61DomYx
tu4kGcg6DUzIyzg05X3vCNChOD4FYDSH5kITtFuTw2t+fGFycW4SVXp9N8xD+eieiPqLJ3XQOBUh
0bJHakloL7ScIbMZWG7q+9zz/D4yNxAefxKDxbpxjvAHsEQ6wfzg5eEtRiRpqcJhkiCL6nKInWAo
VtjvndXeEL3wowwXHvnuJQ6rbbmH0q2P1tUhKR6l6xwyu2VRUrHUSW4i19lzU4Nuw1a9ZN1VbYuC
jAk1BfDMXf5IEDGlMTSMEco6DPinJ5V9hcoItQKUC7+kpD6S5KvRWMx0+s9mAd7QVGLaxdxI7dYO
Jo4jiv4eKgIfuDJwAEDXNyHxSSwNYg4EspPSLiCz1ciNp9G6JbQWoD9N8QZceIZBG5Gr+WmaEvPg
GvzQdHno5HQj0qzdEJjotGdVaMgjLSPAoFtaaksMBbrcRBA9JNl7UlU7slWIXPP0eQ7JxvMLFS+Y
u/x+5ZjYaODP83LQrgNbGGBlO1uXUCtSWvelc0f6aijDOBSc1rcNbYxb15HGDSlrMH4aXrxxg6yd
ddTKQViI4itKiIvtrdracCZoWfgOf3XyRzf6bQ7HpAmn/JEXn5zu1/VIu7LNGKb/19zizkjbxNST
2RyP7lxQEFThJF/IVuNwNVH25loReFxmle/FJmOq1LTsGe7RgMg5uY2qd6X9NtuQohxr7kHRmm8F
648sWXNB6szkvPKzxCpJVdXRbO4k+kYgX2OmPf/IBMMrGlQBnJXs8cR/aY/Kp8GWaOzKpl6Yni+S
M9Mjr2XjzRM/afkmdD83cybHh97awjSvXEgXdhZViqiI9KpRsKOZ+U4Tmp95INobmiPmkoF02lKD
W0sRz3d0kSL2Fk+GpMeO5u3XSaIzVX/qk2ddC6qoYpW3u+6Zhr328MC7Ec2qWbISaqKX2ziB/pSW
FpJEDCRRBUXRYZD7RjRuEyIGOSfZmsIKY1Cm70aM9r7otTTR5vRG69TSokOrvDaGnZNZAOaokY7x
jkzj+GSOlQ41sMmy8keEc7Gv+5LQQxJlw/cMDJ4O9B5iK+RTjHslhkzVTSNARBSYkmPEVThdxcMB
MgynXK80MP0hDlilGWk+BBSMd6/Vm4PZ9NkY6IWnJUHH05L6zRC59zYIQW2IxLj1oxUT/bMwjfwr
aKtdHdNA7oRnaqPHuk8SIzIZr9r0qApop0Ehy8sCAzSb+A2uuoeytGWzXNfi74ZMoOphOvKTJdBi
DkYl+lClrf4NRXYET6InThW0Rcydnc2FeYp7zFiytu7b3C+a3ub7ptCKY41ANkG0JidB1kz6wRNm
r7M2V+bEvFlbiqVDKRDr0SM89Rn3lC/i1H2vgCDxR0W931lcG8fC8pI9ylxj4OURd07Q8KwCzOl0
2LcKm8ziJh3TAEh/5esZel2+0knxS9SjunMmr2og1pBGapdEiisGZJX9u/Ci9juUIkbXz+JG/lSN
UX6qgPyMmC1GN2ghkfE7t7G9z7Si8T1gH3oK8ue8slhPplvSQgalkxk67Qby1rL33H1XRubg87o9
Fq1KTwCRlkc1CvOot4P7XQx1nzCz5JjVkw08TJODVZ5sG0TAd6VduaGpdUkcyFyVN5i5i+50s9bk
YSwNGgeZqWt3hYLvsrEyq6+mHKOSRZhwI74cJyGCHrDp6qkeUn7jyNEiM5e/mFg5CDHDjKvGDgcI
qOxS3jf3mg1iIiKHZGJCYIKdmVZlGo+13ZV1qHpDxXdaK63boTeb0MIr7kfnjWLvOU4J1Sh4RrGR
aKzelx5KgeiiIJqj33V5KqVs4T0FxjFT3fEjc8/Fndm/Zck9mETL9GBVvwFNGa1bx90iLF8zjWc5
ipSuhwsb/eRL01XXeqLJkGq1iX3bdN29Hb9ngIfYWb03YW7su11l9jeiSFiTQxGDVBtBaSUEAoVg
oMVH59mDZcOl1PSp4EjGfaWBQsDf27eqJziVus+TLQj/SnSHNAoodSikt0Frvwh/BpRUG6PFUB14
AhznvoaoRtIcxuhzZCUbH3VtWajO6eg1AICAYHu5sfXYI2yKuPajhqAeK0h1MvRB5SyZhA0xKz1R
wRQbWckm5fR/zViAWiR4k8Hy5qFI+KEsifJzJ8FeXvo5EMBJnoSeJu9aTT+6zZZY0crNfGFqcWPm
WmdamgNTYhAHFyI6Gr4liNT92Hq8fn2tbCnBJD2YbwHrwMttsaXWMHrSHfvST7syjAq7Dkyt+qQN
fZjSInRzLRyGaiM1XykAXNicV3+Wd9A4dXiXwmaOIY9SWniFfLq+qvlXL15k5+nicuAuqr2ENGNT
AhoQMQJxmwxTpZG7MXixundnSenivVvyVHVTr0p/Uh7ub+0lybz7pHQgyJHvaEz2XfzXmIe5GaG7
YD6HC1oocVxuXWuNTTL1OAEEE82NrpDTgPo92RqjWvE/i1oeBLhR3kCze2kGbRW35jUyQ6MNpX0A
0gLJ22e6VfZaezpDZgFvQZxm5IjLQDU6Q23VcYK5dpzXr2LIKBoL41TaftvlGmbsnBi/gqfZODGn
J5HDRuQ736JOgcoGWtHZbRkb9IY3nXfgscNDD4nRjSl7KzRI3qEA2zhZFGRtXz0OuYORVVN2PNuI
S6sOfeYIixCY2ChxW7MjSIpyWp+iypNxa6PMsBJnz32azj/i7NRUKEYavQcjpG2BuzoY6l2SJzv5
6djh9dOz8vVBlgrqN30ualFnsRyVqpYaFR5boJnD9dkGVnJwgLWOXq7bWT0/Z3YWK0ox54gOCVZk
zedFZT/dWgeNerrLcu/NjsipzrKNcLf2woNfo0BleiA9Bvf25S56XVLausIQfe2gRs0nBoGvMJ++
gbeVGfxbX/hmHhTECK4vdSUgXZhdHKisKQtTpjCr7D6si8/WOO7zrTmc+bcvo55uEUDZdLBX4dq/
XBtAqc3Y6SgRdOiOxhZ/yGK1sX9bJhah26gk0oAYJooiw1mM+JPZJhvXw8peIbCBDB6FabQBP8wQ
CJ12+Uw94Or1c9lo3+Mo3xVR/R8qGOdmFiUFleTSaV2YAWFDnT+ACQnJ0d3MaeaFVvcKatXrLrB2
fkEtBggMGnCQY1p8nUKgZ1XYqIVCSDioqvYhnWjYDuRktlFAi3H3H8y5+H8Ch0XRFluYSydHOMrA
oztCj8+Y8tAWTmDWEl16fldvoUPXjjIQNv9YW/iF6IZBg84XEF/aw9Q3zDTfm+yutXccuIBy69pY
Kz6BX9mxZ50x0Dovik8kS8yJgwbOl84vQkOP7of+d55+9vooEOp9AFXl32+mjb7eTJADxNkSq0ys
Ad3aOBOgvB1Cu4pqNuVkYAoqDCOnkLt31I/rFtcOAYA1QH6hE41HzOLzFXyovIqCrKaqILA1OA9x
bENGONsiG1vzSrzpLFQvUciD8OhlzHDHkSY4a6UPDu5uumkiybwh5BIvOuM/bOJZe2CZlFkR6udT
jqSWyq+VrrMq+TI6nNXg8N3qEq6EectDPwaNNOTrurlsEyY6b5AyQ0+JT/nAkhxdgH7Ubt0k+ZXx
/G6kvA6w82WolxgAFrSXv//2+83d9tljoBo5AwUv97UaBxNaafgBGN+O0YFAxTIa+x+R1mxJjX48
erMlauMNBlAMkHyXlsggoPRHhPQ9Er2WeddBqAYNvNaC/LOd4VEEwV9E7a3C5UfHuTQ7/6yzdCSt
6iqyDJgVkjLShQkNILrEeBmxuNuIZR9vnUtbi4peKSUo3DVsZtJQUE7ig9aH//K5/tnEJQ1eLcGf
kcKOn7j3Diip+v5GZhtHeo6Bl9fzxSqW+BJX6ZiTbbFjcfk7kaBfRMcAUeWhFd3GDfoxPsIS5uDA
rwR4AB6sl99GdxKO9AmMZCI99bke1M6tSKGfZ/iDVTAL4nZtsfGJVt3hzOTCC3XeUx35tvRJB8W0
ymCJoT5lpQh0W/PbKt9f/16re3lmbuF9iZIdUleYy+2RQf3K6Z5EM6LA+fwf7ADYCPkyXDdoCVzu
ZA9wsTGOaNi5eX7ncR7YEJnWQLzvlFtcb6s7eGZqsaTCybzO7lpEjMYv3e/OgF7SAK4nvCqcLdnK
dVt4hOPO1mesyuWylOn2dVHCFW1LuSgAfqc8PwnTBKYCR0uSYeN4/em2ffB98x+DS5JiGypXZYfC
tw9M91GvyclJmpsm1o+l+tpy8QA9CqTfzm1l4DXgbdXoP16m+G8svGRnJZAZA3W5XIihVVEu8BXx
pAxSYbFo+hHZW5TCqz55ZmXxAStAGlSbwkrvGSiQiludpzsF5hbA7Tegaqv3G9hcCTwSigMfKmFu
U/cyLmBLa0Ozy1HOTVgK9ZE4qCWY6eNgiIFh2xItXN1HaAPhjYEr9cOtaipHFHnfI66M0W5woHJg
WGngaO0GPG41fv1rZwm7GbnWYySnk0AweCAg+daUYV8q1rn7NAI1vfwJ3cbw+kGfP84HBz0zuUgp
B9csbc2CyRwfzMM5z1hX+I34lmLIVHc2vt+WNfPSITEKNKPysZGkZ2b0KdaeHe+Ok0+8DGOyQcq7
tZmL13zvlA4pddhyOoGp72Asdy16KPpLicbwYAQZoOHX93LL4nydn6UGWY0ukYGUyjfGdNfaXZB6
YDGajCBW+TEaii95Mjw4qn6/bnY1Szj7hIuUy4BQd+dWMBtLNI1EHnCyyQa6+uGQ1KEuhnc2kFqX
SzNLFIhpMiJPgFB19yLF17a5AbLHMA9pxWR5KMhumnJQET+5OmeODljuDVVHC28VKJpdX/DqcTz7
MYt9lknRdGOOBXfOc6HGsM5udEo3jKzu6pmRxa5i0DW1e4EVZ9nJkkMoxr+H6iM6UwyhzNAGSJMv
LFB8qrztJsQybKHRvTckgjgPc8VWVX11v84MLdKijFhRnYJf1+/BvVJ1aL9ZL4azEbs+GgECSNet
GbKNQswyy5NQts6pNwcS0vtowO0rEMVWnvHXn+XSzCKCaDSJrczCt8egUgcIph6FYwLJs+se9vFK
u7SycHcN80Ft12IxLsaQivRF5gkT0Y/e3qikr9uhBkUjG1nCcprLHTDClzvIfUjr7LvIPk14wTGr
b/e9Y27N3H8MT1iUOT95AUGCZy9CvelCBGIgg/QV3ICPn6zUd2nANcLsFGSxEALQNwLixzN0aXHx
sQpuOVmMCUm/cqZ7MAWzdhOPs+p2LgZzUe4BeGVJetrRoaJyxKI0CwP+ZU9eM0KjfZR5W0zBH3PH
GVOJgQDM1SAQ0kUyBabBaTBGIv00q04mP3StdU9Aly3ezE3q7jW/QB+TQO3VwhDG8jCpBhrxbuEg
bQQ65utO/zQw8wnzJzdO4EH8Kui/xr76Afjqdbe31lzk3O7igxlNkrmjY0ufss/uKb+dHoFseuh2
T4af458pVu4V/jGNmcc+ow/ud6+gMg6hThnKsD2kL8BjMz3w/OoWsIawf7Xer//Cj5QcLr7C2c4s
TqZbVWADtuZf+MD3/HP9SkPuu4EX4hfc1GEftGw6ucx8LtmJ7y3W2RsB6ONNePkDZp8/u+QnXYDn
ZcAPSIyTlK+G89lIj6R4HC3cFBul2pV099LY4opIdDOutAnGUJw3yJ1lh7EGRnZ318ldVH+SUTjV
GyFp1c3PNnhxWaBHD8H7BK5n5x2zVMJQrXWQG3bRgW7dgGt7CRU8HZOsOL8Qp7ncy1h3o67SKI5U
xQbNYoMXsRGMMlPcBUreFK/XnWflNUaAWP7X3sK9ofJH6pTCXpl9aQkgOvdF/Q2vP9+r7rSRDcPO
VZhj3LhM1g4VqnIucAIEPMnLkbyhHjSe5RE8ZniI0qOWoNQehwb3WFYfTP2L+9fkTTgjBFCBuQZo
UQz3XG6rlzRTBoVsOesK9fIbrV6GaOMcrkxAXthYFo6EbdZmKzXcXFJ+msopUAqzSck3oMABpjMe
jZpggDsPdLffCycOs+mV6tbGWVxBnFz+ioUDpXnC8TOw0plnrrZ/iKh8KoZqZ0DrNTFf0DHGU+ZW
05K97BSbhnyDDmXtsJzt9FJiIasMu/BK7ILTeaGoUR4nr5Nxa6ePdNjoQK150bmpReCrQCAvKMrU
vo66o0Q/I6aBpd6h8IdkO2sOtPsvwefc4iLSVbaV0maCxWz8nIo9uP/jqoA2Rg08+5eGxiHXfan/
fc3z8pMuQt4gkZBMs9WBfqmIx8hWzrW1kYsA5xaG3TQ1DDTlhHYh1Be1vmNNmdx2VhVaVvRSQpIN
rfjn69FnLdidb+cif9CaqK4hnYlg50To79+QrGW0pX7Nf6XpMfn7qsy8j6iRgGQGGO1lajm1Im2A
QcSrsPiNGXAUY1jpBYXx5fqq1vKvczMLJzEFtKTofALaKT1EzXhHWhLqpth4XawlROdmFl5hJ22s
NxDzmPkoSsD/JmrtIIJDU+dwfT3/R0j5d98W7mGJaExjDZYktM3B9BnayaszBSbdW70/2bv5CW/7
Ew/AMriRfq3eTwS9L8D2QQGKabPLwO0OjVFNBCSmfW73v4qMDHsnm9JjWVNXMVVE3bNWk+Z16ogI
OqmqE7HrPpRp8dc8b/MVYszqUwaZJfdmZz7LcqzcUQmVvPGLjgQ8/Vxnk49XAiEh3Wp7/2npXZag
Lm0trqtosEEx1mDVVKog6SfYhLEp/SIyx5feW2GNAZZ509rZXpjOG60h/K43fjf0t3r3W3OLHdz/
mOs/PYODjNjbW4O2T5PoWcj0pm0wDeWZx+tusub2Dr4w/GR+Eiyb2jASA2vRNphbeykTGSa6w6x4
i21m9Xo5+wqLmK9xAEFcwGp9Tf81lMde7mrtpip0pm+9OLYsLY6xh05pygtYcr3Yr2hY1p8r/SvG
kcOq3kINrQbgs1UtznKMMhkYBOFbZb5r5ScNWGUyAghVs8JOfE29GsnL9a+1mkefu/PiUCNHgqST
g0Nt031qHzUV6qB6TgGQlUGnnrwRVawtBeb1FOlsnYuA7wmoSLYUe2rVT1TBZ+2bvHnNJ9DEGvGu
lC3kn1CYfBpdJr1TtgWE+OODH8+VMxO1ofj/AQkhrDGiTZs0vg0+esn93lGM8MOU3iOY1PKbGzcg
BX82Bogqf+69k6O/UrU1g/2RIu9PJPn3Vyy2nmSjqnsTv4I+PDhvo8/3MkiPDWasGPFb5IisD/Rj
5f+sGWe/0R7Ud1mg7fLQC6a3626wegMDHPy/G7L4IAaIVyTiWgPySidjZv8NpZKEWVD3ULo42qQJ
BmVvKb+svljJmdVFKAVYz+ONAasyoKzcQTbt1zfAJVn0zvFYLbHq+dHqMBn78Q6+eRi2nvVrwer8
FywCbGKCRj/n+AUZlBAEHAE4nHqLrdOaH09X3G3JhVihzJ7mNqzomFkI1cHcQ5Dj+EMGxQ+bWe+j
H4f1a6QxN0iO5akLWzb4/Zv1/BP8d7vqmPt9kAXbh3Bj8cuql2pay+3mn1WrjDbMzsXoY7BrOkQZ
N/ypJiPK1dzMHg3eA7BDe1AqNSrhDUuLRP0iRkoIy6LR+6ETLwWtl+Hd6W3htiwuPQIRzSFqwV6d
iVuorESCddRunkHepXYjTxu+A3bFw3YXGciuhT5Rn3MRxWHh5uIUp3Z7KGhn3VRUoPgrNONp0JXz
CUUOTEaC04BA+a52XzEKEp0yGY8xq/pIYY4E6FBp9dN9Sb18n0pq710xJaHQNJP1ripvi7ShAWrY
MhgL2X6Rmo0Hp+PFyQkUMd5DRST9Dg1XF8MQU61YQ10zDSZeoOfU1lS8WnzIdnZE9QCDIR4bEo2g
ftxYb0mbqccKHl0E3gBEblthwnZqC/5ZSzuH5bxwH9u8GynLgFRBOWaMLNDKuXbpm+3o/NSxYzdc
xGWL8qPSY7QNa91iwuMDqD3Q07a1nPaIzqI9Kc+TL+7UjZ9BAige3WHgD5jByU5ulxlHAOaMMO87
/XcizO4JpSH9rWtN79iVHP/HyJXFrh4pPvg0Gu1RotN1ijOiP+lRH0OIyyzdL53etXdcjE4NElm9
fI8mqu0wG6MiPwZs4gDsWl3gvs0lOal0NBxm8tYrd6iTEYzARBHw92aUKYiO6L05Mjc1jedxaOIn
Epkclc86j+4bzzEfUQXgFtTL3eIblTNVUJXGNQYhqNRclgnqHXRSkkc9ytoTLyztznPaHEPxupuG
0onG32Db8XwtG/stNqw/5cRrR3dRFyFgkLAyHWfEvEuekWh+S4PH7BQFP0uW7M2H6pgEr/0NPY47
zgBOvh6VVyYB5/zvn7DsLbKcgjeV180B0t3/UKjYHfgnYOSnp5KZb1PohukTILn0lj5E9xBU4WyL
u3k1HwF1BoQIAS0HmdFlrjvmOMckzrD6tiKsHcWdQyY3jFT/vUjdn5lUt7TER7Or8Xh96SvDyVC6
PEsjF5fj0HpZ71Qdlq79bMEMRm85nrxuJDBw1jHbYpJ+cmSgp6HJv8ViYHZFN1qys4nltz//CYtL
cbA4FOw5fgIVRaBzkOmQ55EMj1Jt1RPm18vSEgpgQLgC+P4RXJ8Iixb1UIAz0Wh2kdVkfuV63zOo
Gu6k1eH2c8D8bmkocOu5SEA6j5JcVZUbJZu19Z7/isWW01ZWro4OIpTexX2kDXuiHadiL8DofP3j
rqbUZ8tdbGwH1KGGNmXjK6jDMmvMv0ML6Leta28qcVk3bZ2j1SQXtLzWjLwDenj5etTyzLMHkjZ+
299YuFQxfQf3MQC2bWO8EYNuACND+PeLtCGTZoLHFn8ux6HBAQGKuxE2dfmjpEhl7FdH2sxVr/YW
JGl9ffMYEoaggPVeVjSgZ6fPQvbNrOcZD7413Nj5HbSfAhf4O0p2iQgSw9hY4Fr6AP6cP/QkgJss
uz6dl8R114LoE7ccs1V6w9skrFHnuL6Pq2YsqHoSEFhY6AZexqBYjYXoIrwVqukgM1zU2p3Z/r5u
Y37DLc+ffWZj8cZDEcEC4BY2YlqLnSHBSiGyeIuSd+18nVuZV3pWOYjG0VLCgJWul6zGRHffZVCg
DeQQ+9fXs+4QFqpbwB6gh7rE8CZOWaeaBlOg3wsnsCv2uC+RBvmiqY62aB1WomDJpRsQTNtsXFtr
X8zBhnkWQUADr8PlOlOIzpT23AeqtNtmeMqiu3JLmXLtg52ZWPKKxKoUkGCFCQFeIdAbBH2+BfBe
u/sQMf7ZwkU0nAwvw0gy3uKZhlHcMbDGDBPP1pdUy78ZEYJIDtKfdquVuv7lQK82q+bOTc7F5tmg
3BG1g7BRy0NksczYd96OmNAn9J1pgD4Mo8UWk8TaBwNKxgNFJS55589D9cwxiRq10sRTzPesZxv+
WIzM2RIKXLXxR+R1ntUEGuLSKYZCYEq6xrpyJ74R5t7s6kNd/9rw+7WL1D6zsjjIaevKvO1hJQHh
pYH3S1VlzyIaHhri+kYkO8ziy4B0fdBL+7Mnyy2Y+drVdv4D5m0428oIHBhGVSBja7PxK0bZ/GFK
foIN8qArYK43NTlXQ8rZehdOahdG13cR1lvyfQvNieG1TV46tVX5XSsPAOOHsivKXTqY2BarKngB
OT3kgZPK3ifdfS/MMbRpxqwmvu3Iz05IliigxpSVnAjmmt0C+gulaKD45/AUUn/vtWvcJQmoAtut
tGXjxy1lTErqtEkcYct7TJonN5O7x2SsZzeYU0sDzBZcd7F1P6boHoLbBZM0Cz82vbaJ4nkrSlAu
1iUIOiB8Scpyo6q/Gn2cf80sHHkgRg/FXJhJu9e2flAThOrIzs1df6wO6YTyfhP+/xa28NyxNSLB
O1jUi8lv3ThnLtDhVTtsBdatHVz4LAgdamI08w7SL5l9P8Q9q1Nr4w5a3T+gYOcJCIC0l3cQoVmd
gL698SPgk5rstU/vY/A3NNH3KdnjAmQNnrXXN3D1LIJX1sU80My2tWhR5LVSTmSCCSKxd65wwaII
Qgnouxq763ZW9w+wZQzWA6yNC+ryMGZILKcqgx0b8PaJHDnKpkrLwutWVgPZmZXFVypcVEHSCRso
7Pq2bMZ8F7faG21BVmCa6qnCxPaGxbV1nd/pi/0rjKjX8jltsFOdyawK4vGG81/Xl7V6v4JA28UE
1VzDWabKemzkiebCSp7xN/z93pDuQdI6TKMJHBkW4GVPpYliRs63htw/OgggvBaIkZClA3K+pEXQ
ExBFulUq/MEtXl3Irx3MxJUh7R37SYJoe399qR/3E+bAGYC0GcPUprt4ZfG4S1zhYUJNTycwB4kM
0/yGmbGhhSradVNrK0N9wMFrGbRXaP1cumSSx53HMVXkG1a957IMy647Dgk9tKrZCIwfMz8DuH1A
RcC8AJKJJTRU9T3tmgam3HQuEA57TpuNg7y2cRh+w1NKBwXCByKriGs6NL4wzZG2YG7r4uadcryl
zIn+vTNCOAOjmAZFQ9owl9rnAu2JupY9YD2o4xBd3XQ59Aa76FjrdK+38j4zxcnIaqA23Pfrn2yl
o4rut44mHbg78emWvAFGV6mU00n4ZjSGbTSFVZuD0LfbOULe9Q4/emiCFNqscACxHlRsN3b5Y4CB
fRByY5IGTEmgaL30GanKFsw/uvDLeAIFYo0SjtV39zH6MSFJNVQWqfr7J+uFTXtBzwBaNDhlZwhU
mgNMmn/T0ewo802Q4tpxoFjRH3Y2dEoWfQ2UrXMNWqLzbKi31/vhpzDsgz3JA165u//wGV1AtwAs
piYa5MujJ70cRUpL+FVv+mUJVAja0nHpBGAeCjJAZl0lgqJ7yUDP1HXx/rr5j9es4Z1bX6zUHQor
jgWsN2qgYVFU4NZI+l1fE3HLE22EioD1MILc2J9aQ9/woJVYDuuG5QHc6oED44+LnyXbGNeeqNfb
cCGePjp22rNeDjsvEt+N0TylKK6rLLtV3IsxvUc30IBrHxkDZRi3wSsXs/UL/y1dObrSowLCHM5d
3wzP4Lt/1mL9Kx46b9d3eS0gnZn6sw9n6xzHGi9qBHNgoWvwe4xl8YB+AvcdSbawMQSn7rISgi3F
PLqNAVUwIiwVVMyxda24gSnMWYeWqN96Yv+8vpo/FZulDc8BByOUFxwT+kGXJ78AY/g0ZiY0wd0j
lCV0cTON7yo75LnFyuYrb50bJ/4y1hgM+SSM99SrfZHfafWumA603KMjbk9hHe/tetdvPVM/flUT
RIrgiARLJNAdS12IZrBjUnVgHzHAVGpMQJbE/mj+TL3n65uwagfjgxjHnMncrcUeDF6HySIM5fpV
DjqwMQJ7u2I5WKrBFfMfLGFJCPbAOoFd/HK3OYZkoz7JZ10yaONNzyAuHKOHofh+3cxHxwHbyQyO
BQUzip5LM95gk96NMjS9+tzxhdYCQRBFWwCJtW3DSUDehsIjqKwW0a5RGhTlORgaunrIbzy91O4q
aYLFoOcv8dg3f117NMH/Tmzc0XO6uPRUIwKt2hSB20LSCHmT2tuK+k61xRi6tnfI42c+fQuT90ti
BtC5WVleggdioIciejfzr9e/zccXMpYB6gysBQhfPBwuXYBmvBudAlQMhR2g2hehgET4DehrWUqO
RG1kNeur+dfa/O/PopVhRImVZ7CW9HY46RBFyGlwfUEfrx0sCHRfMwQLE4/LUyo8a4ynCtUVXVn3
Wu6GRvXmDc/UfDEnSJDZ6kcSiS2+3OtGP8h2WznGj+wWaNpeOzRqx23ojoGzstgnTuIrwMFBmXB9
mR/jPlDKYHxAZRqPBn15xbgDT71uwKBY3QjmTTtt0oOMbFzhK2AYGAFQCxzAIMbGubr8XtEAcbq5
oIrB6SJwqgHEyZqPnAwTFunrmDqfu+oFjecgi5500/456vXNABVHzwoE6EGvr3gFY3j5Y8zLH9P0
PHKjOff2vCdtQphvoSWSBBmuQNa6r6WqbgAoCL1JQ3v7bhjGjTC2suUEE3Geh8sPZEfLjqs5QNIk
rQYBOm73M95rsW8qdACzJt/K3OZQdXkLYuBIx7AMKkl4jS4ZS6raSAAciFElH0nid1oLB5r0R0Hj
n7ajHjKR0Q26qBW8zTxJRUB+PM/VgTPscnMN1DvdHm0+v7w1v00z3CT8+ZYCYpOEmc93MjRZCXjK
l57Z7GmLVsRYiUI4sDPJEt5U+MsidhNX47bZK6CLR9YApH1fPk4wiwGZ+A5EpC9WzvCauy8+H6Cq
uvt7vwIrOwhNwE6MSLi8b+PewRRFBXYA866+tZh7co+Z/1p9rY7ZbqvPs+bE6ASAZhLnAU+7Zctq
sCJFkhb7rH1CyfTg+cV+8IvjFIK75ZBu3FGb1hbxlucUQksz8YEInVN80hh/yANUWp2HN3JTbj3b
VpJuHIyzxS2cCKAaYRgzKcH4JIO6Y4INjOYB0INsk3x5vpgWZ+TC1pwOnF0ljoGRFE/BVn9S4Y/h
Jturr+Ir5qjgIMPDVu63FgkvzC08FNhLUFrOS2u/qnD8Tm861p0qvMxZzeJP7V5+edoiXF6BeFxu
5+IFVaJh3RsVbLpPxYEHQP8FQALeemwHXg6BSTGyG/ZvPNR35f5l41Csbi/mEEGjjQfUhxnLPve0
ZpSwbfz03rPvu+jO9AG93OFinU7VcfNzroQ8G4WOf+wtPNVOlJ7V8+ckd3jfP/wPade1IzmuLL9I
gLx5pVz5qvbmRejpnpH3Xl9/Q31wd1RsoYg9Z58WaGCykkomyczIiB6Tc9B/eS1N3518Ip6B9jOT
o25m7m1HV07uK7tUyDb9aKRcCbutWTh6RH7dKy7Yhv5L/8D3gFl2kNjRGQ5zvkUgzIO+9U5029/p
UbICiyOpaZiV3X2E249g1+5HVvtuBSuDGML06v/bpWLIyCRorEeY/K1e4w+UNHziHapflQ1yFxtM
l093LeNiMn+oH/tyrj+rPMY9oX14vS+VRlKgM4YF7bnpAAr8fZOV9u1vtgKahFMLG1SwdBOQFRlY
XcCCLpvGobbPwnY0z/evngWmCQuiFSdxewyffoN07q23MK/iuME+tOST8fikMxyeI+SHwwamtyUM
jCh4IV873IdKCPiaiJ2SPxbjfZK5Iyt6Vp4232hk3DxwTGFDXpuYFD0uvXguTMuDNYB6EIJMkNJi
Mif91CPWZ2kKUUGtFvU3ha6gcnkk5HEmV2YamOMu3KCg/4ZB5zsQb+U9qS2wlBDNmi4tz1jE1aMD
V0w8r4HCAaCD2oeBXLag5MHQ8+B0+qa4YPbNtNUz54Y847xfXcyFpfnvi4MDSgihkA6wBAZt2YTK
FSZ8GN6smkDrFQVMHVov9B4I26TzMYwCE1Dxg4qgJ23KcKuzbi6rZsAzh+cnqAnRELz2pMpQqO5G
RJ7PHdTsXiw3U2iO2eb2bls9hlDGwm4GWEnF1ro2g5FqufY0zLY2n4MFrC+JXc32gVLWD0FCJhvA
S3LqSb7xjtpWZFxh1nYX3h0iNNZQEvrBPWRAdmAoNUQkZnkuo6pv2sZwwl5mfLF1J//aoSmH0klI
y3aAnXEnplYnmYVIOFNwkSPve9ewJ4UEnA0vbfBwRaYx2qLVsahQViCl2H/Gt9zJTERHPzHaLAyE
OEfgqMf6Q7/38eg6hBgUHz81p9oEH9JEpPfK9h/5DWgoP0PHYNEdrMYUXhygrTZAP0lrvMa+nIrB
iF+QTtt+uNOAzQZjrM6Uq2fZoVI4gFv6mAew46WSE7QQ+9TUJxDMZyQfGW2htSN+Lgb/v0tUaglj
jGTqMyBoBAO3KnhOrwBbDn1ZUQAni/qZVIVTCIwH1fcep4+FpVVq13BNJmFwAlanLreg1WCIv0cB
dPd4L+bA3W2ht4AeRtOI4OTYgub+9qZdOYUBxwdqBzyUOC/o8neFO38WZRjXVLXITD30tD3Gc3zl
AwL/BE4wAaWBWeP9OiugJavj3YThoEwIyKhitvAtSh7CybrtyNo6ovyF034+GMBXS329QvRBLTGP
n6QJEZziLG89RznyX43d2eB6PoqswfO1o+jKIvXlNHFsDQy21mZtJxai5NJfjJq0WMNNxcIirH2n
pXfUs6IToeWSz7ZC4A5izexRTLy9gCsJ9Mob6gIodjWmDHxYKIytUieEq62MxUiw0jBEp27xkagL
CgDKalvNKDHeVe8Cq7Uji0tAK/EwutrXbX/WPw+m9BUJs/qICyrwgDsAN0oOXJPwia/CEchH4CAa
SOWqR9bs09oDGrc6HdRNwswCQ3dCh1AtC18BelZ0jTNvT3vPMQC/I9FHRCIXl4jbzq2Gw8IcFXql
VEg9BK6AhOskq446U9BZ+2n+3lReuvKIirjYk7NJEgHe0ECIcie7AbTEHAzHC65utQZpbOlufpIU
JD+Ef5TH2/6tPUeurFPRCEBPqU4ZrLdmPpeWTr86hze9i27xD/kXCFh/3za48qy8skcFJje0/FAW
WNDeuISJjRF1USJR7JFMYrBorlmaRVMh9C6C7IumCpeGAdkeykXmmO6rBl1zlEC/8tBqPMZ97Bvm
SX/BpSUqI4qcWE7cDCZSjxFH+p3qKvb5cuYhy7gZiO8mZCdCJ514dssaeF3d6EvbVIBOVQWOp1nS
Jr/rCEjeTe8cu539p9VIyfBzLVCXpqhABchaTPqgqE35PTsEZ2iVHrm7mmGE9dXmH7F4DDRtGoRV
Dn8wBE16gaQpOptW3Vg9ALW3Q3HtcqcBQItuNCYp0MmhHGq0RgyFuJwdmhygQH3UqjAkZw/bavMG
sdlX4yg+BvfjHloNu/hXPDKSy1oN6+oHUM4GZVZXRo8foHs98avXMj+pHPg8P5XRgo5n03/K8udU
n9A5BlcQqcVn0H0yFmH9q/5dBGpDVunUDgbYgFDnibbjneoKe90d9uqW/0q3HanswOnIYHsOeIJI
6GguRNzc4WyQZ23LQpWtZdvFB1EpyEeZVi0/jvgtk9GQTr2Tc8bUzHdV58dWlcDUgyEPcJWp1CeP
qxDjhXwFWD/KErjCuClpTwHuMH6Aqqi8Ca12M114l7V3Vs8tdWGY+tQZh6GMeoDhKTGnLY+3Lm9C
9Mos5xwfYmjYvf1d126DS3vUZ+X4PIurFPYaAZOU6FxUHhGFCk9r+7ah+R+6saI0ul/nxrqNdXwz
HgOpAoSi93K4mxvkaI4rsiMFn7ftrZ5YC8/oPi8gXlHU5fDs3d/VJfmNEwS7djJx6bV4cHvprDzB
8lC8Tkl5jiE2X4WHbbTJCquS0fdxUsUUOFKkfzSWubX74dI/6jqlK3ysKM0cKdBr562h+uU3DBKe
1Svb0sa8ERdZVhnKtFUE2IgOvNn+9h6TPfceEfUk/RdtUeCu/9lwNAAWY8u13AhYvAYqvsNzKpwS
FoP6WpHsygZ1Biaq3Pj/WTEn2AamuMus1AWOqEFExNvaqUi/EV/k+9uB+F3N+Rn535SHaMVCuZxa
xDKBtpwG14wHdaftpRcD1eOaXDrUYmTM/xfmCzKnmaC0y294S3j7L8pN8PvvD6C+Yg9S8BCsHbh4
QyWsPLSgMpLcIWJs8NWkjBYgitaAWUIm8drNusk1bkIt0BwA9cXThRgy4wxafVIiIaOUiimkuZB8
bSIwhoRvdTiiuuiLmdEX2AWEU3jhrMRO3H7rW7c/3fqtaWGQWrk20iMvMGBQwQUDgm7k5U0k9cO4
yTc9w7n1MFnYom6HdYlSXuXBVm6D5VO1WxuToeZA5G2Djj0YE9KAXLzLZ3Hv2w2aV/FBMpnEKCsf
EfMPwKCjDwCZ8u9q22LDx3EFBm1xLMHwxUF+SNNmeevavL2sK1cJ0MNBTRdiFKhE0MUy4PinJjJk
tIjKyuJUt4pfAcWdupQU7TnIGB9xzSUgstCQ14HI/QEvKhOwH1QB0G9qwk8PalM+jfik/77aCQjT
XyPUsd02XZbnCYCDfVgRTD3uGlXGc4VF17SyclCbAKgISJUZXkyd1mXkCVHWYc4ewuqBU3YauJ1j
oyBZlp/LytDvPbksH8OkVDa3P9nK2QZAG+5BADYA3aBQwdl0gdfqXApSP37r63ZrXCrcAKNjGb/X
DZsJcuV2f2WOyiWyD/c1GeaqERuBt2MOWH7w2Me1JeBL3vZtJUAwDq8CD6bNwI3v2/ci5n3ZKNp0
7vBN5bZLYzNJWAiYlUvWlQXKHS1JlCJowNpaFQIRstiso3s5Peb1wIj1tXVbukJdW4MeaTOOYEjl
7+o+J5lf2FO5x/Qa1FNZLUqWV1TMF5ALHfKZcbyduPKcBvGAkZXSvysm447PGpHh28p9BxtsRl5r
351RKvbHtJWLEaOvZmfcZem2Cr+YNfS15UPxFVkCfPuAZlHL15XxkGIQB73e/BJivrbd9LGVjg8d
c7h7be2Wlqi1G7xASKYClkbXc9M/k9Psf03oW2i2ci8/+JfClUEs6d4O9LXssTRKraAneqDPi2FU
j0BgTiL+onWWDHqV4D7oGC+otU311xZqcNdHtd6CVzXIYasZHsJ+p7NayWtvYmDE51sAwKm88f1o
X+7aTJs8IZawa8+5bvJ2euzdAXc58P6pOBvBskQMC3f8ktEfWAvDpV3qlj/6wYCaKeyGfoVxhpfI
A+snxzCydvGAd+hMAwsjgyuW+lQ9xDIm1MeQMXzLG6ykTi1fJTX/LDavTWLrwyEr7ibjz+0AWfft
H6v0Gy2F0rtYz77p+VeRKC9iJdp6nb3+b1YobGKfJ0aR9vANz003LnAJT/KdpLOmdteiXYF6GOo1
QKRjIOc6Aj0j62pfhjMa/ydPNn16jwk7Au3nCQ1x/tdtn9Zem8bSGpXixUAWmjiENUyQqO9B3IMQ
aBCz5GvAhrs0gq+YSlbnB21oxi0mg2qb55IQjItdvQ2iVMXscqPbTcxSS1jrjwKXr4PTBXKBCnra
18sQ5iD8SlUQ+0+xaHfNS4sndxuIVhQZTl9+iiA7KrvWHAoMevHdsZFGmfQl6lzt26RfkqDagr9u
h17RWeE9qzAqxr137VV29QOpDTVUOSg9DfxA9Tg40aV3/Q2kGV25Mb2N/JCCPCtArnIBAb79ydYy
1HJhqMdEH2hg84xmtvb4pZGPKauUsxZ/y39/tr9IULkcybEsIwOKSBQSkIJNZ2nBLoouXkeMlNEr
Xdu6S2tUtEP2nYtEjCNBs+V9rOZq+bNiPN9esbVDa2mDinG11ae+LLBiXOJE8aOEqk1sieP9bStr
RQfMNaigSkDewzwJ9WF86HkPaQJXJvG59zWzKreVACUH1BEVV613MkAEJavUsebb0ij1tWpDKnVP
QRT23VMSPyoJ3shHlfUWWT21cFqBTQCyIjPM/TooZCBYwnESkNctbLzJOtduqNn4WnZx9GzM4Ro9
ke9Zzcq14NBweUcbDJN5wHZdWw21tkuhSA7nitgOS/Td6u55ylRGJ2Ut4pdmqJ2sp7rHxyXiI2jc
Kbewp8H7A3oSbQSBKSTqJMYdYz1SFn5RkcJVat3z3wE5NuYAHhnIJR/wPjqk0Cvqc16DqlBwzqG9
bpQd4zLFWlMqYMTAk3yJx5p6/F3YvsWtWw0Mrqq16+hyPalg4UQtn/gYwRIOyX2ni2TUMxcEao9V
0NnADzE+3+oZtrRH7W/AAhrdS2BPerDkHbR6XyXD8h5qZzLHLbqKTj1at/f6vEhUaQzCnuCzwagj
xlXpMxrtMFAVerCoJtzvMep/ZYnMMLFWyr+yQXmVTwIfGxyiEkSN97rZ291eQNsiIyAbPHRma/EW
D7I3kZHGVuNDwiMd4+gYTafB6b3vdWkv4ZYTlvpL6KUbIVePeqCw3Jtj/OcS/rVDbTpByfWySmAn
SMOnunwKW2OrjolVQ0tDGl+GiQMtS/tQh73t9xDKbkJTH5On299xzVlMIMwTm7iyAn10nWAk8OY0
vQGkGZQh+viUaI88z1jP1e+4tDFnn8V5KuFxVncZbGiiOewxQn3PmaGtbsFQMt21226XOok7vAlf
HmNfrDoHKkYIcSjAsdHOdXri63GKq50ygcgNrP8kr0He63mMGtLP7Q6wL4YUMWfHg8FZpRyM0e8O
+DIHXNogdfeL77defszFgYx8Q25/r5XFnG3h+YTXBRSY6cm+eIqHKfBgyx8iKFR/TbK6b8QP1MfB
jgu9N7UHb5AGTs74d6OGljZ2R7CvWFMFlHekO1xyGfz4kfGj5jfhdShf/yhqp8o11hTC1iC1kjQb
dCw2B5T1uB1DS1Jfp3Kj8yepZRiV12zqM52CDJbSH2N6fGWMuSSihpXq/F2cqg9JxKLE/Xkswq2F
CcotKYi5YSyrxhQzCcR0Zi+4PDh/C387crsAgne3l/FnuF6bo/Zi3RoNF9QwJ4U82MgAtUpqCDWw
GF9Wo3XhFRWtvVoIQ+th4dRY2Pi1k0doXUjz8BwGSLb/hUtgoAADKRi0DBo55PddEEEPojEFNPIg
cA3CIRuj6beNrNwmIDTNq7wObSoRiDVq4dQMNFPga2zMSvgTAMWDMiCuuKFnckpH0sgMQIYqbm4b
XQs/iD9jC4IhUoBU1XVS06YBDKkKPlaRYsq2kk7QeWOkrzm86F21NEEdEFwJgpIS4s8mF0Ymhzmi
CGVB0LcXT7ddWQuIpR3qMhaWMVa1gJ0MHFJ6fcYTdwLkPcjthiVDzjI1r+riKCjFXIhrGaZiMbMC
nRSVCCi1WTWHJPy87ZXI+kLzdlvYqrJYHVO+wfJt2pE0ItGPzVa2DVM8Y2bSTK2ExKZgT+5OPwf3
T5H55FusQ34tgyyXlsoggDv0LcggEZltZqdQyZxypwceQBH2nG9x3Ndtn1nLS20EqLyHY67DHIZ+
HjlxQr0Q04x6hItgFIMiLHRv21uN0BllAXAg9gJNaiOg3CBxbduYculM0qGQj7r/MbGCZnURF1ao
hGUYYZJi7rMxw9Tt9W7DcQoJvf0A9u5Cv/itc9upFbQX0snCHlXCy8qy0LwOXuWgSf4DDbH0VbL4
O+kFFMp+Rwrf5J6BRNiIp9JpMKblP9z+AWvnAFIlql8zxSYmq68Dt5MUbghG+AueahJDlTKUTbVm
FCpXd8fCCBWZPpTdue9F9YCY48WXEIx4t90Q5vz0I3/NlD0oB+DpSuOVpxiMIIOHdcy4c5lfMv+t
8l1t+Azlr6o7q9FOLY4+58b8423Dq+u3sDu7vtj4Hpgi4mDe+PUE4c86IIqGi1F6f9vKHAW3vKO+
Eld1kP/wYKXMTnL+Wx4PIipdaB76RUYwoWzn6r/mOEFcLvyiPtmQF6WBchHiot4Z0VvYHf36TWEd
2St7egbeggYD8GLcaKnTACLQ/NSIsFJ4nBlBviZBOyrWz2C+ZlwOVmoqMLEwRX0oP07EXst6VACA
a3wQOjJtwuPkckf5UlUk3YLsY2+8CQxszEo6QacNlUlUqNAy+sYqLMKjqLlW8vuoMZviqHsDAW/1
BNULWchR17ahVXM7Tlai8coc5WQj9WCJj2GuEA8pdy9EG4FjhOLKMLdyZYOKxUEter3kYaNS7nuo
sEDLoDu2idVlmemFttD9acBdre95/a7q9kp2qcNz7VstElvAWN2Vsfb5t0CNHVIsGG6nG85CDUH5
qY/hr+WfpHOLL5t/yOY9ZKsOzSa4b52UI94mPmQnFdKHTzWLtHXlELz6AdQ2yTwOHZAYP2DwHG9w
isAKjLfOOBUBS3qX6St13lYlHyahAlNQGC6jDa9g2FP+Cpzf8eEzcqKXXICGhH/pSXZoSfhYuB8s
8AnLWeps1PV80EoDX75NrV62oMlEqtQO/Xcper4dxyxL1KmYaPnYZCp8BeNP5+3LZDcm9/X44IWs
g2PeEVRmXX5AGiQK9VRJjipYqsRDJb83MeNevdKjw+zerIcE0gV9pnu4PiBquRA9WQYH8zicFe+M
UZMhcUrJmbL9OFhwTvIDcDmyxKm/mcYoxzDbjU0hgWgNmGTqzRD40HNLBvRHjEYCr+/WHwbQAbpR
YxCxtxMdvEOx6RvqJi32fnfkgj1o2EZlr0qnXnlV+zuAwYg4QonCd2PPivLOnmrS8/t4cvrc0iY8
gCQyyttI9/atN5JQH+yuVswm48x6eO6CAuNPH2LrJqlqaiAWhiL1WJ21hncGiEvi3eSLJGRlwJXI
AX8ysC/g7JFBMUWdKCiYAGE5KbgHIAMCqJobxziGIJVdQvTjdpCu5PYrU1SyzXt5ahJxNhUeQtWq
wdOPKlPIWbpvqQUjs68aw9AgGh74D8N712HkT32bpBKMJR10R9LJ4TmVNMIr1x/y9hQVjXPbuZWT
eTb0jz0qsbX1CNoxAfZi7pnHLIkkPvq16kytfdsOyy8qqwmgfClqdfZL8Uhap44ufuaKK02BC323
rQ759H9tEEJk4O9Fzxz7g4aVcWKge6IKSVOhsnm/2IbT+9gcuaw8h4L97ye7UYsQMdiGoiCK1/Tx
n2YaKOF8ozVFxTPH4mn0gCxWnT5jRMfKuX9lhwrFQpACuQZropkZ5yE+JsJj2DFS8kqivDJBBaA0
SUaI7ldrNp5sipD9U/+9QisWCwSfqDPO0iciFQriJKl+FmCx5KB9aaCe2hXBfRYx7gyrfiysUIdY
J+icGvKwAl49IgGAmueb2xG2+jEWFqiMH3GBIQLdBAW39HdR2tKIkheqpf+TEXqgWVZyyccGQUte
iQFn2fY6hMNYVNSMtaK7EzrkFzQ5hyd8q5yDTrQwRmfd9mOtxrz86t9kEIsbclXFZaOA6gWT7dMx
VA/KCGWEHHx1o2QVISSbmoRkQY/HOA8OO80uhcwcAsEKOkhP9Lzr9Q9NzOpRzp+IOjyvfhR1imSA
JTUGh9VN2yc9fyjHk+9Dp27f+UchtiGOd3sRVpLtlbn5OyzWIPL4LovEOSbD3u0ghcyFL4kIvXZG
K5T1Pak93HaGXhfGvIfj6NJW5T7NHm97wrJAHRt56Rv6wMNCL796mSs2AiPu1+qvV2tFZQk1TCbM
omCtEoV/1KMoIsAbgOTYGC9Dx9lGrDsDZMKa+t7wWaJITONU8gj8Cch9aI2ZPP+YehUJsMnbcwpF
eHU3RAZIUfYZtMZur+lqMKLqhaMfrYcfzYe60lVf5gIIGCBjeZkdyhGwN6Y2gDbyQ73nm9+37a1F
oyTNytyA1IhA0l9Hoz7IdTEYsNca3Z+0yh8H1MJaIbN4ibmg4spGW9qiFrRvQD1QxiEmYQ8Ar1U+
MHnFh3b0Hp7E++ozZ9ShVlBEGCheuEalZt2Tk0jIYK775E/hs/YQn8bfpUGKvYY+qG0p22fljjkf
sNKxWlqluYcLTUz8OoFVvE7t/g8Q7MoR5O0JZLsKFkkX4+Mp1LVfF4qczwbYGqvQysA4PmVmHN3r
LO7AtUNusZLK/GEXKStQIsyrRLCTSugkJ/I+6EOzH1kFIpYZKhG3QlBJaTObUXhT73cRqmus4v3K
wMhVVChU+h31URvb2QgH/jndrV6jx+wgWNk+f5UfIpWEjDS8euYtF4/KwyCV4bt4/kh19ux/aER9
b0D/xdmh25mApnK/i734CAyicZc8397brPWk8jPyZlKFFSxL0mevP4tSTUr+6bYNpntUAunGWOD4
OTbUowR83rtAmn24UzKrhSjIXf467YZLDPViIro667nNSCgKlVBwaqvBUMI22uOAMAln2cTktIp5
d99+40nmagxI3QoeRgWTugitRdDSA21LfUxvTEOjaASMvEK4cEjOabKLIzuRLEzhW2H0AOm8zNu0
rVuOFleeothlLPe8pa8vK/MPAK0MEOnoT9MvmmmYfCPJZEyO9RWJO8AiC8UceSi0EFBVQUZ9DFR7
8uy0sBmWtXk1b5mmdk6u+3oI3ABYMtU9MHhNlYLIZxP32zA+csY5zQ9V+ZpLbqU9GwrpRAjYQU2e
/y0IHyreKArhh/jOmOlTfN6WGjvsj3rpbSaoY2nFI6okIvea5pVlFBGpwTjYVO9DwJtNc/ZBaSwX
G0kM0KfcdjLm8lC+qA/1FKNR866DJZRrZHMYHUGEaopdpBC/2uVcZpf9NuNcL9qq2UQaIC51Vx3d
qnuIh6MnnRU/I37kW2n25Yd7PwWbIm4VKYBq0yWJzploqaIDBGCBafzsHKXbaHT4BvfV7DkFwtzb
RNpGN57z4k5qUBHI9sl4l4xEE2JLrzZa+aA3ThpLpOgOirqL/Ds1P3DgkdJeDPT9p0Nc7XMpwcDO
Vsvv09jN6g+vf0TfJDMetG6Tq0Qb3Vg6Z9g/fAeepvCzloGlO/eT02miHYKHPX3l67dcC020RAgu
RbF6DHRTFp6y6IHLP6SxtgzMiOPC0qgQoNXBs1bKu5qzjPBTzBVT9t/48ZRGZ64Avy0aKWKHWQDd
QfiZUf7kleAqdqbmTwOhBOPAe2eUsbr6SY9/9VVPgvLQgYK3yfYg686MwYw7x5ftmq+hMV0eGn90
FfGcSD3hc93V41fQ3DhpaKcGq++00l0D5RhglBgi49EWovk9UsX3KiVo0aMErfdW21ZOA/aSkCSH
GtOwhL9IR+2pshFhDxiSGxkXtzXzGOUU5FmJBmVqemeWiZK3lQjz0SGxRLM3YzM7V6AfJC8P6sG3
st0nGkcvtc0aP1gZE0TXYWGZ2phqPqpahUPtGyXk2eKuJNOLX5IUV1fzXrO1Y2HXh3ETbDWrsCKX
Gwhv+RbrJFjJD1c/g8qNUNDMG7/HzxBnRhCY9izVRTLuQYfwlBGccJZ2iMmr8XU7M/28BV27Tx1z
XQElWl5Dv2zwrSB9L0S7LgrSSiz/5t9P5b8r/6iTjo/TvtQU9K9Skp5kU9oHDgQ8MYbfuY3t7etN
a7JKSiuNrGvfqBMuDcAq3+hY0/S5JME2c0oZvAqoP1ofzfGUuIrZM67NLC+pW3MiVaAon8NYM3aS
4nrDSeI2tz/Y2im6WEmML1L3SbA8qxCVxVZR/V+8spn4bAvNOFL3H+g4WUYyfDS9SEBoHs8axuYo
QPIh7O7imPXC/NlogXohqv7z+Ni8a2m9Oq31EjXlIHutv/sjKfEgdzKH68CjA2kNEBifR5A7cNsI
tA5/QJn9Xuy4A4vad96fV4E1/waMpYB/y8DvoMEOVVLUei5FwNclB1n4o7OY2tedXBigoggt9D71
m7DH5JUKVFtOSjmCbJp+n7WA47QFRJWBNxqrhESjjLd2QLwB1fw+2PhFBLEfhYiqB2by8twX/TbW
JSL01YOudHjTcCErk36TEF6tB4C/f/MZGqnX4WEYiVgYM0wCF/Q7IyCSk20jKz551q/YHazpHjcN
gtYXqR3IyJq900A5fadE5OF2nP5ILPguUCMFjfTM8azSl72eC8aEFz1cbcfKETFkWuLAq7Ujc77h
x56bA2AmW8Z0A45Vut5vJFNSqBBUQTEUTIVqhlW1JdG57c3PXUdZofKk2ElTMgD0a1Yh0THzhDsz
FLjdbOM95FvJzAaSo6HIYj5m+UZlzQyjG5oPbWGTy++a6LFQnF4wb3v24+ChHKPCG1VkruZbOMZF
PL9N4jJ9MZRIPwtpEatkyMf8qLVR8odro4FRYF4LEfDHg4pHVcEXS7/A4wj4pW5KevRpXR5kgDzm
U6q9KL3e9vBnLePbxb92qBf4JIsQKwEa3jRw4baEwVFdfye+cYbpH/SH7L7YK8d4q5g1C6n68708
WwYXFlKkNLOcU9/P1yajN8IYJM5bbL2txpMXzHDYkltvIxvXZxbnMNMg9TVbv2zDqoVB9dgcQpTs
XcNU7rT3HgTZwU4/MetEPyo2lIfUiccpY9ZrGM+DBB6YfXKzA9sNqXCFdjKz9lnXxNVg/bue31XH
RS2lzZK8G3lYGyzhrLvdZ56QGgyk5vxwnlz1XOPGGpjNB6Jp3LAuFKu7EY80qIMA2MrTGIpRgJy4
OKU9EG+AHHebfi4vKirLydVtIYGnGiOGEHGhuztqo2uFgWXFLbj907q8qdrcodwVv7yLZkPUbTql
F99pekYiWI+dxWlOnRyYRmt9VYdddPw+5TvBShzPSn6Jj5OpmOW5/cXYlvO2uzqp5tBZ2Jv/vviY
CicmTRDkINIVATFqGgJ8sBm6NQZIehAK4VnOWNmfd/3Z4uIop4K1i0EfzYtzOlW36nv/MZFcdYKH
YnNfgNNS/0ydqbeinbQbTEG1BnO0Hv41DOb6JxjU7U3i5KFKFKRb0MqW/DvX3ukhNJ5eoLDG8Hb1
YjRz/s2lDrzoqNwTdUoZRjX2yoSGVzYVp2FgqSeuZ1bMqQg69Crm+errTzhkGt6o8+4HZ5IC0rhT
e3KUvQRql7eG+I/KDnoAAEo6FeM4Xt0iC7vUoy3yqlgKG9g1QnErF9MBrWrTz0c7YNFera/iXw/n
nLAI0i4alanxYUk3XsLwWQ7t27tgLaMB6gLcCxAEuCVRm06ri8Dv/RIh6StujcqHd4FIT5+5Qpac
UhbmY82bpTVqy6VqMQV1Amuj8dL6Tt6wgE8sA1RAqFqoDMJsQNUfZOEL8p23l2sOWjpnfDOJ444L
tA4tsiyIoySpXdWbnfYLrw2ps+rQwWSLwVSHX/Vk5iz/jyVaMTkfwMOrxbAUSnwH8bwAZec4Oqb+
l+/Fji9KQJgmjZV1xksfZqAOyppnvsNkg6LnJy+pGRH/E7aLxAGqGKjDzHqbwHZfB+Loy6XUZfg9
8R9wnhhWA2RRTfLDCUglVEUanvGUXdtiYGfEABrotwGjodKHHEqyHkCc2vQ9MFpoh0JKMWlj57X1
L7+ojinahYYuZSeXPLEbZmJStfWcvH0rFbA+8uE2a3FHi+LtbWs/thtlbf77YjvrohypLegfza7E
HP5TVO2UPribqt7K84hIOguK/yNeKXvUiZOlUxeFFewl9eCkmnQp1JrIemKHTXQacqY21I+vdm2P
jlq9ERNNC0Hj2QnoJwyPVf2n1L4GJrT1ZyX96qvpVNrCXGsYFRnsNIb4XsdRQKoo4/aC3x/ENAUj
Kkg97EwfUMkqQCUK5PIfriliRuywvKXSWR1CfVuYva04PDEttA/NFsPJg8aiwl79jCDFh0Dg3Lv4
vjotwga931TElaw2gwLEBg5K8UIRA6L8ErBIbVcDdGFpTksLSz2nGRnGfNCiEJ9Rd8VjBQNtU1YR
kD0Sv2eVC1ZXcJYnASR4JvagjjeZ6xO08+bvWMJSKKCYD86XSTyqCas2xjI1/33hGaCjBV9AXsos
NOFBF/u3SBnNrFe3lWIwrj4/LurzLlh4ReWUOuKyTGywiLJv3MmGCvml9pesM4vmq7tgYYfKJpHs
Z943M2/m29JkZX1mikFhZYiNMnlsdDNtLpNuKiyacdZSUlkl1oKhzSssZSnJGKEycpJULYkBNu0z
hQUDXCmjzquJQ2cW7Jn/9/rDlWleQFMX1pRo+J0UYFUU/bM++NsmDQFdSaFKVLd/Itz/YgMExUAf
BVFtRaVnpWryImPC+HYOn+1d3QG+v+4/v4cGInechrpICz7kDC9oAYPoutzh1afaSu5wqpUYdlH3
/0WmgXguVGdAagFNOiqiuDxRpCEDmWDGQ/+FzzRbzkdrKioLRwpjbnkFO4MezMIYFVZJx+V6N4D5
MS33UrfnVVMOD31q5dpTCM114yUIC4Z/Kw2Ya5vUR07LqdEg6Y0tI+yy8Jw2WMjCaqIHNODU1pLz
o89v0K2tK+I1x1HfCP0uaO610K7Ufej/e9De1c+RqWcSx41SICX4ObXiv/dx/aWKsVsMHgMNOmdT
OpSg6o3qIarXgJ1T6U8o/FwKc5iJtNYd1OxN0Ke729G6dnQsTVBpz/Al1WvFeWHnGr28r3H4T9xF
iJ89/uN/M0UFqYpmh9YI2BhVLZAgvau50im0vcKhFMN6Sayl2KVbVIw2deClEPsEOW8OJghITQHM
NcoMxMC6ER28Z6oigfGPcigeDD2sOey6uAY/eBRAcNLbF1LG+ERrZy6GDv4xQ/lShUn+f8x9WXPk
tpL1X3H4nR4SIEHyi/E8cKlFS2lful8YklrNfd/5679DjW2xIE5hbL9M3HvjRkd11ykAiUQikXmO
V041mH+zy6G6Z1L9XGeHPGk2TB6sABT3gvNppdVhNu9PRG63TVTN0BcExDYb7CDfme8YHD2MhXUW
SvY02m2Xbf6BcRDUVkO080Mu4tiLN4hDm3Ymwpb95iICIb6ko7mhOZjKfSOSAPiaLYeLRkvBX2Bc
FFMkfuaDiQRqHgV1hz6ENUp2WYDcpdh0Pu4vnasqj7l5U1Y7uX1sFUsoHbo+x4vfwO1tP0PC3qww
YMYs0/s+qLdBjAPZVSWcYIXroQTEUK9q/dvpeRbichu+0PVA72vgVlNsJYktdzd5ZZVkU5TQ7ARr
ZIFnXejPK4gMTkOvbpfFiLntkqXgrMpGIBetm8jd2cQGPMltT4Osuky0Ic7KwtDV4SN/qZ/kXPJb
CIFAaLdu8HBEm/b5NMbXVOSH/XyCcIF9b1aNbg4NGJbNK69AiPNkmttKukjVQxdmdvlkkm3dHIz8
rRFJlq06g8X4uHu2hLZ7qTMBTdGJ1GqgXg7vpYAWVoVErLkrJF3UgLQWzzBKNOTp8EKgU84ZaEUW
yf4ERKm4H8EYZ1p6uPGKHlLnJdR2dkbuCqb3S9J+nt5PRP50BfVRgq4VIHb6tiEuy6/HeLI86DNl
QWNR3DZqlMxAMvo07urUgrQAhVcmej1UzitMVZpOYYd4MFEeiyGwzKTDy3S7b71vtP9el9PuNN7q
xC7wOA9QBooW9R2UpzRzQp/MsCW97BY5scBOe+WXbCujuzpMFOc0rGiYnANIh25AygiwxJQeJe+1
S8rAAg/gJqfflS51e1IIcjWrITpDExeOSWSsFL58pg3U1GwmzGxIxg0hw4MyFZehUmwNYzpEykOo
gGK7N9/jUYK0eQPFDVN6Ao0TeCW8bc56wVmz6iOQrUIXL52lGjmLVsF30EYaag+mctgmpL0dApEO
7ezLvkRuf0F8ERrvClx0pgAQtMUbzAFBMcoFDTDoiUjD5tU6BTTfARfXVqnV9NQcdBxdzLNDNCa3
DR7u42mXBbFgf8z2eAqK83rESPJQnlexa3ZQ4TD6p0YROZv1y8Vi4jj/lrFmkscG49FTH1kiavV4
pouTs9BDRUnmNrpL5msVHtBO7wohMLf70QDcQvkVwJ2Mih/PtyaQ9Km7DpXXc0Ei29HyUOqC0E40
pZwLMLo8NiIJoKhG1CXV8kB1UHeCoa2CaMgKzZkhHTyzxyZCsyQdjHndstjYDSG4hsGyDYIawfG+
avILGM6vlISNRsQAA9Id1J28VqBf9Weu3mjjeYMAbNXsF2BcLKGYjZ6DLHzmv8ysMTkUnWqPPt5V
Rbp2IqDZmy72F/OVCrE3gMLsOuq3kF21dMMeRZXkojXiXJJWwP/HEQxB1nGv9tO7QB43aVnfnbby
dRgoYFMC3n+IpR2PpizyIK0nuCWFhlZPR+RH7wa8iP87FM5RZHFR+UipQyO20XaKGdyPZbiNMlNw
/Vo9yKB9++dgOFfRhnrit4YJH4v7JNpMVbTUaOGuwTWl9J1JdCsSzR3nIIzK69U2B5yfHwICYgYU
koWiPhrRmLi9iiRAYLIBU5ci4+VUxAzQiDylL2FiQMBVjnFJL8Ez6NJkElGjrd8McFSBxoYh1vvI
wSxMXW2loOl7aFFCFk2rztEh3ASaRfNDkZ+ZjQOitLasLH8QjXn1OP7E/aA0XuBm/lSOePvGcawQ
K0HntTeIApDViHIBwdn9CHWLJFEAYWQhavcrq9B3DI6WRHY8xPbYbti4SXyRTqxoZNxG0LOskNHm
jQhP0vdD0T5OVSK476xa5WJk3CbQWNiiHhuLZuaXVZrZYX6vwzpPb+jVSHUBwpk+KD2h5zRiHEht
Wqq0r+EFK0KtGgvGhtsmPptEdaSiqeM2QtLLadYSQGaeh8xicubl2ffTo1p17YtRcQcWox7eogz4
XBBqWlmF5o5827LLsA0F/nAdCPWGSG1oVObD34gFvadSSLCqen+tpJEPakDD7VCemRvq0+lBrZ7C
0Mv5E4tbqqqsk4aZsIdUA8OjOyiVQxuHBrYM2tXTUOtW8QnFLVGdgPA4KwCl0PaC+qMdqbfD3Noo
t/5rVyV76k9uX3iiypF1k//E5dZNleOhi2JMJ4GPb6HLx/wHf+gFae5VT7yYSC7CoLHZg9EAozNU
p0luC1CiKWOOrq5NUZmuH2xOT6bIRrg4Y2q71lRSDCrx3Q7PBF2xpfV3lYnoIkU4XKChJH0H0h8M
i5QNmpxw9StDPE3Ed20eibzu7FW/XBj+msIvohAZFGS80ACWGTyE/R4KpjSGTGBrT71nJfEdBA0G
+T5Xm93puVzpW0MCYQHMuftBYgmb0NZrhzUES6OftWf6G7QzWw0CkjKWtmlx13WjZXaG00Nlr+i8
DYowwcsdWKTTbwe1vAYLoOjd77RJKTJ3HGSNrtZdgjVuoocGjErGTZODIT55ZOx7XIkK9da3JziV
FIL3L5WvfqfKWBRVgjOvSmRICdpdPlghra1M2Q/Zy5iElhkIPMKqcekgV9WVuYyHr3UeYo+QsILT
RvrG0gO3br7V9L1kgmeR9fzbAmf+HYuIQWrHKKrn5gG93BfZPg3tWnpLql3a3YzKViE4a39U7UOZ
3IzQyDxtXKuLuMDm/IJqlKRh85lOy13C0McdP0J6x2mNTes7cisqexRNKecXWFErkdIAzk/fy/Cg
FnZpoGVMMKjV03YxKM4r1GbEkoICpYunvaa1P5SWCKL10wPBc9bxmiVyZBZZCIgQKmAB/JpErUq6
TsrN6fVZPR2MOb2vgFbZJNypZJgdaaLURwJ4yC8lFaz+qfzIKv32NMx6tLzA4WywCYq49Sh8DO2f
8ESiUDdCwRcKfTXflaFz1u7QVhGgTFSAOwd0X5zqApezPzJKdd1OwAUbvlV15Zk3UQuXR8dDkT8I
FdzAfKmz4K2IoBpX6lbW1he6PgaC37G6nIufwdkl9aaM9s3sy5L2rFCL8xrFQukwWESaBFCrIc0C
ijPO1NRAVAepPLCV/dBgOFWEy12xqfsn8IfvTk+vYFg8G0tcx15G5zulX238ILSBZY62rApCz1Un
Mme5FVkH/zDfFaSqA4v0HkZajlu1fkcFSJGnTig7WvNQyaIattWTYIHGrZXZ6nGjD1gruf9OqgfW
nRPzsfcCUPeeZ8VmbERkqCJAbsXi2pPUPJ+Hl0WWz0DlealUxKryQ0pdjblUlA5a9V+fI+TLlrUg
QOcmga490vrWiEzDFDX3py1jvQRhgcEFFV6NMpJswKDkRL4xwx6s7Sj3t/KUdI6SDIeyj67A2vtW
0X6ydXV6qL1pLxke8ofhVVgpgV1VSeTmCfXsrFNNqx+h0xaZIMwU/FKy4iJ0lGHOBWGaYvBUsIkn
NXKqh6jqo3gurtG9grciLcmLHYlkVG3EZ0HXbNUitotZkTHq90Nj/pMk0PJHcP5RRT4QT6n4EUp+
00uQY8SDZgouKMFY12LMJQznDtUmlWgaY+VxcFXGpq4vpv6RScwOk+c6epDznVbuy+n2NOz6IfPX
/jXnFVgEIB405bSghC1E8nQm4Z0oKdSDX8alwPWJcObDYIEDUc2oiHTsXKRtd9TL3RJFtYoqyrqv
uyMU7+oynvkYrzMJpdwc9VEYjs4eOjZZYHCBxCX6011luJHRs3Z69tbPThMXYRTv4vmFvxD7vT54
sYpFSyC/qI9W3kLCBVVwwf0QXPbZzkSxq9RAz1ATbI1VP7EAnj9fzKcfmlKS4+XfHvUSrdIgoxLJ
kK0eIAsELvxIglRD7ISpHAwkFaZNwTwn1ne5KmreWj0VwZaKbnTTNL4w7uoQ9BryHqaRBbda6YLt
2pIRhqpuiM7N0+u1aoULKG7WvIF0cpbNUOWNinZdVstW6kebf4fCzVzqQ1PNnK/1Unhh4oUZ3E9J
JlIBWz2ZUCUrw9Yp+1JQGvQoOqI1lkdR8DoRXoyRnYMwgNZXZuJGcWKVVHDUf21CwZmBp0aUJqIU
E4JM3GFYJF2cxjogwS0RX2q34zW7rw/k2ttAiea5AllB1e39n4jiTs/n2qZe4PKhDKniLFI+sk7T
3oDQJCowo2vin7eKM0Y3p7E+JKX4qHQJxh2OITheO0S+OBy3puW7oD8Hp609Wew6PUu3xbk5WU+y
lTyUG9+JG0uFyoLgfrG2H5a/gBxvbbwa05CpMJ9p2LTR+QgRqvbeqBymvJwe6+pL4RKJc8paamak
94FEonO45HZsHSqfaxpKFOiuYpsSNKmlKD+0wtZ8ZEaU24SG0fmkkzDD6Kq4nBDX38mRBQVMvHYE
T82Dd3veUCuxQ+fFc33RczYVGRO3OckUh3IXwWObVrDx7tl19FQ7uhu6eHbb+ljQm8gxHNWu9tpt
6UjfG4vtt/VzAesu7HqHOAnqnHa039Fv1Ua+kc5D0cVozbVDFglttGizRnKQCwQSNk5xlEY4w4aD
F6I5TnhsrbnBZajBrXuVgcFQHnF4ZJ4FckNLSsFZKKp4X81tLFG4dZ6779RpPqKgQC5D0FRPLosU
zeM/aIvaiUTamIoLpqdJ3vbmRhtl97R1r51fS3juriAVA2prU8CrpXQWT/p5j95qJXmqR5HshGg6
Ob9YdXKeZQZMSh+vNeVh7O4a7+fpwQgg+GtB1CZtpvsYDIknm4TE9ui0mRKhzJ8gCDU57zcZZqC1
/Txp6kbCjRxncWvsK3LVaW6v/IiUc3B6yyzd/7vhcS4P0rSdIgeA9bXnCu9mnXKjkafTGOsb/6+7
BB+qaZABgVYNVinsUbjXlUh3SM+G0Z9XGnmNjLvaCHenEdc38icitwFGM4a+mQfEqrz0ZESBKatE
YcAqhoIevZlxHswc3FbOaqNW+nmTkTY45GaP9Iip5u3b6ZGszp0CLQ6QPRJD41FkVAD1CZlRSuaM
EoS9Lr1kdIhEnZJd+Xit+3d43Myl/jTGUQ8XGJe3lXqFPsB4vIiMb6l3MzCRkOvq3loMbv58EUrr
chjFMgPY2E0oQt5XcW0FItL1VW+0AJk/X4DEfgcRhBogXl+6kGqz5dDE/du4QqGHwOxEi8WdH2As
jkgsAypHqbOJkhW3mV7H4Y6Sc6kRvC2tzh1RQGilQzDjS2peb+qxSDyc5TrEg8b+TDGcsBSxF6/H
ZAsUzhwylRRSMl+NjcvgqtpNO7xe7dNLCI2QyMLDbW5BaW2f2dJlupFTK7k0XJHG5NeW9jn4XfwG
zkqaVpXUKsYW6N6uKILCR9T0/Xi+J5ptOCBXsrWtbkNu8slwW5ueTSCd36giJkHRbHNGhNwoZL58
zAMEnaA+3dva7XBeb7td9Fq+BTfUjQsXz2CKe3o3rkdsi7FzFpVkZGR1CdwotwzJQuPfebMjP7wf
LbXwtiRviFW+4pX0Cpx4UMATkbOsXzwW+LPFLzYPxAri2AyBr91dmimiRO+ij1ysvbyBRNFte+7d
koM3Wf7r6YGvbtoFLnewR6wuNJZhzaPeCpFCUC/B4Qde3X+F8hGlL0anx6j9HihGF1avkXeuJWBH
hRZMKbi+zT/2y8XmczAfqYwFDNFqj0bmPIl+aieB/k4RZptKYMn05xTIiPxl5G1FFbOrzmiByp3s
ajZB83UEalv8kDzVSeKdB5rZ0bhnyBuGou7tryRSx9v0IyhdjNIvUlNq5/zpaIOPWMfVTX/G/6FZ
UD9oYNgD4+YruPdupYts2zyAYCq5kS7G7ekVFezTj66NxY9owBYNjwW7KRXslV7Z5FCwoqK8iQhl
/nyBkoPkvwtmuykhm+2xEpTo722r/pOjeLGAnM9JqmwuUwCKHL3Vilu3Thm8abE7IkUYiaiC1/Jp
yG8zjUDtGbkNvvk+VXop1Ck6KxC7X4b+DxNvMkQGNwtqgKP4p46edQkJZ520+1wWMfuuxFLI4Mkg
SQLhv6LxvYeGElHal3Nbxxhtwki7jbtJUEmwsmZHEJwnI9EQyfncAdWyeKN7yk5OEieHLslpA1y7
2R/hcJ6LZr40JS1wouSCBg99EFgDu6mJE5dnLIDVy88SLrunUVfcJUAhHQyGbmZ+YUTLShN8mTW6
HVgb2gx8nFnUbnW0AUhGIOArFkFxbqXV2AiiBkAFBnOHYQQlXI/sk3mFvtLr06Na8WAYFaqIDQaW
NUS/x9ssRnNT52uYSimx0+ixyTZZV1seSDrTV80QMS+tD+wTjdtulY8OvAQda7anXDLwnxXR3gxC
K9YEh858ZHOnwdGouCMdbSOynowY1ein2yHA+Vb8NOX6bAieOvRtnZ5C0aA4q8+DvCRJjkFJ4NNN
IH+jvzZef1WLzH7liDsaFGf1JANVDUEZod2NoemU4A+xvLS5afT+2Sf9oR1BCO6P6nSeMLSUC6x/
FRxd27qKjviZZ+3YTjpCqKykANfCFiK5zjC8SfXeBFtvXt8lxU9hmnl1Vj8B+fbswqd9MZQAzJVt
X760jWPGTyn06k8v3tpzoWkucLicgK+ZpSfXuDQ3DraA74Y7z2mZPViqpW1fpMvRqa8mN3X8O+mC
CRzZqr9cYHP7vDPBC6TnMzbakrUk2ujE3Kf0n7TeH42RHi/epKFfKGuBE7+oLjsjrmq42m3hjpvs
tkReEt2pW2RGHcHUipaQu9j4PZ49jWKGfczdJHCkneeql/2j+p6C8XBMUM9rVz9RKq0JnNrqvH40
MqlIHqBP9Xi8JkM3tucB2CCXptJYXgnqGZEa1VcqHQM8wwsUbvUk0oRUmS0nqrZaDR7r0U51u5/A
PFY5aAl3wbtcRkjERrbZ3Z+e29WpXWBzK5qlOrgIJWD7jXo+gnodEuUXCMrAk8V2p6FWfekCilvF
NEGPcQGNelQH9FspnbZkjFDcbtg5Syy4i4fTcKK1mz9fxH1D4RVtkgFOMb8Vyk2OBG4vcmai2Zs/
X2BoiTlWwTjPHmg4w+ImbXa+fmaICmJWh4K6ERRsyaCL07lTqG5ASG7EMk4hkJJLTlW8BcJL80rF
PJ4VNUhjEzDhQ33ueChl0xWpQRDVac2TYrRnfQ8yiX76Nkn1pWYSt5uK50y5j7P87vQ6rQYOC2Du
1AvrDN85Bw4h3dRmaecTHEnjWT1aslhUuBHT/v7L0dFQuSMo1YxwZMYcqsiFZg1E3yBnNnjdjVJK
dqrKgnzEbNdfYojPAfIHUJDJQdDNsUrUSGiF9l+6EfR0pydRhME5qgyVJibeQpCQxqrhZuBZ8iiL
nipWrX0xEM5PjUmjqW0NkLYtnLCTNdsjhjvpCsKvXBQMrb2LYJVg7QZ6c2eOS84g61IZyYhpg2Rm
Pm3D/Dryvnn1heqDIACdc+MT0fZtdF0E+zr4dno61y9YC3BuY/d9k2dhC3A1cWPtXCWXPnvSot04
oIX+Djz5aIQ0OsFpsxoa4TEL/IiQu/3CeT9BULrOQ4BmUvoEpaytEYVOT4hbaKpV1wxNLJEtp9Lm
nwx2gcsNdqgDY2Bz3DmFF9OIFifGfFB1j+6QP+p1ijL4xwxF3LnxqMVCFbHZMr/sjgU453faOqH6
NN+GmrizJPUyzw669oZ6XyfUz1p9C9oev9p5okbMVVtewHJeR/IhvYGiKPgAMMxHxk3ZMkvzyo2i
P56e3VXfvQDinA3IXvqqCQAU6MF+xGXSkLKNilbn0zCC8fDZsQjEB0OhzTCD6VllPzwFdLIkr7SU
VsjqK1gzPkcWxKpfxCXAIvJTKdyB2p6/99BNVYLDeOw3crsZarxOicqW1jKcKH7RNE1WdLC9qJyb
y1Mwn+sz2UMD8m6/89DM5TtqJG0NcHzSKt8RCHb4XbVX5QjEGiB/n/S7BA1sifk40vcibfenp33d
USx+EecTiyqVprHqcJcqbgLd7burLkHZTHCm4Z1ep1upVi3WgA9SEEx9VHN83TefU8EFbjUK0LTM
wFRMJQTT6bZhxALJ3RUD6Xue6m4h+ZYS3TTpeNYZs4CsvNeCdE/lO5oEZ6bm3ZfstTe+QR8AGTEC
MwnOOj0GgzAJtk2uvNdJ5foQYitzRba6GoWdoE20oZpwe3oKV8PCxQxyYSFhZqyNGgaSdNdds/ej
txINqipELYZRsFrrDvZzzrgjpfKKzvTmu2dJ0Ct1V3vDVi5ulOZKxZ1C0i2i358e2/rm/wTkPKtf
ySi162EdhQpxl9jc1bJis2FwT8MIrZB3opma066b90V6hdKf0kDPamr5st1Xe4jopm3r4NGuV/qt
AHi2smMr1NA/Cqo+QzZ1DTX4x4d0YaL7jMgIgIvwovbCraeeMVg8ri9t9BojrTVEdpddDFCIazvL
6wXOdYVoAvhggmPgJzNlnS8CkVhHazrfDP2yscwa+a1NLJ+rIXG80nBSMPrp+TWYUqCDYU/1rYaX
2CS4kse/z2Z0/Du444RITdUGJX5H0EzFBskVaPRA78hRs+rKy6PQyog+bk5P/lfjAiaaoWcOOA1B
A+cB+onEfqxRhGPmIVF3fnkfi54U55/9ZXnxmj2T62CJ+bL1bqoVY8CjFsgmCrz7orBYQ/2ToRaW
EhAoEV3UwSh6ql8bFiqZQV5ADDYreRyblDRzR/cqhjWMB4aUfTpu/OH99NR9DZdxgiwwuH05MNMn
vq/iQhXYhgSziUSpEtEouB0ZjmXiDfPipIHdIUc/Hsrk+fQg5h/JL85yEJzNtcgMmJIECD27knRI
Snou8y+a+m/nkI/nigtgeqyHMm8zeygv6fAj75+89Magghfy9RUxydzGquJw51DSkfX+mGBFWtJb
jb+J/4E2Jpb8LwB9vv8urupeCLFAOQZAMd5V1TbVHwPvjnSeIA77esRgttBOP3fE4b2fb8LzddQk
mvNseZ1P0f8ILsjJmgpP+8GiNnvyNSn+gWaW5n7yIjTb10nsCW4RZHUq5wZA5ApQgMoTrU8RI8Y4
+Y1dbfJDufX2/nfNt6Dvnu7d5FGzM5sdzqcf9E53+mcDBXuRXV0MkmAiVjjXMBOQPQUD0Hw+8MRc
tKQT84uwwRXKIWeDE35n39pNsYNY+EWMUm/XvAf5z+ktsT70T0xyvMiG1KlBaQbNfByx7p6I+uJX
d/ViTJzLrRopUiIP3x/Qi6rYMfPBFL3tiSDmIS7sFJKEvQSm6waM5QdJ2/tGbKkiothVz2Ea2Llg
3ULCh9tsnRFOqOQBRlqi8Sl7wfVyQAV+bQhOqDUcglAdqjvoz8OmOB6LHLcDrDwGb1nHkq0xxd1d
4hlBD9pi3DMtLxhhmKct4Gs0iSNDUSgyZQr+xyuC4kof06aSULcK4mWl/ekz2YpymL0OJnR1eDqN
tmZvH3JTKCoDMcnHm8BisfDKUva0hVNRh3ybGgzXHlHvxOqA0MWEJzUdlmdwa6VPckRThiNYIYOT
MXeEangFaQP6pjZ3p0fzse78iQK5YmQeKNUgYcWvV11ESVJDfC3Ym7vmmVxSZ8DL/HN/iG0PndJv
xr7fTAdmPWSX7Gq8Hq++Qc9rZ+50aGM0togXbm12lz+H280lqP2moMDPmRdx8CDIMz4KRvz1JgvB
n8WIuQ0d5iklqCRvbLrRDt5lvpWvG0ff6Yf0rP0mOd1ZcQmGW4i7jrv0AmxUInrttR2yxOd2e0Pq
Eu9hwFfBsJEkF0Z48HLJyXHTOj3SlUeGeaQGCP2QTZvX93gvRgleousegnfYNc8SwuF4zBw2qGch
87ZJynZq26BKLJTdMnlHStuR81b08v1xHeANDHalKtDmAIs/n9MbNb0Z2dBDj+6ObXNXeZNQtIji
E/+Ax9sRWkhO4oRbeW+AY3y01Gd/O50Zb/Jb8GhsQuf0jKzUwGhwTPO+AkcHupK4tW9C3WdTkGNG
ttom33rbfWozxdI3yqG0a/QxuqpTX9B3Ze+js2cbbdmDSK1+zdkvfwK3/MPkQexZy+AgozPk2Anb
G9X29DDXLMzQFR1MJGiPRgvM8bqntaqUcj6PsvjRVj9NcFOH0x3rfv59GIUyOEO4Xaggc24qi9Re
zlV4QuIHdlvuUxniarGVqvvTOGszhpoTKOaaIIkHadHxcAa9TMd60vFMEXw3us4yPFRJsZvTIGs+
dwnCOR4W6FLZzCAqTq3weurvku4RV12rbWvBebXm45ZQnBHmvqckkwoow7tgaEnK2lSw8+eZ5/fc
EoGzMY8MrJA6IPTqcxqCD+4KlxGleKix5aPnXESrv3ZlnJXF5hpoWN2XXTXUFXoLTaRz8vsMsvMS
aIOq4EdQvKn69zATmMPq9C3Q+MF5ZtIj6YhamnFXJq9SIXgqWp08A5cSA+oqss6/isU0hhpOh3BC
654a/4LKh7hAQs/8pqvPEWrn+rfTlrdq3ovYnfPSWSePqTHH7lGnovdTAfFp5KZUlK4QwcxOYxG3
VKCQTPsCMIm2V020w0EVshZd5NfWZhn9cbtoKqkv+WnUQFThqSvOZPPh9Fytebbl93NbZ4qVIu0I
vl+pd0X3swfDnTluu1T0trbmDQjyS8DC0WXwxXaQ9IhAng0bAK240geWRnYdjqi+xo17d3pIa+uy
hOLMWQoydEKUWJeCIn8+xeBxeioN0cknQpk/X6y+1LHGjxqgGPJZqnQ26mGYJOLXXAehmsYgKUpR
qHgMMoHLizXmPBRUQKPGVCV2A2670/O1agLsE4RLgVQ+qiD9ACBhk4C/M4TCN4rAICwbiMjyVpF0
EJ/J8xs84+WHSIHnlEjBVUZX527Gq2jYebLbiTo6VioSkTNA4oAigYB2Vb4wd4jHkIR4EAMVsmqX
mv4YoZFYpRMEl1ltoZXJHlNti7fxDaul59OzubZhl9ic9RljQ/MeNUxgK5tANV1dT6YiSPOs+VMK
bwoXh0ccKKYdW4UfTEEGe5nr6Xy4nDbrHLX2CTK1EuSJ5RBNGJUXO8SonjK1bwUv8Ws2iXQEDGYO
hr5oVnU68fQpxGmho3Lc8HO7L4wLz2gEGZg1W6FIYamUgFQRDKzHg2wTCQKcA65sDPrdSYIHqdxp
fLsw/z71DYzlE4hXVyrHHGov892QymhvspTKa+6ytOhlZNHQuyjYbOu2uYDjYi+8AeVjmiOSYOFg
oT/USiJ5Zww45BMdVc4gQm/MwNGHq7aYRHHSWliBTLemmch0m8h6H88pzRRPGUIDeTUk+lXztiiC
DYUmfRATZxZ2AxHy6c2w5vWXiQQOUDfbQW2y2etrILKQm8BH112Y7UhJrqMOz/OlYPetTq8OURuE
6ipqu/lke+IpU6nWSJhFcXvmaeE+ZYYVVe2mJSOY23yrG6+jIHWU4Mfpoa5tiyUw50VRaFEifQfg
YZaADXeZVFrNsD8NsrYpdKwftOIQSX0RK5ULs4oZw2kt6dvJ28rR1mCv2iSaxHlZ+GgXFSMUPxhy
Fl8YyeK2V9UWWha24l8zNIHmo2yHcbLrlHrfxc0u1MY7VnyLQY44+ZmtlMoZyQJB1fDqWE0cfKiE
llHmzTkASSJEQmE5lKybxEbldZT7Vlq5aPs5Padrm0L/xOFz2kMm1waqp2ai7OiWhtDdU4rvkyc7
HfHBBfVjDEWlmPMv56cXuuqyrMoEnuALk/qUJp0yFNByC2nk4FxKd1WOK1g0eNeU5pdD3wU2ySXP
JgoRabysbUk0O6jIbEONCA9Exz5gRFdXVI24ylLtNeqvu/R9gvJuvRn6fzCvBoUogK6jwhsEnsdA
oTJIfkyQlWHGUwFp5OhbHb7FxbdWfvNuTy/hytMtshBQ26RQO6OIgrhBRX3WjvAwmFE8F7TdZsR7
Zb9RgitF2xjKxiABIqgnIroVrqbnl7jcYT/EMZXkrkZeQN38GOwbaVdXG+P7rfRoVG5Yu9WjwMus
rp6mgyUQ2QH8hwsI2ZTgpY1ACN5IJtvQLlQI6iovcvQQ/H2KfEzpAonzZ4nW50Y4IyHEskxiFfJL
H9uqJ4hlVirUjnE4M/EHnQ7GjJOBP/lW2YEVyMrO6E2D1xanvC49W7s/bS1rjmUxso8jZBG5e330
xxyGSEY03lWVP+WxbJmpyCpXF2uRqOOO+qnW807NB+Qlt8xWdsr9JrdVakGG/bt/N9nRtrwucK+z
pm+nB7h2FC0ThOR45zUzlVVu9LDK+tXv9p1/6Zub0xD/Q97vMwnJ7bhOTmgeS8DoNhA5Jo/o33eG
vbGvHe8uv1d6J7OpLVua478k9jl6S+x/cqNcjpLbewkYnqiUYHYnQq7jSd4U6WQzFOtMxnVXVvuP
Af/H2/D//Pf8+r/dc/1f/4k/v+UFEoY+ysmO//hfV8V79st18vL2Xv/n/A//+ovc39u+54eX9Otf
Ovo3+PI/wJ2X5uXoD27WhM14075X4+173SbNx/fjZ85/83/74S/vH99yPxbvv//6lrdZM3+bH+bZ
r398tP/x+6+QsF8s/Pz9f3w4D+D3Xx9fmvDtJfsFV7/xyz97f6mb339VyG8qKItxis0eGI9h2G79
+5+foAQaKWrcX3U2X16zHGV6v/+qKr/NdSYQ3tRnZRPUKPz6S41M+J8fycgU4X0V0oRILP/65+iP
Fulz0X5BNu86D6Fsgy+eH6Q/j1o8qqM/hkAFkyroeWSyPvuCxV5vCon4/QCCSVOGmml7E6o3XvPi
oaJPb5wabQ8yqmvuIL0QmburTVrcmuEVob7roTJDmxNvabGhPrMks7SM6j4rH2nxqI0PQf8gT4eg
vG6b0om2Zpnh9N5CTGQ0blj+ZugHf7jQvVtNufv7dnifp/jvSRO8DN8gFZn/bPi/9X/RBuf883/8
ucpfbPDuvXoNX46sb/4H/219hP6GF3qCOzA6OU1UiOL4+MP6jN+MmQMBZom+ELyUfFof+w1lTghL
ZHwAOjUd/vNP6yO/oT8FBKjKfOn8MOY/f9f/wvoUlArw9qcTnaKbT8WBraJLkTsCwrAOTd2vQORX
Rd1ZGMSS24FL7UzS/fyF5kr7RKoeyXewnVvNOHynZi7ZAWmqK4j4eBdhH6qvXllMthmFxj4JxuAp
iKZpo7WTCrrGKExRH6nrz0qU11uwI2TBOc707NokTXLR53X4s/dVMAclobY3p0Y6aF5c3Up1Xx6U
CJ3mcdi317KiNpcDa4vHepJ8nEhB5PZaqzlk0CU3buZAxiTSQ9SUqlM0MkRClTEt0FJdIZsiD+WN
oY3qnVoVUGSCnvZrruPtSQ/AXk3plO2GAo1x/f+n7kuWI8exbH+lP6BRxgEAyS0HH+RyzVJI2tA0
BQGSIAmQ4ICv7+OZ1a8zn3Utatm7MEUo3J2O4d5zz7At7rROnB3WSQTXTvgOudNO7RgXzXU/LueA
eXdV4BcoCR5av5Q42P3H0gtjxLTzMN2m1eIxhOVHEmPQ5fV+sZYWjEAJ/pG7AGSLwnuvJGR/Nhva
6Moo+NWxZtrVvmvTkIurIGxv4XsOD8kHwmB9LCq23NmtVDuVLBXcBapl+dWZebuGyU6Fd2+nn3gZ
6F62rTr4DjB8q4YAM9Rl+/Rr4T1SqxA6vdGn3nXLW1MmIYJIKNkvfpUvIrypQdbZO99096Xqg7Pr
4+F56bytiLjlh6gn8xOsdlRq+FDZNPBaJHDqhYPIPdqXKVyZzBbRrgWSwiE4teLLalX4tYLBC85P
gKcqzEgc1mkXTeWXFbPYKx1O92E4JGnXVmQ/lHbOh4HesosmPuinu2icXslMllToMFs22Ep4Kz0i
8zVfqc4XJuyNtutLNUA2v61eVjX2MwrlA2tCWaDmPXtlMFzFG2wxJ+UAIdC6L3rmTtO8njQRGVEs
awfzKQJQzypbNQVi7J7nIBYIIausuCZ6BG1l0hBNIQ7B2DzoOKLPm/gY6wjRgVHdnHwBv5wyxtNB
RDLcFbnSmdxUuPMgssmr2uQAS4pFfwc6hnNQ4pY0DKr1GKEUQfeTVWM4Fnrtyd7wJY8nyEUCUZZX
vRXF2s3N2SSLzWQS1zkfY8gEQpoOFYm/oAunu15TWPCPIorz2fft3bbQlPJqz+MO7Oxo20sP3jRs
a+esZiFQI1J4FLWQcIjOAxG4u7js63496EDqq2BOfozxj2SNLXCz6YQQszVdw81PwcVezwJp6YVh
1W4OOJzsl/o0B7bJnWXYcKGYi4U2p3CQ/tUfuWMr8XbM+GCqhl14RBxjeDP2w804x/R+Je2UNpH+
QsbmczQv/S2A0vsu8GTWIqw73WYFzNCnrogi8rEOprkeuawfjFdbMD9DL49onwWI+8rWFo7waYSE
IvQ3iDvERjAfbqL8ZERM983mRenMSNZMZXU7TfhEQy3eglZ5+7n1lxcLs/md7bV9tAE7TyAWZbUg
SFLuriJk0Ldd+LtW8miokGderfSl6VyQD+3tBAlTHm+yTk0MVnG4LF/dVsq00l74wlalc2tieUo0
2YUSapKJktdES2/XmcZB7yeeSgcPu0n2+25Th8jHbsrjXkbXUsrhhW5hB3sR89WK+p51zN7JkaYi
oWcS+ke5TS99FKhUVjXW5DQ8lkJ+d1v0EVl9w+Z2uIkkNO68BSqp+vIgWllfsWGiWOrcHOEeM79o
otQZHAKSYgwK6xino125ts1XCBP0a1lhsrusrftt6r7Ju7Bd4HDLq1Mjo3FvAfEgJcSD9AiQRJkN
PiVX0+C3u7GGVXQtWuwnPSwZBcS8N9slm3mp2W4VEC3QpBRw54+Wg2zHKlvGRhRc9TduoRySFCSQ
VgDs8grWS6ctNO6UzEQ8bMDT3mVPWZNHYvJvZq7MLajIV7Rq7stAD13RtrCXrKg7t82WlUnchfDE
5+Kbk4Yf/DmpX4HsbTeRGc1P0ij2s+Jrgxdacu/PNc1gfrV+sprEHxtUD6lh5QkfxEV5C+C60tUx
xlVUzJr5MKSt2kc48X5Pkx8hpFiHOZn87qWf3PwwBKp9GTfl0oC7ozCQIFdV0N2TfvZlttVJACKq
469kZXPaJUipH9b3LeqeS0WRpF07EiLOu7yZdfO1CJgBAitUmSZRm3uixdgdHqfBxwB/MHQsJBhf
ZCwg5AFyKpAHEFYhcuLbCKEHndYPneOcZOPSkngPqzd6jMlK3kLk2F2j/GjivBm66Il6JGap7Ab7
FgHVOiSOdXcTsfMxSZr+OujBVRmhv0DktlRBl4bQXlyH9VgtmV+a4BmpeMBpZIBjQCo7f1ovXuK0
7Oby4Dd6eAF+xp6o309D1gzCoW9uO4RaTn1JPrSV9gFycfNIwrh7wARmfEQpEqfB0vGs5RjFj8jf
TUsfTrKw5aVpn7D1FvFR7jzr0V6Jph32rHTNc38Jd9USS8yq/pQMa3glnVk/8DwELmCu+5/NDX2q
NwHGGP7RlrdyDJ+jba0Q+lQFOCHnCixu34R3Tbfv/SQG8NTND4FlYNsjWzFMPJlXZfJYY7Qw1t6N
NuUDgQ3oMezLzE5LvbNJ+8y3tvwtzcJ3WwjEZdz2LfuO4y4nHqIv6Zw30n16wW4uoyYXQtIaIebl
dnuJBL6OG2ANM9ybqT9/xDNZVapwUMDojgyfl3LxFPY2uYMX/gRvXVeCVCDACy5t/6HnkuRbZREb
ysoz03afwIa3RtplHiTTvCeuYs/Ut0uOMiI8w3GL3sPPpNp1kUgBt7oCxubj/Vz7/BlSQ9Ru1bTq
xxok7iKuaXInqm78kMayTFpcM2Ub6MK6hqeqruOjYBfzqRDVXzUNZjclC//h0fi5tZF7brVd8HCU
2Q+epd8Qgwik13cjblCjMmtQpAGiPrHetY+saaKdLOFibVa+X3oHiYHwP6Pae0mQ+5qbkSEpOTGg
w9cap3pfrm9tKQ/epvcB9iWyp6+ruN9jEIRTMoGDvguo9yLxHZu02+CWikuo+4GcHlWKA/DvggGs
91IuYVq3dfWtx+YjIrG5DZRf1MPKrkNknDywAWQXoHziDtTE4E2beT51ZO6fK96GtwuUhAfegnA1
8tXPhmWle91O9dfcJWUxj8GUuiYMn5eqRZp72On4d6hazLMDhlTQYEA5C3f1nFGVCb9NGz7fbtUV
6JUISFV7tkQLbj1+UCWXRU1Ee1f1Rly5PjCHdZxiCCPq6taLZ6sKZIsNBXxhSO5XpS3gJs6OXSDv
rduiXywUyc3itEs162GRJ2e/f45iPvaQFI2INmBiSwYc4zIkCJyvse0q/CyApfj7sjWHEMYVkV8+
Ju21jDH/R3YYx66YnN7bOp7rFAS18lgDQv4NJjam9kqcIhlOVxjkhicr8H8j4289NFAVHI0Z7NHZ
KMAE3FeIhnRIMCFBn7SwjuBAvZCWF6exk7KwkWk3eDFCADK3rLyGQgxCJjAnq6QIZOlfGYrw3oI6
GpZpBJUTdikF7b8KtmpM/1jnst+Gd7NKArHltK9k178CvKdYH5tE1D0WPsI+vEmmqKLg7I6n7OfB
2JUnhY2GqUljqIfOQ4SFWbtxKYJlgQWXjhLylBiywRg+ikAjg/IEM52EhYdh1BMidccVAVuDs78W
oxEkHIcS3p/cbCyNpPWeOuDQAV5IzsDa6jYEQW7xSjw4L37xp7EpBExDinIIo6eNV96KCVzVPKyg
jO7hRB/tkDrd595GtQZLioT45lUAqVocggYv4diAYK/tqV0uM72wVrc4/6tdXaGQGyfjFa5V8rYk
GjkXFTMfQb1iQ5O66X8HZHQfTQ/67lQhrnXt9dM89qZKEZW8ILcchQadUM0FtR9kQanDGyIOzG38
WjHcSWFj1A011lzV3dA+BWgDcDChqcMFQjMV4g0sbUXf8XTsUYuG52JuedaPZNkNQ8Suy9G+DaHH
8jaeSJMlVrIDzCnc0aoSR14HD/PbzcrgsAqwGMOhSiAZrFGqhGS+8nE5X+mJu31LlJfHpienhcRV
RhbudnaMvVOJm69AoBDs8mqhDzWjpBC17iDgjqx6hZ0fO9ZD7BADMya4QfwtHyK1HfAjXKieQdOy
H5fG/8WXC40DDeuDp5NPhfWbBsjKSWYYyU6Tqgoy6TbjAfpkVWm0RWL1cPRMdLsVcRUijH0hKW8I
Oc08H8ZHJ8KHxdCreKxZMXH/Dg3Du02+w7U6BvW4n+2SHKWSqHF9WBJ4y0OPji+dwyW5SgTMtdaS
yiPWR5NN0zK94o2+lTN81+up/0UWmaSNrqcP3tCfpRanuZM8cy1my8rt4Ep+XjWUAnU5KND7xO+Q
YUdARc8zagM0DAn8T6Ma4uV4iK5XakGag762gVQFGHV5dqKZs2ax6sYgcR4nUBsf3LbGZY6+mJ2j
CWfVVjIkDxLveUCyUDqiqUjBOuxyb43KfEN1uSJkL73IKkdXh9fUdnvZ+d0J1jlZaJrd6jr2aBxU
0qSEbFz77G0uRfyKg7A5LLJ577yOiyxhtaBZLX3y4nWbK4agZ3t89X1eBiM7TGXztMzoEHG0SZQX
CaT7DRp6pEUN3QM8QQh8XapugqeE77X7fqhKTN+8Ocoqry9zv+T1Hr+oC5esj7J2X1tcTbkgExUp
7J7yeh7KOx0x9Ds6eglll/RpxMoabKzaftawec2YP7EWjiPIfhzWXZXUSGkPVnITRXPyECQzuiJT
xmeNxii201k2qr1lQG1OIQK+dnqzfMcnWjBm4nSJNJx2QnRH4bidyy1q04ShwNTTTaKTr9rGHMVP
N6eqHYuVBKdQaphgcZ3kW6yfLSOPhvSXDDGmcQWNb9PElwOaSqxXhq9DJwmc1Gc+HzStYnxCXEhL
dVNiln81s83d+mv77qg3Z1E4R4dpRgOK5gU8BTWicpY3ATHVcUW/HA34P4JY7jFIFqm/mSEDuBIU
NfyXJPfzgSGTDUytGAUIXn0e/Q8J7R0O1uC9ZjouOpgX1S6EccpsS6gAkBGKby9ERdxSSPbVVMQx
gu/71t37tnvE7PuoBywywrYkD2uGQ5j6w86v6DXu27Qk5WMTfJJgmfcw4Nl242rk51oBJQLMddXO
0TsCfE8TynXt++1+MbiM+8Z/xF0x3sKPeLhSUQ+YogvQYy30VJaBO0YliAS8rDJGy91spjvdJcU2
ITBjSbaDbWYPWkkOnr+PA6fquqMAeJ3pic17LDd2bziV+7Yst12yDFsOV9ZfS8Ls7dh0XtrJ+DWh
OFW6vt43pcW4pinPDerxw1C2IOy7KkhDNT4vqt6Fpr7ulfkeYuhGPUQlpNUlg3tbpbvqRv0a+p25
V2P0NJVMpcgUQR27JNO+o/F80wIvyBwjB0v1eESLbhCW2295SU2VtbTiu77mU4px/FZYFdwnRkY4
S4n/ifbtE84PDYp5FRyHNhzTYHSwXSvLtAIEQ1FGF6oZsJ8qgXnM7CHLTDN2kbdrBAZ0fTpX3tHn
+EMvPHkKVHXbDH4aJtVWpVBlF42UVV5T7p2HVpWAxOvntQxvvLECacVYip0HiCeZDVp6vq25m5X4
kl7TXQKHJvZRhbCebUT3OATrxxQiskepxKRNB6uqqnIN/F5WqOtroBhmMkfNV4yKuhIpMT55CLi+
qjSShEpOm6wPq0MFjszeg+9WXsOiw2yrPvC+h1qdeW8+Lp5bquKzh8I6mbe8nnydNV5zWrrulzV+
fSDckzvOjLz2Y4VlY4sFJ8pNUEJCeVkn3SFcscqFKpP9NsX3KDy8gttkw9FvM+VHa46dfrVuIY6R
Hg0mdHawZy3tb4Gi7CfexBe8jng6N5uCTw4s1XBEubT34u1W6/AAFiK60yqRe207kotkemCzybiD
6BhH9vSgpjVNkMESBrU+ukApKB9jDC78a48M97zjexMS/ju+8P1luW8G92YWlBOX9IrYKRpmDoBF
ip7H7AmnrxMLqvcEnnJZ5MosDNrrYRZfES7F1IZ4bhFKsldf4cHPAAt4y5AmO8/3/Vqfgmnc0aE1
qWmYzaY13FcIcxzE2uYVIlqfaKPEfqXwhK3GGBcHHAvcFn7ohl+pcrr2y/doxroKV/nTql5moGVm
IZ0BVk5D4ZsBNTpj3XRilke5icPm5AS/X2d8XcliinIUKJ0UzOIn5woRIXZnauoKLWdXBOVOcvUk
eXL0G0wf+xZ9X9vWw5Cu04aePki28JmL8Dd4lf612HyaasHCHRHcXFvbk+t4fPf0/EoojMyqOsyZ
0d+R7ubdMIJtYtELFoGrVS6WIREpXbpP3LOwZmBNtoShOTTd+ra6aMjFtHa50T+GBoXPYaK/AJFv
2i87rq9BzXg6QSabciXCQ22q+iwX4a59HbAnB1L0DaEUq4X+Irb+6IM5PCTz2SpnD3qovppeuWLT
3nq9bOOa23ptd8C/UbaMaRLN1770TovFZbKOW7Y1RkMjyW+U4mdhtyIRjcPTG3BNL4HbBYx7bxKz
hngNWGGHcjyEm8pW8jP2xYj1r9c7jNLgvG72QfN7cy/We5v7IJe4G10D+3cVNj8b63bx0KKAnLr6
jruxzS08lVI+qRkQlvg11i05VgRxOLG7jnCaP3mEurTDqPZb2IDnqgu9qygw7h5wZpjXl8Qa4ZkW
ED7prlCOwm8XO0uS7jGqy5uJ8GU/B1qe26gasmFcnxfkok9MnERV4ey3hOQxYrpSjAxeA6oO1tVj
0TsiTrSp2zMe/7ojlh1KS/FGe9E9mWTFSTVw+2rJK0vmXbCthWkjDntaNV/cJOt8o755pOoCpsXB
VeW7Y4OduEdJ8sWJLMqmOnkmgInP/I0E3BvqY1GiPfpOMIcJeg0WQ+udSF/t20uI5uBAQA8GABy8
IG3QpLXf59QT7oo7FoMH1IY7F3l7SP38k1iZLXp/oL82FEqpjpcZKxAOzKMYTdpDz3Wuyh6h9OU4
7NBOtSi0h/E+mGtylJgY6JS2HdBbPuHqjunPCJffDeiKD5dA8CyrXTTQ9a3BZkcDUiNW9HGr2IFL
LMI+ndq9lc3Rr2Ux4cZlFRrY6G24pI8Y/Kbl9qpaxHZ2mBTthtkvZtWkUAFl3gZEBbB4gPoX693e
2SjcbUn9aGztctNV6n2c5KkuCbCv5cFOTOdhueBWNuNzh6pJwkcxNUbPmWJRdLXOGFt0MXIvZhl9
rS3lGUcpsXkj2deRZifDcVMBBDMnunVFtcCnmvcAEHSEjZBoetIAZkPcerKH6C1y3MPN2MEd17Bu
YSl3wWbBFYpgugT4bzivzphT480OuMmCQ2UGOpfCbvwMgPR3P3SI2Ck1Dl4flV8BTf94O80eh5Me
gUc9xTUJRU912OLJwJ3cPUWWhIeJKH0gxJdgkvmoe6gfLzkcMBH0YfrkPOrZitTWCfZ1xwRO1rps
M+3X0XO04p5ebJJkEIJ0xzmquYJLCRciV5HtzqXf42DCHYTcRD3F+3pD6+zrZoMHh5/c1cDeP4mn
e1R38Ugyr8cgO9ILMH7Xex9w7b8miuclkr2PyQiCfMCmIJ8THPMzfB53M9X1MYALTlaueInNnx8n
3Ms/+HI1CNsxchMiZKukqqm9X6QdvW+4jbEhLctW/PQaGYAJsrD2MUyuMocH+cVG6l2LNvI+jHR8
z7tpee2jdX1pgD1D5hL2u6kZ2ivBAe5riezvCljXW0CpfwYkxPbgcHaPFgfhbZnIZ+Wm8nptku5e
oLv5nL0R8eQJ+oScJfDD3GwoXqa6h8wT/tbuptOqObfT1Oz8ddRZ7TN53hY7vNrIJVcLEneRnLSM
qGpbxD6PZXDuVmNy5bqPSps7KjE/EB6wpJFpchRjHd1gQdidn2CegC/M6x9R9g0nKxV7C0DwnVHS
V8vLmtT1lVXUB85U0tttsCAxIiPZu0p6R0+s8d3jWqMe4a2/ou7opg1XbVDdRi3q4bav+H5q4zgl
kYl/LXQ13zODK7Iq437Xl3wrFuO53exqmvqhxbW4uFxVyn+gTdwfg2AYX7uAbdcJ8/pTL135bQJA
J8CAusrnwBENxapW3fcSAcimEALkgxufJ+J7OG7g7/Rtoe5MifTLPaDS8NSvL/XYkI9onUp0RhzW
7Mqz92NFqzx2K2ZynWz3a1PXGR8TcxrLccUVhuKiGZfL5tEbwsvUmo1Q9Peo8XRQ3slyXg5e4NOT
X9ko21bWoUKI2q8BD+DKdRi9AmKY1ow42DnGnmsfDDr84j8pNrJRMdBbV89RquakO5VuZMA1XVWE
VRXnLakEjhhq/qSn/5OS87dh//+j+fxvfKDHyfz8TOeP4f8A0cJHjhYIMP+aanEc25//6H//x/nj
byShf/7en4wLQv8BhsQl9Q4k60s+14Vs+SflAn8VAy4Cw/yiXoQ6wcOr/ZPyw+g/oGRL4gut+CL/
+QvlB3/l0RCMPNjZUn6RNfw7lB8QPv7C+IGYEbzWhCPAGRSiP1Tlf2f8mH7pAzdVBPY5dQkI4mM1
w6VR9+J06iW7jyqQptdEFP0A38K/PK1/rom/0o3YhVn3P3SjP14cZiIw2gP4iI/iXZh5f6EbeQFJ
VLAAH40pkknLXq+7xoyiSjG+SXbS82GmQFYoeIZxKI+jBosubaxml6uLw4yLehjNkS6+HlEQC+DF
DZzj0Kck2cib9jQt+CHM0F7nDcN6IYT2TnjSmJnCUxqDZdhgSF+tX8tC+jUvoSVN1egh2crAj9J4
gUSCQQ17TQV9zLf052UFGhjOYidnnOWUyKAv4nYbgFqY7bosRXKvNiXfJ0cRQ14RjJcwv1/Wl8tg
l5OWfRAP+z2tMTXAeBlwOxJhNHWZCaL+9zb57ByzJaF/PuZ/a+/9S4LT33h5F8be/6kdmvBLIMa/
3qE3FwId9ufXzze8E//GivL//N3/4UWFFPpe7DjQr5MLe/7PTRp44OuFHAwoLwzgR5Tg9f6blhf8
A3xwsPIYHEzBkLqkpf03Mcr7x8WzEjb54DPRC2Xq3+BFYdv/bZ9EsMuAAzLCirDhL8z+/1/B5G1c
B+icWugY+jnGYEn41/UW/MjhRlTbaw0XPFGjqUFx/O6Pw6sQ5Mj5wj8cIdu+E+YbwRLowWN75+up
QWw6psqHUEUpCt0SZJA3yCaDnWpg/1j69/425iHTd9jArwMDFaaUbPl2KCkuBScqe5NKhlp6HW/6
9ncYrqka2rEsWi+Rj9MU9bdO4AY/jlujHhvBmgETOYY5s8pQ4iMEaWseeo0Q6Yvpfaz2Pa9vqxWt
pb9Oqb/2wW6LiTsLVLhnqTrAfBRtv/A6hER0z21vXrRy5wnMGkgjIdff0NF3ZFfzLlMSI0bbd2Gx
RWMDJ4me3zJMi84R/Iy9rjmqBAXzVB6taZ+nKkz2I0SCUtKvEHk5WWlgc1EhdhLZP/onSYD2qdFl
qJoz4k/D9aQRIhr130L63zomh4G1DgMp9SuavQI3q/+ktQt3topB9+roY+iDzWAtKl5lyK5dl18G
HKKtck+6GX5CQeZrjP7goRW9ORVdMYXpZ1gH392qUHWFIl83ct/J8uQlw3g3M0uPA4VRu0RuJRkZ
fSRxnVyZIEht6/bEN58jB0szLn+UT7xcl3DHdqM+u2pL/VaJJ6jpeRrS0Ssiy4J0Mjpna9B9Rwow
Gl/q6EEE7ZMwDy2iHdOyhQHGJDXg5BXuEG0yPkFI9DFdsmhpjQkM+Ei1wdtU/gSoHvS6LLxY6bJ4
A1wuzc1ogukWMcU0nzfUt1KhAyp9PuTjgMTmwFYHYVqOKUdThP0UZbGGDAhDjSSTXuvv14VAhQTr
UqifI10EYAakpOu71NMWoPwi3qE2gQkjmdt0WKI7VMEFpufxicQkBtIMNhU+cOEHDpxrWF5gByia
q76usn5Qn1L0x8V346EZ4PYp45sIqLGNCarDYN5vmgEXtOVhqSu0aGsE5B6yN6Nwtls0+V7Qg7nX
IZAQNsapcV2czcqU+Fhzyd+CeHyLBOllSjeal+04rsAJS2DXfXQP09xfC85/8AgoYkHtaSvDPdZ4
bjwdZDSqnzgNN2yOVkN0IkEq6h3P4eNE34gg6CV6WqyaPAIInGFBR+wapEkzgbcGSkRGiLpj/W0r
yre+RRxCAvJZt6vdLwvdWiJEAT9CdKw2yEcSiRsm3P3Y0u1Qxj40puaAOqVDP+KOWycLL0EumlH9
DzG0ZSm+kCIC1wNClvcq8sCEm3KfEcy15RubJU6oCjgZvhXAdHC+KnDxI4ozQA9B1+3Ace4cGIuW
uxBN675fhypXo2734ew/goVR2ASmK0IcupV7CLiPflMXnpOgr26a2n2wrYxuxMAw6u9v4qbCdY2R
f8Yrk9Ol2q3YCuUMtlAQHmA9CQxeobS3TpN0rcGfQzML8lazlBj7YX8la5I3CLHs6QxQabFfGgQl
S0mzGwzb80T3WYciG9nbfow/DV9bIMIc7pdT2no/s5FXVog7gbdxaLYeA4L1I5lEB9IJnPgRZnuL
THbIBMmphPnQdAFZE5uy3mDPYIiDRevvSbK+Qw0GkClwq4Bx1wQgSwOQC5BAj8krBCQIoI9rd10v
GqQ953Xp5tDslwDJV9jeX/inrt4egKDia23IgSOONcVP5anrA6jdIFPaWthwtQ1APMxG0ZAtOUki
9+41YEmF0fum1Gn1KnljVFcXEVNLAXb7my8j5MSv11ULGtpG16+k8tKG9hgK+SjX3JkIyAJZC7Tc
9OxQTeMdDAglVjNO+cHOT145p4t22cDfq8HvUjFoTNv4PnLkdRURYOPVHTRGWsIbP2Id7yc9P60I
zI239RfpkxmN+vq22fmMmRbYbW3ay0rnTpDkXEWQ6ba0I1eAR3MnL+TAuevySS+yYF3XfYHeRDDO
AJJr1PIhHZhKceLuI7BfciRP5obdosX+9udwOpW6C3JQ2L7GdQ1TXr3AFa4+hxjRv0s7J7npgSPj
rpNixsU3llmAkJwsXjaErseRpqnnxff1Wn3oxJ5mD3o/jhGF3/vHCD4Re0w9lte6FQDTCLgBHcV1
yLm+xSg67dfPloFCgknTW5QA2o+iN4waMfaRGKXFrpgmb06yYIxA1pE30h/ufDKeAJr/rga9ZR6f
AeokMNSpsawBtsscDTyClYb5a5AY6MshgfrRE89VNPl7zfnXhin7LrkQkL0LFbmiuFXtH/xkfwKH
t7mQlsNyIM/thchsO5/8UfrnNYtkYS4LLqFieMGUbTqPZWPvmEcQiSWVvuEXsjTKdXJTKRCo+3n8
L+7OYzlyJFvTrzIvgDbAHcq3EQhNrZKZGxhTFLTW2N8nmxebD+y+PclIXtKqdzObLqu2rPQA4H78
iF/ot/gohH/5C7y6taf8BoVCMNchFrM7qVoHdfcxzFb2As82mmbeZgtkuxSWc1ALjLuaZ/ldLdDu
lOuEtCIBPwbuG1wrg7oFCu44efclgFf9UleaeayIsQzFaLs1S8mrluI30CmDg3ypiPWlOG5EnN4l
sy+uXU2LGKe5XizyCfP62tp3UVtuVcQ0fSXDovlLuQVmgF2cr03GCC+2GY9exbT2aGYZLa2sFqdZ
Ti+a8tufiUoCQk1WPaiOtgPxgug7gjewkRmqGFDe6sEcbgY9A3o8DriiNeiZHKqpdZi+VAuuBXjH
pQ7B+gRaAfCIVenXPEJ4DDjchPeasZ2VRdWl3tjjOk9TkO0vFlK72tgDFdMh6myqIrzORNhdx3lq
ZJsyymg2WHVd3w6j0o5N2c6rEYTpzsA5EqQZYrFXDHqrlZaA3lJzFBw1+hMKcjWjJ0yfXJzlRIgG
ZxrZz1MK9DbtdbWdcpHuzI7R8WAJjXJHFLs2mGhGx0LDNMMJ9S06M2QIMH3jVYcuLV3LjuyOusz6
mlQCVDYxElZZpM27ICyiE/+NzQjxCiQaSKxmK33P5kZTzQsMUPq9bfYjhVyrTbbHHOfkTPUan+T0
kLd9+xil41XKm7bc4VucpSdtogNlp8MBzkB83XWZBTw1AGKLE9m6tF7fL/YawG99kQoP8MlFETKz
GmZ5NAuMtIc6YfIRe3RvilunKLpTmc48fBifjCabGHGmhLC0YxVO0bobnfRx8vunxp8xGkywImzn
MNt0WbiXeR5si0KdisDItxWT/2tNFZdF5u5hQzy2GcSItdlXt+MwbJLevlXhacDVczP7Wr62EMtr
8ly/MpsQdJsqt5k73lQVlLX60igS8tDB96qIHD/Ce37dSK14tDRA3XRrTTEdgDXCSHS2ZVqil6tF
d0MAmGEARbwN6K5lkf80z23h9ZWDBheSI5X+hPzqVTY73AA1URG6obCG/Wgn2arvCnU7BiC7bOHv
zETfuFb4JO26unBgD61KAGN88Hx6ZuD/zPV9iu2SgUxr7YX7V4U/z7WDjuxhLBpOA3/2hRreBmTB
/UFbkXbU5NV2+wNsynzs1MOYBBdAUrZgdJqNGpuBRjG4MD/camU4gFwB9TSD6U+aL6PKw3VEmpg2
yqPcuxFgMzydSicrqmvfHY5O6zBKq/zolxqwK/NVfFm1y7XTPhlhpV1IN7nMrWjedIMP7Cy4tJpH
CUaDQWN/qbfJBSZFRzl3aPsWNAZFmtwrCxC/ao9TRfHhFLmXG+qYGhM3p97SC/6VdoBZhnH8xtAp
YqQ/n4xUW5GnlesBZuqma1W+qesQL9WM0SQNvaPZk5Zzq2kBKAlMoTclUhxRU4/cFfwV2piuxto2
1nluXzUpy5vzdTOD7HdyfqZqt4FlRl+SCLhKPVXgOF7L6L/VU/h/rVsA58m0l9r5f+4XnCCB9cXv
5Kl//0f/ahQY/1jIUxKTCJ0mka6o+f/dKID4I/i/EXxdHMl+4+/Jfyy0JqnTZjMd27Lpg/13o8Cg
UeDYUqEHSHUPQfTvdAqWjsBZq4CmoWnR07LRj0Iy5tzqKo39OJvtJOeqa8KbsZHTsaDyO4Rm6axo
9iZekXphDpA5mAodAkWTPjlW+TMo0m/9JI+ia1/IndXGAjS+KaeyZUf3ktGJTRo9O/I2KMIKDIw5
eE7mP4y1o7ZtM7x0ZVkzLGV6q1XDNVo/81bm/tPg9B5Sivkqrf2b3NGyfehO2nqgzpkWhJweGNei
G28yfYrWfb9AUTXj0q0jcV8Px8I1jjT8g2OthY9j1P4SrxcVLKwrjE/xGmCg5fld46xsg+EFOUK3
skP/u6GGPaORqxys7Ogkz9DXOFFZcIIXJL0WSX50nGCOqOTCF8zrO7u8E7rA2SlOO0YXARSm1ril
dBYHX0tPAFWfhSyKqyiybjtyp3z2Xa5bu1hPqii2VULHoByjjV3a4Raq4U0G2/ZocjN39bSPe5Rm
TEPmOxVnGzdpsN5zDJBNTQ+HhkpW2E9to6/mWq1r6sFV7JTrWJG8j1LeB8F4VZVIJpnFna6mTdWV
e2pykrH6EI2kAaU8uHpw0ety40bdxcD1NlZA3jGkxRaPjmhcPqD5y5+snEfVYAkd+fJpclSxpkuQ
Qg0wdkChH8UottRY2r6dRX45mfiQxEAStYaswpf8mIEhe83gxZl35ZK0JHkoDmFVkkA18yFH3Dij
f5Jn1ozw/CzXQQhbo5GUPWa9iaHJOZmTYZyVAqFMDhrlP7yAfWWhVZ0itpjEu9ypCtgWCQjepDmV
VXAaSh/KVizVSqP0Jt8rng2DqgMJinal4RVeM5khQf4VuX4DrNXfzH1CZl1RXneRs/Pj7kdv0i9b
kjOjwf4p4aots2RnVgCqOBw7XYCpc+ZwH1c9Ziekc6k+fYPhtgOI1mynLr8AlfqkNclNZnfXpJde
0vQPUCRWPkLDycj8RZBVod6Ar4exi8p4XkUAtb3BdL9XKS5+bkIHOBdMFo0cMs0QRau4K46Do+99
o70be3HQpX0hi/EAQ2RAdoX6JekA/5WmjLfsnyc/d67IBamFOvvOcPFGSIbiQouqYJPX1T4ZZbn2
qXqnOQnW0WtC2ykvawGpxII80AzuyzzZBmWxcSb/ywAki1fRfq9oc5dz+MMU2tOU59VRBqY39eaP
2XFe6qY9BQIMjN7AUxutB7EMmjo7uqdxeBgd40IyL5PAk5Kp2ovXedS0kOKiXWwb13Ve7pxkvFUa
qEN3UhdFOj6GVXwbVGITFfK+EsFtyVwrytktpJtiGXgpO38QMSxkP0GMIp12tj7H6CKqL7Jg3AlN
0Gz8l3kZk82yuq0BUJZ+e9mW5X6OaeLrsWIgqu+NGLHGXIFlKIufTpseYvenSLlQ9aa4HwxyYR9I
Nylh4NU1MhhuToBY+A7WMqlLhxrV6syEnVz3B2wAsm05Pkk9OPlB4TUZCaBVs6dELh74l2SddM5m
ajpM1MRXtqhP0S2uMsfMNnFVWSuDYFNp2pHiZOuDLbquYiM/2LW1tYvuoWKOCC7tujeAbVBt7pIC
OFart8xFDB31LUU6OZfho6sN5MTRukrUF253zxXFZe+4huf20T47DYmn7CeVP4buI0kitteMiksj
ZNA9yNs+agn8MxkC1Xk2iqcEWfJW+V7jTj8KsunWBJyupsrcRo2K9w3T1Y0BCnqZEFljdKXHY82m
z8lvI/uE8udlRjuuAAq9lhxd2B2zx4Tl0XLyG8fisAEv4ZRApAFk29oA7uTB6rqvkWPdmWhy5AKe
qLRvhNl96ZZZrS9pHflBrRCvIaxl5lU4yXhdzv3PppDlTgaZXMkivu3G/lu2THyHRi3fz32sh/xW
lfAnJh8ohm1lLwOkgZWZ1bdFpW+zmR6QsAi5ztR/GTr+rTEDsA55EZFQKsqYnAYQPJ1Bz28IBSO2
OcMXexk692P41Jj5dzuwL1Re/ZhMcRNk6TPh/FD7+iHt1bxKuwWo0j3pdbcXXaOv/a4+kA5ymhnZ
QhYU27QERMHdQQZqg5qsZF+ABBmPdhV912wNllxIQT87A7S+9nIS7o+0BzBFd4r2Ti2fcjtzvNBO
240fl9fjYF7QGAGqEqi/BgMp6ElkHVHe6Eimo2ATO3Z/UVTBt3HQn904Pc5mtqsLgCNcbDDBlPNj
HvtT0ZXXkdTN1ZxrJSgV6AGKyLBygvxLbsTV1g6im0hOT5mu/epxYVipoT2Yk3GHsm4EF9fZ+8q5
HZzkkrrpJkurF7rAd2IGWo4RMmgfLNcltJ+2GU8w26KVmzj7YkApRVtgBNkI/cqhDdwh8jPQ5GBC
Jn46sbjhcz4SuOqLJCn3iMfga+C7wJrK7s4ZSvTUNH3muBMy0PJfF934awyM+9aPcaHXFoRsecXV
gVZY+Yry1jc1k/asxdaqEsU20qbbtKZ5NDRutUUN+QZ9p2NWurdRkVhs3Q4hhJ6u4GwCsYiG4Hsz
uumqV9q1NJMfjXCPcAiD1ZTP8SXZTEKwwbSbXjXgA+yQ27mBjjFMmyLEqq+MiruozJ4NSd2WlwIR
IwH8X2EMP9v1xjV6sGikXG13gYAbY47mL01JbMiqdBXC/cyKcaPV7ql3w/mQlRlna9B3ptn3ngww
s+5EZ1xG5VcbKEg3UwUBDZmS/tBaCIi2ahe2Q+Wpdh5XjjETHprtgM1FuuBJQFYerIB2o5HM3yLb
/T4ZGUo2QeeuOku/nhwkG8BOFj7fyTZi/uoC8uoQ80mSl0aY4UlO44kRFDpMqr+TMAtWbZztZOkK
9n3Dds7lBbxtc21qJdbmHTiXscj6Ha5FYF8y6wXme+q10XCZ5jMahzZthEQ2i745irg9sNFqjh8t
NztMVf6j6ql8ahVdVgHUJiNDV6Vuo70tc1SM2tCkWZU8aJF+IYC37whk3cbvTeDbI3CcoABeCYSO
dgoYxW1tMl9yU2AurWVeVBlSnlND1IiN49TX/jr0gy/DgvGZp0ruIB8I+j/QijKI/dvQoo4DuQL+
KQQ8ixYyz+2uEa27yh3xYpTg1AHKlttmaq+Ic6de9hdE8omQGF06bv7igLigaEeYaFiAR9FEvtXG
XqfDMtTalqI3iXJQOSOcvwY2/iTNTWq5j62Y7vBy/jrM06XIMMJp4henc9pV7cCnBsnTb0QI5hx7
LulNKqJNXpWkAj6kJT134o0ROL9K2dkb4iL44GS6HrhxwTEtwGoQ/j5iyv1wjZRu7A0VAkPjgomj
BzHUC4OYvqk7ts4GPOF9NoyAt9tTJuSR9n8B+0/+LB3TODnjcD+X7mODZ2utuX8Ns6nW9oLVSsst
jMttaJfwtq2sABuEdWyvORvgrwxF3AKufZ6M676Aa9roWFWrafg6oWnYmY4P/Xi4mGrdXxFM61Vb
9l5kTwvPy78bpj4lSQbWqOr4JRm7C8OgaY8K5eDNeA3boDXQ2oZli0M7Lccg3yc6iOmk6m7ZfdTf
vvjZVsWj7+eHeKI7m8lNSad4bQJUA0nh05uvHvImKDfJJE+NmJ41B4ywJmGA0bx4ED7mFrF8gBx3
7SbzXZPTGB6CjM86PBjuMg4xrO8N4NVWh7YQaONRxul+soaTGcpDAFJj1bcxGZdjbaaYhAoE2k2f
wosEZf4LwORllpMMzyXWY32srgOrzcAi9mC3i2QtFkDeBNZU72YLY2CrXSeJv7c02iGlOrRN8Jcv
w25nOXJDc+cp1ujP+w06G1U2fElcIB8p+MNOSzZWrQ6aCcJCd9tsl7WoBCahfQVjJN3w9lbEom2Q
xJc095m5KGgj4YJTI+rosKj0FPSE6To96Ad9AekqSA96aC3czGGtiqjbTx1jv5KwepzCVkfsHkUH
CTx+tsZHv8IeVtKoqiL10nckrjg/keCqxnMc61h2zJ3ytNG2EUQL0hQY4FZEk7FVbNWmBXlOE3/r
mrBk9WF6xr4MXphu3YQmSMapiRluCSpQ2kayzSAWR09ulZ8i35Ubv5AOLZfkRZacRhOFjrWzjJhq
NSwjMdLA3lrVMq+3scY4U4uBWlZ1etPPEaaioY/K31BFt3UYfzdEOJ/MzjpmlgzWfUVIHKW2M4ug
RpEQvohvU4o6gX4lw+wmDK2X1qLjFjkxaF4TiktdbDVQqsWy4gAiB93LZHavgOeSb7X8JfB7aq3a
6G7xjMIPHhdZwMQ9pCOGKHZO9jx9s3uENrLokeP6AzWhawbY1Bd1JsjK65+qBJanzeG9nf+YZPrF
lnW2rWW2NcmtqWAhZ05jMmxaLc22STIb30KjyGH6lrDlDZQiASMz1gaQeCGU8WKEJTmcwX+VRbZO
zyW8b5cJDFgNfGlS1wOco3v2pFFAKLr1sYEDauSV9gVz/+c4hPtBrpBCv80NxBei/GGGdE4ZQqO1
duDrOQxogzUExZ9usZmnGOMbUhB58M32puxRgAfUb/gM5sI+ubPltcrjal3Ru1kJnJQRcz+U5USP
tzra+sgk3bXg90IFobt6UjoDOkPUz3kQQvRGe35ldkAHbU1E3Ojmbas/j0PlH0RpbnOK3DmTBzuH
8We61ZexR4HEr+anyrHJYuA9Eb39YboCOFRvfUfC4bXWhXJ2Ks9ogA63eeKDLG6jq7koTlGjX4IY
u2xJwUI7f4Te+JCV1j3E9ydjMPZNGLYrC+1pBibQMKcH2gjIcKjmxgEeTmYiyILEkG5S8dUvWmPV
NXNNsds9x/EVk9bHOrMwuQubBCrQ9LOemZg0lKYmGZg/LGU805ik7OA2WaGx9mdbrK1yXKc1DCdd
5keECyCFNorJOud4JdE8aDFP0vwfUnwZCIj9XN1G/RTu+iB9PmW2umTSftn3QDrHlOK696/Duk8P
lusfc9aps0mu0bT51Th4QOsuY2NopMuMQrdoJ6NMbzrAJ+zoec6g599Y5QtYu/UIisVztH7bluQk
THvXXQNqGODlIWuBHXQO/eHibuw6wPRRxqRyDO8n6WgnfcCNvbWmZFv1Pbm+o19NjvlQJC5tXlqu
GX9gNYED2SfzklJuUG77ac2IWzr5fAWZCJ2dbth1WPHotnFVQsU0/H5v180DeIJ6m08vVmy9OJXj
HJLxrzgdDzGdhCzXr6uym6+s2QGgov00+EVfTNgXTA+f82ou9l2b/Cx8nsLtp/5qWnxqAAAybQxp
tVUWgLwoFpt0keYqlW9snQRdF+a+lFnAImzbXA9Fp+0MenySXvoa+razUnkk/qrDIeCVLUAa0fo7
AY36srdc7Wg1TnyyW4k2kEEbYBBJ4pm+Nq+bzvoPlLj+/0ShOSapgwQ6RtcXWqA0P+4x/+//Sl/y
n/8L8Cj/aH7vNb/7F/2772wYumvgJUQERYH53wA1QwEwlYA4BQBKhOVsNLP+BVCz9X9YFj56NmJa
xlvdOEv9w3WEYSBDJy3bBOL2d/rOiyzc/8VxLsq6aIcJ+s7A4YDPmUtT+jccp1knlRH1EaV/MapV
23UDnQP7WMU1/oumPW5/68m/gxt9bzleAZhRdACAYCxwud+Wa+3KdC0Vzl5MubUpC27UfiF+1wxW
acAJ55/DDqCP78vivcXI/vPxXGUhl0p3HxeQMxXRpJGWqiyuLEfjf4bBaC9RMupu9JRB1dQ0KUCe
YmoPCkWUraLs3X/8vGc9/dfXC1DGNh1+AabU5+tnXWS4JaxxG+XtQ6XjGJ7HVrr7eJW3MpivTynY
VxYKxjwiOLC3bzWpgWkIFA88UQ45E/Gm2HY5FoyZHk2bj5d654WSZ9kIxpFiIkZ29gHrsoldWU5w
L00gL63S5k1mVYpcpEj3RsTNg3WOtWkHbV5IL8UnT/pqkXW2XwWbX7Lt1SJ4zzzm9w1kuqiPVRat
qgrdCVSWoBPc2fykBV3MYYOMgDBIBROH6FyV8WVmhjO5QDF11Qqh6vB+tAcYjkliJo/zUITxOujh
RntZpwU3iHtMPyO/c37oJXDET/ai8d5nwpzcEst8h4hwhpmO1Rx2GTQGqpJSbewwq9dV1wYbFbva
TTaC2x517dLPfQPEc1yv7D5Gy85W+b4pNNjaKoyYwtKC1yCUHz7+rmc41WWjCkRn8KzgnBCuzuIA
WultXvr+7GkGtQG2veUuAC9F06ZfRw2pVxVBqK8r8ffUd/+5d5mhMfPCgc3QF/ju7x+0MKMcmpGc
PR+phK3Ton3R0g/xBtyHEBz+51X2P8aD5by92T42AzZpY72GXCYztrPtow+A+fN0pEuOMue2H6wv
sJV+TUmqTvHA5Aacebv++M3+8dVfl3y1obbRGD/fsaJxQ5Cr4CiRsTlmfZ9edwZiVlhg/C3nTd4k
C70GOtQ/4SWcS0PPfokSSIjy3di2/qpsmuxSZaBZnbKe1/PsdJ+Egj9i+et63BkEBO4w/WzLaEbX
xH0dW15f+MPNkKfVZW9CI1TEIw/Zk+bh4xd5pn39rwdEzZ/hP8BqHvbtVsnwBzQrmwWjLJloDOYJ
ELEg8rhmIq+dkq9NH4ynzq7a+4zDtc8YYG00K08+Cerv/xCXUAuInMHwuWsnFXCGDIVmetaszXva
FdUlfG2JCAnSbRnzyaPWaczxG0wFqYarQ50M+aZDbOOTX/LndmYuvmQI7hJWjHN0uV3iawDhy/LK
CgCJHen+rgBk7JqIF4CEKlcAOIPPQvAfocJm0UVSlISJwkudfQY7l0x6mGV7QmPgkrg+8nkgR5Es
mCBWx6gxDWa+CxYBBeVC2svAlSR81K0MMSqx/Tjf90OleyAJr2RV1SdaC9KDaNJ+smHeeTuKvI5f
u5B0UNh9u1+6ysxtaMe613XpnW0j4RBIP7tLS/tr0Ub0davUDT9Z84/7Eb7BAjF4fTk03s+uYtOO
At8lznlFUlUnYHQa1RCqRgXR9UEPxx+FxkZRbuUjMVd8KtP+3vJUFsAcXHvRG16+3W/5lS2KcMpR
pGEQ3iCcUVbiwe2UvY5BuR9S4J6AqS3md6lmbCI3UciXQN9pY7PYTTp6SGw2a2ONjdh2JazJeuBW
T4qy29jorK7o6Wfex4f63R8MfMLFwgL/BVu+/cHTVJT0fWbdY27A4GjQaqppGrWQ80svKaJDFbjr
DDYXeWNy+njtdzayMiGN4B8sddLts6un546HRsi3sjI3vUDxIlwnCEOc3Ex8DYyAgSuX4kPeJZ8Z
sP95JeB0q3AhN8gEKAzONmbDKEm0FTTdDpzaxpWkaljbxBuNCvTjR3zvCFj46uIu85qCnu2HqrAy
mjmd7iET1G6quiS1GB13ExhGuLOEiI7oi5if3HjvfdPfFz17r6i1qTZ3WDRyEZYygK/scz//Mevm
jU1vmRESbVHA/g5CCOXf8tJY7giudgnrTiFFpjiAb/dT1zkN8iWc+QKtUK8ivFxgi54fkhzN0lyP
rE/20HufklQUaBAC3BQZZ+sxILHTSjhYt2e5s/DSkp2f2N/xkFSrjz/lO7cOj0Z65hq6LizlnoUW
DXWBosbAGRG3rPWiJIA1nvdMihpGg2oCuFjZhQNgoc+9UUMVL1aMtXM9FJ+84zMng3+9ZPq0JLGO
ABp19oEtU2d0HArdq114+qiAWWuo60Dt8yTdOEXpXmtdX64ZATOlsnLHWwgZR5mAWqKLMQJrMvTD
J29nOTNvMzt2uc2boZol+KmztxNOnRnFYLW83mIOHoJuqd3yFqSRWNX+DKhjygZ0cbA4QTgJ9fIa
FpOqCX4YTA1/OzPit5Ac2PQV2IMLaOz3KCzTus5ABsBwFClqjk4cbf05IKG34HwYpR0/fvzw753y
39c7C6IxR7gCkGR4UV3Fa5FCJAjyEkFdu4z28aQ5t/U8tZ+km++dcnyMYbfR5sJA5+wh7a4PHQfF
YC+LbQoZE3abnU2XWos2laWn0Sa3AHl3dafB1m+Tz7KQP7PPRbbcpfHCFiQLOYtseFJTCbkcvKDI
7QNM1fLC0DV7aw4gKTXI+RuLAfw6X0pDSAc1jAl/vOKPzbCyFWNNWZbbvkztg92YmFNQLH4SBt/7
hQs1F69nZVmWsyj2/3YXCxwBmjRBZjg3EutXr1J9nTq4/FRA5bZTjdHPx7vgz+sMnJtlEughLNuw
i9+uN5AKTQk1M7ILIQgWxjhgjPPx4MMBAp1jXALOWaeNETx9vO4S4t6ePNalw4H3gcRua+lv/f6c
qEfb9EApWq1JRHeB0ot1z4b55IP/ud1YRQkON5RKvMjP32allahfWQYSepZz45a2s1ayS9ZharYH
P4FICHo+A07t/3RH1/0kzP/5LZfVlwzFpHzE6uftM3Z9nA2FzrtVWqjIXC3hhUzbHlMQfIj6xtrq
43f63reUBg1DqKg2q569U7+Z/ADmGSwkleVcY6FaWcgkkmlnsQdxLti0OQLsTAuHT3bte1/TJDvB
SMC1AakuF95vu1b6os7ikJV1HPUuA9IXr0mQmf/4+Za/5XzPWNweugLfZEO3fbtKxzzNZbQKqY1a
YWNYBfgrNOgYAiOS+B8sZZDeGYtBB1zBt0tJEHvoOvNAYRlPnpFB0RlnvfW64u93N+njcgqI+uBi
0Jk7W6oJEDkxU9h/vY527ZAm38PeDxhvt3TEJhhN/8GT0cbQ1SsC+dw4cLb9ue0tGFBVjLpNU1GL
CgVBUiAf9clSZ37gy5XPRS+puk365VR/Z/YOQisrlbWIJDWD3nm9W7rrgNtzq7UDXJ9kVBueNPQi
TX6zKcefl/LEK7MRnGpdW5/9mmW18+2znELHdrDj/qPMQWQ8qaXVC28kO98OftFvQgBF3mi4UBiH
DNEjyN9oLxelFyhEme1yWgxFNf0z19o/r17BsTdMyc4CIX4edAvNRnYH9rU3ZG6/L9AyBvi3OB1e
xpmT7LPUbz8J8+8dHeDwBt1eknq6vm/3cx5nQEJ8ZXi+AucGuXgG8hnlnlsRGj7eYO9FIbX0ynSI
o1y1Z0tFtgFM2DeXyD4hPVpo5VEgzr0rpFnfMjnoV3Tx9Z1dIdzy8crvxVtCEE8oqV7oSr59yCqU
nWmVsfDikjl/ARJ7kw1GDoK0CDd9kH+2v999qYh10IKkFqVyeLve0I44kmvcYdIHXCCzjrGylYdb
w2HLf/xo7+0Ykvf/Xso+CxLulDCw81mqm6LoIPXR37BLSN5BsqDVbMKm0aPwk/dpvLMqTuuEW4QN
yNhe7YN+C+tJlOllEArSYxhGF5maOgTwsBCIMrs6jEBDPTU37baUOEL4IDm3yOSh1QRP6kB7C0nT
Sna7FDXudV/3yKcifb4JAXNtP34573yHNz/zLMz0fS6SeWTHhUOWeHYpmluaEQVLBfPm46Xe2WIs
BXFD8k7AAJ9tMSTH66QsKRgG+jVHuDwPNYKUTy3tPoLJPEeffIJ313Mw6SFYYNh73mHXnaD39SWB
WVjJt8yq233jK2tbl4HYzbOoP9ln775KdrK1uPKQNom3W1oLcle1tmZ4TW0El/GUghOhsYp+OOqV
H7/K9zYXFQD0GSqBpSH8dqkZlRgcIxp9aSQtioH280Kt28iuAtsMowXhP3B5H6/pvvd8iM1Jcgji
A2o7bxdtGr/mIw00UVBu6dfhLLU7rBAYl1daHCM2ZZiXYugehmTsPYTgo730NXUVpVX5XBqQlyvx
K+4a47IeFUTGMozDi7kvQFlXsrbgicWu4/lt2MhjWY4K9agipCNVtrC19drTRtUO68ExRoTGspFR
ie+Xg4UYnd+jzqDlM9KwVek8QV4VXJGhbx3RxkaLwNDwbMcooxluRhXVR5XmmDwA8+nuK4c2xYp2
Ja5agqEJKJU0vE5TkeKeGwj7xUrlGCP9IY0epH6RVjsDiUprGzooMkBTN8B9WlOAUp3lJO1X5acJ
OAajXshtFmjUyozUF1PQ2PKc3J6eM8FEYoV0Sb0tra6AG6214kuGhGKKVqyFXw2E4kbCy4vbbwNg
+Ht9sowtHCD+s8ZITdTBnPKrmiIQxR151WqY/Q0NGJCgEIQnPH5tCXs3A7jyM7C6CAcocmwkFsFO
I9/bF80XF98QmgV10z9+vEXe3SE02BBxolTExvntDrFi/Hhdk22p50giyFoBQGrCCaOMsPoPToDJ
mJepjeHqFGFnS1WV74q+pe3UEUzyUm/ggWNiMFrutWW22sU889o+frzXS/AsC1oEq7iyCCkG/rFv
FxXIqoDG7XWvUYnjQcq2TnoWItsbqIumcDo4zhCGQOZUWzUFxqaWk1oDqbOOgLXydRBhxlKlcj7E
C42oi8J29/EvfC8ukAfjSgfjTr764v1eS8xuMwq+s+75QVaAaEb7kmoAYfYW7eLYT4aLPnY+yQ3P
/BpfM9UlyzekAA26FKRv30oGlacqDVxtkznqgJr1AI5WoJkVdgocjCvutcheA3hlFg8XM74KpeRk
MD6InnPgb3+B788ugsiG+ADVVr+aR/RUhOM0X0PTUrcQbiLk/+xg+F5pjfM4lpH5s5NTbX/yJO9c
GJS7DvRCiyyIQPf2QYBZlU2ejTRYMAPYOtH0rSk7cz26SPuqxhKffKx3unoCdQrTJIATVjHNfrve
0OFC7vSN4XEZiYvEmbsfGH444BHTmK1cyjh5tFxMreBljMFjH7vj0zRl/v1QgVNdBXHQnDC1guD1
t3cRU3OXQ8U/kPE86/RwIhCizGYDPpoOgtoZK/DtOiK+fmjfYPCxWNRwqj9e9J3YgT8e3VaOl7Ld
RU3u961bz25fYTRGDVNFAV3LokG2X4HABWL9yVLv1VZM0gR4nteuoXt2jkGFFoBPeUDwIShjTmDx
fJcQ7gzAAKUmfM8p0GhSw0xdk7knKCH5VqumGC3xYvzkbb/TZ2GrkRExZ11e+tnbjhssGXwrJQPL
VUVkgdmC0vV8LKMcBxh9yGExAMkE2Qbs08I5++P3/idIwmbTA5Skn0mr5Y+24uDElmhD2ooScsrP
zOii+9mcLfQVhwSqoyVvk9alwZvAenSxuLkv57I+lu0i5h2iLIdc7wiW2KZqaPTpk5D73pFktreU
wNREuJ283RXziEA8Wps4mGSVgf9MfGnW405obnhMg3j6JMV5p+PPriAnW5JG5vnnInsQOyWC2vQT
xsYvPQZGAoQn7iiRnjVojS/AW3ooK6eV0GmFB3vIBAMogk8ut+XyOrtnlvjjmtyh+oJge/vUwoJw
C34e96ol9KCsLOD692L/8Zd/Z+NJKhRQr4jeLgCGt6vYDj4vTTrgRpraxm0xCTwyAjhXad+O2//D
3XktR25sWfuJMAGfwG1ZFl371kg3iO4jDRLeJhLA0/9fkjVnmqX6izG6nBMngmqaSiDNzm3WXgv0
Sr2DsrY/1RDQnlSny3de8tpkAxDCVeX/0MhdpjGplchyon8EZndSUsk6r7vabqD3SKri4CMUs2ts
laJ71/0nLboUsEb15+hY7j84AB7WQAgqsT6wvIv4EM0zYWeKfFUGhndTdmX4oGCSQVnBqQ7jFC13
JmtNUm6OoDCEKDsQOUTeCSz9uQ4N22MJijQLPketbt+ZpJf68eVWAL1HeQXMAaSTF4vkJbZLr11G
Gmiw5qd27OgWsKAO6jP6VTvZbyw6ZlAuOsWlE9NYZcePvRt9s6PWOpCCzh/TbvDvumhEoi3VSNGR
VN1IB0rWFVo6b53zO03N5GiXTbibvOybnaTenUE0f3NBuT9kLcy2wci71miDHRP4wBABi0GiDUAQ
alvw4Upkp8pd+4dARzRRCvrHUs9R75iCK74NgRWzAGoKWKd/MROZgfQ0qefuFkEHi1xd52PP3j7B
osQp9ehlWNb1vTTFtUFxM43Wbwzl4SW6AO4XwFIhCkopCgl9Xzx7ql4PkNlmd6VaxcMy/u9LfaBi
cT9gQuVt/1bEyP3YKDYyYqw9WnOB4x9cgPeku6AMkUJ6puiI3iQNEMcV2gzT0zJ/LeL+R2nw5laA
esFtO3HFBnsUW+mJNMynvncx8WVVh6qBhgWkdIbYmwjV0Zrab0Pbo31VQeN/e7grjgATjgMAKo5A
Wlx4RUVKssZDwHGXOUig5G1AAKdwq8NYRe8c/WurG7qOsEkpYvMv45UWGYly7GA5oDu02NrLqje9
6ptN0VgfCruEIL2ES+D26znGnFyeaOIWD/YJF0yPa4z/L4mhALtXpnHp7Shkjw+QQ1K9kWO+1bMD
N/xE20ejYSHLe4uUOWTUp5buhn9wlqiTgV9iUcEGmzX45RmyNBiGGobY3UqHLva3QflqFd9q2nXo
wcsRNcmbn7ff++pck9ihcw+sANX4t0PmTtbMaDpw26xyfK4djapS0gNxQe5tB0/HIjejplvp9qjX
vBvqlS/wVbhGQHa8Hbbp/awvnITNW3jJqSvpIPXU0t/3cQPVX0cjSDE10Z5IE4LZhIbEwwqkD/Ga
GpXPBW4PG4mSvaZhmwYzFuj24107WsQbYWAS/SjmXEzKWK6Ey3Qf7WgQLvZh7/0LBql0FweZ9QB7
VvyecTF763LvAYy2I2hXALJfZnm9QAz+ahTLWIQIhQvyJGHuFAdIv9tj4rV/Idw23xewen5oi2Y4
IQEcb9spqiEtD/TGNPDipevT7Vm4duKpzUJRTHHKFG/frlHQalWTvvJ3q9//CdcYWLahXHaj8Op3
5vvaJsTfoFAkwKJStH07UhoP0IECHNx1VioehY/c6ZSuRtlxrnYd3b8PqMp47wx67fUi8PesMbWq
MLw4bD7qMjLpRn8XljEqOU5GD2al4NZ0oGi6PZPX3u/XoS7eLweinaU+Q9GHqPeoYx7XEc0tYnYX
6Ejz1Q2ir7dHvPpydDMQOgje0DZP9IslmZ2pzOs+B/qQinKrO9+hu6iDLWPI1ncuhhdn/3L3YqXZ
tzFzSf7l7ViZJ9MAIjskVQqbqlcKiQM42QeVp6h3twoTSqVmL4mTjzBvuNsZ9wa17cU+RIEaOVAQ
0NIQ0J5aYpl9vTrlrp5woZZGvmPkzY79+5NyX3Kr4DwEl+uQDmlRDCOME9YigAKkP2rl9PcSSmD6
74riXgXrtHEaCcWrSxLw9pqYoOhvo5NSMJ0JZmmMFfhlTeDurFXawEySRgu60SPWHYqFiQ6voT3S
aUDfXAVtajQv/+AgUyILMbO4aX8rX0lNvjFISgaWAdkvO0rpaoaDg1hxfGeol2vyby8ZcZYpxZrx
LqZYRiUtGDPHqEHP9tmhDw/E/LDuY9SrZFR3T2gW5/e0b/+AJCjAaQrgIEHF4ViuLvhGhZiWBZtd
FKS7MfLKQ0tK2Cl7G/bayAatVOqHlNvimIaVTcd6ouGK7fx/cF5xAQj+aVHgkrqwfEtvlWsKCaWp
/c8HCWnP3qv97r4TXb9V6TDhFcASdHt7XPNAfOrL5KxJ1AZwab3dH561qKIeNFOHhu8DFTBvUyWA
V2bRwPY52svOK/3vqkKTvGnQgJkaqPFuP8MVs4HFgHOeFaQ+81Jr+GWLSqp8SSEwVK0FqYUDmPpD
G4nfs5n2/NsjXQsz3wx1sVGguJ8UFC6Y3ymHZ9tBtFGgcbOZAk3r1RCvH5EAsx7JkijYHlBWRqE0
31UZesy3n+SKUaCaLwxSCHi0aSN7cyzn0aGKD5xuN3Zx9HsZqW/IXlmHsGjGo1Cz2trVQhYmtCwQ
bDBi3R79WtLLFJU9+sDAK4Hqfzt8Uy3SygoSFrWn7DuQKBDquWOwq7n3N8E0wUGGg7bXZLhPpefR
Cgu5G6pcdHP61eK/Mxlm1i+Or2+T2cGzM/jRy3sjlmg39ylPA/lPfbc6mIp1aawn8OwW0qr0Tt9+
/WsbzrGhloMllKbD6CLI77IZFgsQ8ruSWgwcnVZxyiVStbr3in80FAE7wCUyydHFlTikYqm12/s7
KBcwHYHECgbQXsNC7b5jBc1JvZxFiPX+PdRFeqzW5UKVjGOUG8keOmzsvTtAXXJ77q4lqqna2iSr
gdvwThfDCJRqB6hoaOKpF7RHScNtA8cuNkMQ26dhKrCNKNyd7BTWtgh6E2i2SVVnCsQnmmcSrR7I
Ht55piuIFFOFQRAEdC5SBBdGTM790M3mruF5QwBboAml15Kmcfvu4CIy/68sWXxYRev1STdtY8Sg
5DHXo/uODb+2k8nRkZyhzh8AhH17rnIPwiE0MdjJNa306FajOeclq2EpyE6Wh1f0zpsbO/G3RTdF
NhKVmIvLOmzrBUnQzfQ3tfZH30P7NajnP1JLo49KdzOB41o/tUZnEHmi8CBKWtd0L9EImYfiu+y1
fAeXenUCsGeUvk355/J5goXOxb7hKMu8peG96vInTyE5K3E1uDmL4B1LdnU8AJ5gK5Cf5xp7O+Fw
A6Ek0Axs+hVpkDhBJ3gou27XDaI5BFKo8p29ds12kHkjZiIfi/G82P7WMjUtXJjezkb3574qa41W
I7QZIuveu5tfko2Xi+tScsFvcyOaFi5eDv7/VKNNAMaRHPzepvFpK1Gm28sy6DdTnQ67sKFCAIN9
vIM+xt2WqnJg102sQ48oF6wEOt27BQLKwdi2JzjqqsfIpxczgrb+gEqZtdNUGzYTmr13WiIP46Ya
Pgq/bI5dUMltPXvRQVqi+1DS1XmQWe2CzBHvJTav+KgQgNJFZbD1oFnNIv/iAKw+pHwKxnoUBqAY
h9I93rlShkeo2pCGLUeS/KiMn3q1ju9Ys2vbh8oWV08E1JNo8O3IdE7FUe9DfKQiMRxhShk+pqFl
OKHyhEDBtv/B8SDVgiaKOSLO5e6BoFhkrt9xPAaxbN1shtmtgTI6aBMHnnYvvLttH67N7K/jXdgj
r7XXQAKxpgNKwT409UieW/KRzO14gom0eFY9hOAN0r3Ptwe+5t/AR+yRuDOBh3cRnskgp3pqg38B
nlz8VxTU0T10PP02WheYyWDlfqrYTdusE+lB5/F7CLZr1XkfxwYoqAjII1zWoXNEvJW/oIu8+m5+
F071n97cLXvwjMORJDhUaCLSm2SB5RP2M/cQjdRV6KK2Hwc3hL0b6q4n3bXes50SmE+BcL7cnqCr
rqjRtuJ/Brpz2TDqDFbnwK1oCkdI5EIRW/r7pkIvCVr0g+7bFcLZLvqtTIvw4Flkc0MRlh/sRPbv
3FnXloqsGCGHsE1b+YU3FBSjM86Gnst3iE/hKSu2lVX4p2hN0vtQheFRTf7v62jbh2yZqYzenohr
BvXX4S92SiWDfkGqljLbPPjfEsLxPargsEkBpPt2e6iXov2lQcXlNrQN9J296gX9YmiyKbfjQDag
zorU3Wl3gWRc23RW+0FzUvSnfE4jd3iEhs3AvvPlmNq1PLXRWmznOgk+453/Wbn5l5gQ7T4orID+
h9l/8LXsHylsQWdfhkDh8zCBmMdDJlkX46NUq/M73LfRbrWncZs3hkc7KJrjHE/tESLP+jGh6HuA
ECE6QFntPQa4C/eBcruDKl21dx1In27PxDWcBvMHdpa6pkPrwMWiMw1+7ShwkNwC6pOUNPLGmSMA
GKfJNoh873Fqlbh3q6V7wnVoD3AW6Yc1G8Nt5kGZ3Qg0n6mVobzbCbFTMLR873TofkhVWx+9MK8d
mFyXv9YidPfBJN4tjVyzbL++wMW2sfreqgrebbfmKqbdVkY76rgTGhyGQKh0rI8NGbaTRENyOw4u
YmQz8t3aH9079He7HwkaAZuhQqbUDiZl6NPFVuu+fJ6yon7HCl/b4hFoflL8VBSxFW9vGQrM2nEr
qEbHhHleKon0rR0WR1JG/TsXzJWkH7J3UUx3OEgoYV9cpXCXI1Y1Ub9cqgIVSvBGGytX1XNLEn8j
ZlWjrmCpp9u76er70WplgCv4KZchAdwJleMrikKBKNXBm4Lqu9bihwN07p0A/vpIdPhi2QMqoBeO
vlMJwiiLkfoeJk079O/BYbsfC+G95xlcGymmPgHpqoHdX0LuacXtaBjmAtFj2Z7cqoYwa3KSvSu0
9c5hvDoU9yRsOPTiEjW83R5rR/4MUCFr5jdAEcOuPIgBR4g93b3jLl/ZHqZRiNiXsougW/PtUNUS
kHZE1X7XD+l4QscrPQZO02+BJNMEjo7xdrHeraxdeT8asOBxJ61F26JzsWixP6RR3cbuLtRRvG9T
vwQHF8zIB8fv5VqvZQJpJUZajugeppLL0H6A9SROFoooU9zXxyUEapqB39nbCGQ8WZnXo//kg9+x
erQuZN1tZGRIEyIItynA4gKGld4BTdbwGkCUw/sEB4SQokfAk9GnnqI4JXWv+at1R5IUiLIcKRml
x2xo/7h9pq5hxoGU2BTJGBgcysVSOUhSvaJdaH1q7jK6LDatNaSPfQmt+5S0+Mioq2zEABcneryQ
Pc928VjgVGwXTe+drfNxh4iP9+TRg7YXUdTv0xIa7NvPeWVxQ9LaQJwJUoi9jZ3+5UqFPDnXdsPm
VY207qWEq8wnb3NXSEgGbw9l9snF7f1mqIsZIXPnmO5i4A8Iwe19YRRiJDret0e5lhElY+0b8gKG
YwXevlGp0eAZSdKCPYFJLBXFBPWv+uhSojnSI44gSC/tR/zb/HNce+0JlHL1zjG9NqkEQiw97XYu
RujtI9hqieNwgZdh7vuMmc1yGIjHf1m6H4633/b6SJwYSjaGpeEiAHJGD0SPwVTJJm2+QN6oj72S
pM89eOtfhvo/LX1hKtP/f9WL7Y/6x58/fmUiM7//SjxmBe5/wHwRGfCYaReHrOO/FS8sIMP/5hqL
vP/gFjYXGulP/uutxgU+PfIXFArND/5XYpgvPSb/c3qgeMAp4B57yY+RMLmEGqANb1u4nukXQoB1
XX5CiVgT+E4D3tAI5Xmg4BgV3awLa1PSPt3C5Z3KuBt3ZZ62gz5MdN8t9WZ0pzwfttWKPJd/8lOK
p/ZxDNGR+VGO1ImzI30BY9t8iCek3N07z26deCDrlAV59eSlSRHBgLlCCeZ+Ct01ygC1Oz7D4E8v
7folqZU/HJJeub3znGvggBI6TuHwr3SSc5Ftz481LEPc5QcIh3sPYQTLivv+CxoZrou33qkOvQ6n
HnLITfs6HnxD1eokUS72+RqtsD8Sddl98o4r9FJ3/GWaBSll9E0ck9InFcsl9PboVihJtbUfpb85
YVrreNOuw2Q0+Uzdp0Z8oUvTemOhkdP9RBaAbhtYT92yRsAXcu7s+5SFGspedAAipmSsnKSG/XZ0
E/yPlMXJl9NkjYbxv/eg/4XOYVRR3BsiGI/JDlHyZQXQDO4EXRUl5r/dpqlo7JkWBtWheZBLXfJc
KQw/PBepQlci5pnmHijjuKsSd7qvZsIwJHqpDopPnq7SCNkI9HjEn31TOM03n3nk6WpyTHwgEvM2
Q88ynSoaDEKUxAXKS1WKq430QyK+wO8rBrhnu2S0HWS/1lqJI1mqxg8Oxp+E6JKO+bz9swcJpfRh
HXUzg/3zVQLJNuD+ic/vusyapsdoLmsmoYBliX/5eUOjyLYjmuG1QZ7bPELfdbNvHcsZrlawslBC
8yuZUhmvLXM36H7+cugJExaa2H+VYzb3ztslF6aLFnC06QsEYfJ2yftipGEj1/331evnVJxAFiar
voehGDruXSebcJR7N12LRZ8aBcP7+sUaCz3md06VBOF7BElvIyO6IIH8Q79hyKhIiILuePs4WSBH
N57n5NtAsYCtMed2OssdQeRiIWcRzmaqJi2rVn6yXPh4psc5U3WavePWXngw5kGwfrh7dM1RzSS9
9/ZBVqoEuWoH8U00BVQoz1OPrcmPIOey0P8El3mWhAiFsh+pxdN51jUgGLsJvoJdtkS+XuBtUObL
pJdYI5aq2mB0PhB5Lp71oZoRoPvZeKNKi6e5SbziCdi2E366vbhvM4S8hGnwhdjPlKVC6mUX3gAF
K2xT0C7fZrfLYW4NJ1qdqr2vdBMvR+kNnTfdx1YNFrzZ3B6aGtHlzhIO9o1GdKwKHIOXNhtRGF/R
WpV+C9FPWZKvaqoK0R3g4e9YQ5BxZnBBWoMN7je0jrtb2xqmuHuq12CoveeWZConQqIAyUmFTVYC
a1ND45h9kVqyx0WUjoAJu1GVi7ZdqGhc67d6kg2fiTLZQt7edVZh0oTTOsW/A8jN5/ZzW8MOL44+
OrQ1Ep2BsgzHFDcAh2xo8yTsEFVoAnNwIXrkMZeZ3iNk57xWYXegiFc8UTVE5lRaAHH4klhzyOLb
9F7xm/00FyOk0CKSPVTXnTJn23PFws9gkjCfMnWh+Wh7zDPea/ZpaoeCpZUV34xQjjOvN9fmndHk
49wjnAaOe+9DgeLLfyUZ+mLLw+DNiW43DcIS3U+MKFI6h3qA6DDdr6i3uC0qtLToUJzMbPidNn1c
GWmEkWiuzU5LihwDyrRtBsrlWLem0fBTW8AAaf0AVGCmvRRpx+LN3YgG4O+TM5Z801tq5vs3u4jG
3Hksc7cpirscAEg+9wiRchowsOs08qu6Lc1TR37S8l70mE/WF38ajVVDZNk8JxlEbX2p28Hcow3p
I5gV3QUuAeewlNoeyMWosAxiMLqIPtl7rnOv+xnmo8UynT8qHZEvRfT51aLOI5mtz1VlD3QpISk0
ESiiEzi6X4F/msXNCPTy8rdx0vQBbAqhnTyB4rw2L6xHWK/UA91HAzamBhPPlN4+G29jAXPqhM8I
Nq2H0AwB135rW9x2QbZINPPHxbLjGXn2JB268vuEAEOBx/Zvn+6KeScl9uYYwo1IvZ9md7B5Ebk2
6uZvB/Pn1Y0avxcfJbLYLizigT95NmyXSHfVu0D609zc0frkBnCDB3YyntK0dfJgmwTKfGmRg+YX
E7Y6x8iz+9n68rqMk+Mt5vde1jRIuN8DU03FlYHcHm6KP0JXeXwvBz2B1SkXuoPlRo1+nMgHmolU
7t2P2ptt4q8pNh8FumzlMaKwH9E5HtKEj0KzWE3ftZPl67yf8hWsKylen8rkJnt9UEsq82KCZkn+
OEltUT7LMkti91Tpnshv166rbV6PwzSjNTx7AwH9eS/UE0Dj5BD0aRyX3+rXidAitOflNzRKyHps
XWdUtveBwzxly32VDyFqPmM8B373EM4D+/hTSrDKCwB5IUGPV4Fcer1D+8LcWjJ2ZVlvnI5Wnflu
sZG1ohfap+ekuoMwrfUhnIHZB2Ejn+IL9DdeME88tXSTThXg3lFiQCYMa5/ZJ1nM2Zp8LKGLc/JD
M/llsm7HCD7y6V6W2knEp4QDEv6RlMhY+fvMq4MhfipK2p068PUva1CsdNXyka3f1QnyYi8mK7YL
0jeHutCDbPfEUKvnPSt7jKACjysXyOHJQxaHi8PqU/N8yMLWuGZOTNSZnOp+NEtuIV4O2DkaaPnc
gNVabY96UWGx8jTwGSPaBMg6nreQlZYISdOF5cSQ/STj4i/VromDojcUv37HJPoOVcPmblClV1l3
RbKkfHNM7Jlh5p6aenKfUbIS8x22feGxUmWJIX2yJxcjCoNTWtLwVizZpMRza3fzLL/KxK2G/rsb
FgGjt9k6MhutUIFeTrDwsTNPGawVPHMZ+eZnE/2PPnrO7eg8nj0TLgEf7Zt5zFFBsICup/vU9Ycw
+5B3suAZQZC1/Ok75/klgv8fh43zTE8k9yleCUlZxP4ujAej47lAm/hxElbr9+houJ7lbeB4T5E+
7+pmXpG9GEMNn9PrxXG+YaJXX5L2e+DoWN/GNXegG7ZpJ75b3KRR+p86Yes0G1KLFkRHfRwb48dF
Rvags5eySrY9LKhDQwHZtmqBILzkHjrN7WAzuxPpOyId3Apzo519dZjLQ6YpSPziKYs94+ivr9EF
GsI1vyenIQpRX0+y2en20u+RyNy0dAmnRyrIRQqG20qQAdkMI42EyylKFiMwW1mTebhyHMwl4mA8
GbpD/jZNxk3T05rXHfIM7kSxd3iUdnwoKShUMAW+/uHilqTGtsnIjq3ot54E1HLRuFJ42wE0H+GC
QspI178lrWVeJ/XaqWoPsxdUkGc0FrueS//1ZxJhU37FqWHT+nl2EtwoMY5AsPYJGsZtgWO9QUy4
5TKt85imblapkMb5QSoha6qH3lhiuV3CRfJeKirMl2FNUW5FzblSxiHAdiJ/9SEM0SBmd7bxNDrz
kxWkJtY4X2B5ADS6+5hTdndQiFuGXnCddYvF9brYrdcnu2AKGhuxtipZ+PPzPZzQ8s5N3VE3Zybl
GKy4LGdvyG1j43UNdpeAtvJkQiCxGW0oVX8fHCLsGrROsJbNqS5oUIDNLu2NMxSz5RbU7FbLSdQ7
aaa32WCysTa9ToDAXJg+BMn7i8RzXwbpUqTx+pyWjXE/WjG53U8bPa75U8TLs41ryD94avSFTeR9
+yC+jZsY3uRo2a4C1irytZd3+DRZSBkh9fjs1r7JM6gO3LTccO/5puM1zLP5Uwp1hglMa8AYPE0l
cjbJgODt+v32w1xUxHgaatXEbwAvQS7T7ndxyS9uIQqgqnQkj75aqqdyZJMCn6JVgczJVlUDZEb7
qW3QBaMbdGSmaEU2O9h6zVWcd+sIB4HIP8Kv6lThBs7pgeMaJwVy86fcsglTIETT7AtlsS1/qCZK
q+lzUdTmSsteg/OMCzis9imGG3r02y8Ko8qlO2Nglsae05dPOugywenLkRIDDt6H2kiStnvckahG
SIgiBLfdICAhwtlXublp1nIOy+ezCY8b2VYRCjncYBWsb10R5MgjK6UexySw6kMSBjl/y3GZybJ4
k6w3nuzl+n2onJVcDbjsoHhCD9sExnpBApUD0TPGJ2GE222ITquXIAEmY2MMktwsdwtfLApYA+Rf
07KfVGtmKlK9+ZBQ0QAuQZhLp/vpu2O1fq/8qjCHkMuDoLGOBBwm29wuLTJaRL0mvMR199jOnc4F
v2JpuyCyO0dHMIfyjLmNif+AeUT4blP7YbE8uiImY/OA9nnPBV5O5UsMNqcebC5DOieZ2kB2oUp5
UC5iKuh+BAMxB6rki1w/eW49FV9aTfbmNITQ0Hyaq4KQ8pA59evWLrx+PaieZv1qf86dFSMxUIbw
pwXx02ZmGdoHMljl+r31bfP6wWw5fEZU9WHW3E+a+67Z9VNVz58aq4iknunlSeWqHtKV/HWzGXK4
ufttCNAX0Tm7XfheWNLhuByxlgGfhY6NOYV9BzS9uINlIg3FKQ9RDJM7yDRsfAaawGsJzJACzl2N
oka83JOEM+b7/MCCkhYfNfaRyRMNBPOMaSMYZCbOHRJoSCtE2Hv3rpbNkvjbQBbKAiCWA6pSHwKq
7ul0jLSdl+7B7aS/BAg0+ibwzsQMnP6O8qaZPFXHE+5akRXIam8FQTIgWjcrFxOLNQKCW3rG+Zl7
R1+AjlMkVnSb9ic3b0J5kqTOcOzaVSkGYFPOTKlt+Tl/zY1vguslJkT6ObWcZZj1Mjul8Py9h9CK
PXX2YiJvqrviYRFJzYM5DXeje3eeTNfS/opGHenUdTxg0iMMfA9vNRNx/nPXVgNtZh4/9LMt3Npp
8yER/Th/jUvXYfVJ3Lc81xxVI9t6nJsuXBElCUX7ecmqOUTSnYiXI1QnxqHjkmSLnf/RlOvA32a1
NKtOZwsmtU7Kid+TK80+2bZwrChF8tON1nFG3cmB1PpgGATtL63kUsCHDlzQKF+S0K01qohW09Xe
Q5A6tYR/+jVDfD6MdlaLSWxQn3WsFkSabc5L+rpgc+ibTSbmCsOJblKcF3e9KhUIg83wutcUTZ0n
veQDXfYut8+ULhA5py/eyNlLKCe98tDOSHrjMJU2BukQ2fCKdttB5l7yJW1bR9v3nVtXS7i32lDr
BlTzyxsHoGrqcTOrmfD8uWlqY5JIrEDTvW1Cpeqf5YsZ0a+ZHu7+dkYtPkPPFRghdzTaxQ9li9cy
H4Wkn8La0Asui/vWtfyu3ZXkQaf4ecSPYk+OU2DWK4/CjiBY154xQ9bSmbmPA/ZisBERGd3lYMHz
vMJUAyVUKGmEQ0YU5dqJKlBzOme+3ZUCsdwY8JwxXxgUp/8BRYCx1ItWZo3PSbKiV8b2WAW5fpJ+
vCMPcZ69dbQGPjptO1ud1naIPs5rH6CtpWvzOE7uZ9hB/eJnVklr/tISWjk4mKLuXHuP6C9JCBJI
yYSqamX1WQ3wF3xd3n4RgBT5gwI/Y6n3hVKpUPdQl5nXDq3MZCYSOmB4J7ieW3Og3ca8TJdIY5i8
GuH3A4RYc/zDL3oX6+QW9OBuxnDp4JDLh0Ewq84sJ7D72/Mx05ZOLC8AvtGvgU42aF5nTvkRhiEp
RppqXs/yFGUhtQfEKc0O9sKBFCoK0JF5QfI7NlmZ3iV0s/fnMylWwLYIfQal7PluO8W03D82OTTO
GVwgvSADv8H9k+rUBYq0UVTMtEuSJO8qTEHK22JCwqriJPbZFLfFQ4gf3tUfk3g1BqsD6c4TzQTM
/Ozsjvtw/TATVmgXE7C0yYWPEbVpEY0nif/OCp2fp3q901x7KNbvc2L5rff5vF4AhkB/0CSb+8TF
pAEsY7BlPvsmrw9I1h+Rr5RVPT7BJBCTQi9TrzNm8jUcnFppNqiue9zcz03cdRZkbB0cvn+l2ubo
JiBuiyc5eS83WG+8oD5FfG2jdWdszEAkzJ7GPL9M8mseN8rTZtKPaESufX7XzsS5JO9EOELcFFDA
1vqIIIdJr7ZT5jIHqSkJ/SzJB3Q/l3htoqTcvB6T8wuO0fSya2iTYLdTQDFmAQg6z3M2MYEwOWMv
zi0m7nxdIpJnRg7c2Gf2zxa7UjrklW1X4YcUbWYcEKS5zSlyMwsBvMMUrqCaPsJMkHMJTk1ljp3T
Z+bGK0vPjNPOtQna1esF2deNWYVhbV7cVfDEbPSsT8yXdIUdnjzta8agK1BxrvYBeuyEZ8gRmn81
IY4DxzyvzO2vosEYanQPjE9UvFrANZTc8f2LIwHcAcd1s4LsNbtOmG6KTacg/I8OsGOMGIdAaUBQ
27M3n7sQQmXHYoZK5pOrZ/Os1TybUfJuNEe0LFHMEScQhxMntfID89chVan1ezYnQxKcBqymPd+7
VOTZROf3Pm+i82ScT3bgNy6fPLTCHPdoFrC2/nfC5GyEY8ExRAIURyzMd6mWEYxFPZJ8KRqrrp2q
kzuVzN9Bvzp/NS1zXNxL4OZV8zCPrSXKx6CvCiTIyPMm+q+5pLLv7sokGfFp3aET4R8+38SXfc3f
dFPiecMe0rkxEZt6DEx2K8Xz568CLg8yURG1KWN0YTrmzxJlloaGERJDA4V00mVr1Qd8mSKhGYRd
DWPIxm+SeoyfdIaKE/mrmvoucBuow/gS+5ntJBseKZl/eFMRh3/otdO8mBehPlPte9BB5TNk2Tzu
SG+yW+56C0/T3YS5W7Tf6Iw1eTqvj0yeblhns3Nf00Y4EAP/OCeK0tc0YNu35lCqLDO5ydFPQl7o
djxxGU3QSIN8BESyBE1Ec5eUNRK67boeG+8ZptcW6HQJRxDIE69gan5SJjE7Z3D1injsmk+5lz+8
7rvbT/G3WJICN/yyYMdRFAB2fIExEra0Qt8a3CdI79ku56NTSHYDYcdLXJvPk/FA6tcDCwVVwrmV
r57R7Yd5WzMilASCR+MjkjAgvLkoLkLJnC6cbgiS6UkGs8bezBNeFhbmJR5YNVriHMVam4LB7YH/
thaBDeAaNgHqVqDJXtq+fgHjuKMhiIp99RS8XriiJ51WPMAaYoya8rukB2H7kouZMhVL/6/01W+/
/RjOBfwarBpRkm26cSiI0sR9uRw2Hg3TMrmHMZCrFW1EntawKiRw5EFnOY+IM3fAzrMY8vJVx3OS
7gFRyOaDOwPKLTchtHV40ZnoHeuno5x66jdNGlH4iKVrEj7npMrUzIRUm0qQzJE7qjXSGrdSQtX/
1BNmL/a2ElL66CeOtkne0iSlkEUsxzjgSKNoCLVz3fvRUpmqMWgDquR00cQbf2onhM5j0pBoGypT
mPqpG9/8RoP2Dexl+EyrMx1bl/QQusj5ELRPjUOpGxnG2B3cH1Q0Savsl6DyxPdiTQKaNoRvqaFA
VHklwnvo3ITL4EjnSpw8c7suVbqDcrBty00dFFmDnOwS18mTY4rWxFFBbOl+h8Ft4+V56QeqYOga
ZSvbKbCiNSUsmqiwLid7QNBq3nk6ydCiBbVsriFoHqLZ+m1Z2gBiYGQ1KQXTklM21ldfI1FVbihp
9kt5QCmAMtsxi+ACsvd6IaNnCLDHpUz32QT3zJfoJf1R5cpE4gAy0UOX/irzY1omuoNTpqgXr9j1
3ajnaLO+Vv6yECgBgxCzIjzuWguZid00D6JLt6O3yLTeVqiA5N4J4rxF9V+5B1bqG3YXO2v2ibs0
z7qdDX7aHsAXqLb4oSRsXD9jeumik2p7x0m3BX1gSm5bsjEk0c7lwlHA6fGURVKxIH2RqKV4pP+y
N1nPl4TjuYZKgG/uKIsl5WyOHRf2z2ltzI4cixZdyw0gtFENGzpVA1VtEIropz9db8AlSvOa7SlF
qMkVhkhjQlOpvQaId4/CWP5OugqCkIsSGLSKFKbBFAMv8jn3l1Yms0mKhU4bnKZGZt60ITJJm/yr
g5tMIa6CO/iO1gNo1UnBN3UZ93QdLm4i7nRJ7RW25jkrHppRAwJv7TJ81Hpsl62vnPRrWSKrtI39
KtVPrqiGYStnP7y3mQMoLsmJ+GlxT/DSlKgmQwAEy6Pq+Zk8Vm5hNR/yAojQvdUm3nKkI7/NgJdl
049kKJb84AWZppTlOv1ngoOs2XftaJdbSN+ChVxP6OoTXYVQKzVeEkO8laRi3GbjTICxc8Zidh7i
uEafXixi2tik7NEFrZD61FEaIFoqoxYBt6CJ79OAtDj4oFo8jvEAfQc6q23EyxbiS0kP/pMiX6z/
H2XntVy3sa3rJ0IVUiPczsgskZRoLd2gRFlGRiOnp99fo+Gzl+Qq+WzfsERLMwDo7jH+8QfgZcf+
ih1HelfMovMYlZIg3JbhgPw5td5m7PbANdpvXpI0b4Zl50+Fa8zWYe1ddnIkU2ZUjufKSZiEPjTA
M3ZwYq61puExc9qyMx8A0o0/wzF2rhVV/2kB3DrTp8ZH1CjBDd/VOptGwh4kqRg/YSxOU8Uufj8M
4frQr5GLuWjhL5/Nwl0vfeO6uMRYRfdhTJv6I4rd9jEGPL/kSy9e+sBwrhExAGeZ1ePCkFJgGBzl
lYo7xoGd6Gtk8a3/CIsqvqnXoP9k1kL8Z7GD5HPU9e3zYrTRQzxjt1d0Le6NVJXoh1JpHdgg17OH
WTOA7JrNtybki3sJTPtB2p11Xqc2O+eZS1h0PtYohX1r+bMOpvy1gcbxsXTN/s4w/ORp8k1kJEab
NYSWt+s9Y5Hw1ZFmcWfFkfgY0O26h4zx8YHuP7g3aWY+F2JoP4dEC145No3jKFqCuduh5jSpvFLZ
uhoIPIfAvXFHr3qtexK9jwpTuTjLaHyL7VQ+YPOSHuGy9q902jC769a5TqjPH20nRgq3juuPvI3k
e+ylOYnykXGSY95SZkXWu+XmxY0vl/wGd6/lw2ob/aMX46FgJeN4m0C2JdR3XcAH0iA7pq10P0KN
COYzxIqKd4E6btAN39e1i5MfZFz/EhR59Bed41uIidO7xfF2pe4MsaF2qO16wX6Y5uYnlw34bMw5
Xqax7984a0rEu9PxBeLSE5+C3GsymiOG5ScZyOrbUGZkWTtNJh94NNMj7efEOrGVI64RsmSC3HqI
68n7NqeuAVTSMsJJvPBWsJ08S5kyB4Yb+Oa4HfZD65h9S6o8RR1tV6AhYqqOkVKrheS/j3R9I/nu
5VRU72yopXOw+ZEdOHhy4siYqx3QGzRfSEEZLoLB822OVIQ9I1nz5yFb+mfYzQ6tS1ddByh7h2B2
qleP4tkmjVtaeX400jHB/eAw1zP+FXHZ/cfy++opGVLi5aZyxCZ4xLPtEOeIHRnivk1ZNgLyyD+w
BYPjXlrfcd1+84pyhmyUzxdj8PPjSqd4Ia+jNm6tHp3hQ+hG5Q1frHCOMpvqJyoKZLIFoMKIFMjm
SE5w4WUCS1LiHXlGkPRsKzO/MWqbjxOAzg9UZcZ/jLi3GSq1qQs120yLPz3ETDdZYrj3cl2ar8ye
jLs860cWlzs/xq4z3Q1pl9WHyhPlKc2C5j8TZ8e9tQjvcySC5rmMGhOhfpL3F2+ZvDfb6sr2RAhl
e+f3woceCBPsh5GUCR5sQ93DnLEhRZ4T0aWPzezgIoyven2qc+FXh9CHOhB8ccspONpdu+QEc6bj
HcwiQickoopk9boXuVTGGRFkkl5GdN0vMdX8eKiCMuILSfYSmrOXol+MZwt6/Q/pLGw/Yeo8gLRl
6YELb95NcDuJ1xrKT8xYBZSBNfgWOTL+nMdm0x0kJMX1wFWoX60wE5dstqCBpVFbXGMZpF9db+hu
fGNJ3t3O6W7dqPeJVZ+S4+CtdnGYSepkaTI3v7hR2NylNi78dVnGh8bNo1OW1umfAVbDx4I8kufW
kiFUVze+IeKCWO6x6wFK7fi+XMf6vkmXJz74d1gJ5fdmtfAXi1dS44iPebAapz/TbqX8K1GHd7nb
Y2PtY46wpKK9OM0UlwcxpfUpE4Z4cGsknX5tfpV95N7P+UxQSsImVA7kYB0M1i44QF18QZaYQDYS
sjuUyHdvandsP3lpT0wND336ZMR4G3IIy5eqnccbj6hXJPWte52WJbpxee/s5I+u8ZIEI/n2sgqN
4jJneYogIQ6S7IdGS5ouUh3imgYF9tmrhdrukK6Nwhr0CKBeKdTSYwqliSrSDuMU/J3he0Bv1IUB
VJZaMfLeXZFv8ykHKx8GcBPydudlRyZyNhTgFI1CB32eAIMzZ8H44NxjqFiEBKfE05q++Uy/Ka8y
SKf8FaHhLoor1ZT621gDG552qA5mPaiQSWBeCcCV9nHzRyTCckYCsTGXwrUCoqbsZ8pwG1aicr+z
NhV+NBt9QF5KV/b0A8swjuuji3dJe9NGhlF3RxnXS31g1XnVU1YOPdKvmOzD7DxATE7ORtc6uIsb
FcCaEVVL8MMcSye6gyNnlYDSOSWeAaFyujS+W1fPLoH22ZdexBK5vyE6mb6M7hxZ1rGu88I275l6
zsK7wmGKm/QwJFmVsjvC2FvOkVcl3sM8+EzJ1iWCgHmJpoyD6yC8WMHb3UxZWcz4r8tDhk95chow
v0tO9oZ+h1MNBNesa72EjOTSsv8R2iIf+kMPwCT+pIFyFWxk10H+6DjjUt6NrkeJFZARRkxa5JQF
E4F89b5NMH0ibKJWM4dmS+zEx50GiO+vQiQJL6jWN0hyvGFYr01AD5JwGf1ktLq/6IkUHmYuk2oX
ZlEq0AQcDQLBky6NU4TANAoJnCQeMlAaxnsHpg5N91z3VDvpcUfow8hFQHmOHA6/9olaClx82sHp
gqGOfXQGey2z4xoYiECuHrUl75luaKSxrjyuICQU7Tkio/m528r+veEHmuWgvPCcqyeYsbYaFTaD
4kHA4lS/czRYsQPpknQfWtDEnBTlSg/FdR+xw1t6cDlqYL9JqxHcjC5I4Wambrh9jWnCMleYpv40
ObKT7lJp9KGjpePFE1PC7+hHS0GIDACjqlCbTzBbt4k/itG4LSCcpQR++FwaeaX7Xlr7QzTKVv7V
Y2vcZvf0xYwWDuPkCbO+W7FonsejzWCvBpWsmomLrEmyGMPbnV8fEo1/B9Kv1djKdNXyiXxTIQVL
ZBnZfGjtUdoYCoicEd91RwFlE6jpWpNM4CxxilXS29C5CmbxTBxRn/eRUG+XCWApRvqAvOdAGe/9
WKs5lji6REElfJ4eL1vf+iEEJG/CuMeEjmYdlcRBQlGGW7ROxEMSYSjbASv7/Vo1+GTP5rn1jdF+
YwnSaR/3ye1o2yuQhiEx500OlUNNxPxFA5rhFG+PT9Wq1UQyjbfdkW3ULfRt2gHW2J0CBWBHclVT
lSRUN5REs7UQD1nuYkdwKFPMIZBTblDTPhqls1CIsTcn1pxdy4n5ObVPlLcL1WAaqjECesaCa2xV
gZq6Tp0BuM2sUD16KtMVpNt2N8B39XtfghBPSVyeWHaN+9ldXcyZIa9wGifHNKNzYHog5mA47DDr
sPTqa+9DHK8ZR3qUGQdRsz4UePvMb7ORtt37PpaTYUpLXHilGiN3sDNSPsXUNUsHa3FVoGECmzq7
EsfgGZ8ztgXzk7k0Zs3uHCZZeWFUOI5f6drSb9iqxWLCbCS08hczKQaRH2anZR12bZO5bwm+VsVD
SvgsgRv0Y96z3kt6r1WLX24nTB+X0CEMwRAQ0+veBN42oMg173rRNXowsHNERj3mKMdUXVG7wDzx
bR9c7yPocWveUd7wSFb1oCYUcLGYUUAZKr2FSjMVDJlaVq34OvmzFX7HngSUJxe9avRbGxat+HvR
brwNjQJ1kSk47aBQKAy9ryEdvJSLjMpvtR2XJpbJyzAv5mFxhfpyej8Cjtl28W1zyvTABELCuF6X
MgiXY0T0RE0/uE1Ha2K5GLRs222b53XZHEQULBHPAu3j/MUHVG7erQ5XN1TyTqtoDquLe9ibnjjp
EztHJMneUiF75rQny0+d8+RqOPxyikw1u5iqmB1d79H7MY/vwfxch/ni/OiEdHEcMZmEs+3rWTRI
rxqnjG7MZbUX3+RKFHHCIXcikKoQn/RWRqyYmpR0eBnzbgXG1VBANIBi4uJj9B8mTf4o+079RRyl
4cVEqASa90GTJ8C91EckxUKt1HqELT582Bm0bQmXRx6imSIANmxNFZse9WMCbKZ2VCxq1ZeniuUg
Dy3ursIZadeZ9Fb2LBmsjnY5Q7HWG7FnGjjXQATEYAm+LIIlhT6O8OkQh4aLenr089K7UP2hfaXT
xJbooPbhqo8LdlW35G2gbDjGOflR5EFXMs88/1yIcmE7aeZMzcNGr1A7AdCgujBxYbL3LTW+gYpp
NfWywXZOpuz0pedtEyQaGu6HPiSzJVr5dCNTUXbbKUjVcaHv287P2m+2HtRIyxa8btPGG8ljitTx
nJadmiL5EvsLKolq5OVhwwx8xCpPbCM+0gZHIcXvRtVpN3IONqHj0N5EKZHeBA9BUi+KO+DPoGmv
Voe8pvpYhd48L1fTK3n4rzhr5yZTSB80Z7zLy0RNkUYMP5iED9AT4AQrl2amsjdMwBUrD3v/bZ7n
tmpnRSSlnlYoF05SH4uqqPvvXWHJwX51WrfEel2Y4+JPF8taaHQvZueo6tQpPRaOHEM1YINSrybg
LgU8P7Db5Jt625FjFJ26cpqFE9OAqhEXlgtsV3pGRUmsXrVwpLqAkF1UBVB70KffonwUXCuTgCze
UB9e/N5jHO6o+Wh/wkvH5LOPcq18yGwQsWR9MxhjbndEr6JRsCFVRTw2bm+uanZdloVbnEaDlvLE
EBXRx9O8QrohPM1JZj/HaKv2eeGdZgadOjTszxmE5SK8kGqklsn+GOsFXSUjcZuPcWrMa3JsMI2S
zdfOgsx2lo0/jMsJXq4a0u6VjqPvf0rShdO/u9LcHq+NUxLHEmOh2zwcBVfM87uUa2W6rdp195n0
TuzQdL1UV+FwHNWmtF/AvM1CLhaBpIpeQJyYWqFZlCjSVTr76pit21GVHx0mcXzT1sioh/zF7LKI
PgW/qgDhlpo7D244MT5vySDjW+/Dm5ajlFcsC1rV9mhrMuHO5hHJMnHFjS5U/CXMq9VHoNdXi6A2
kbGBR7omrctzTmR45zxJij7UeFVmqNe0OIL5d7EsVzjz6OMHIPpZC7tG5Y4+3vUlPRSsTfS6bXap
eqojgnxmRsfYqucFbkLnFo4uocG6jG7hufExGdqta4CYz0n9TsXklXyiBfUN98XSepaGooUPJrcy
WJ+IYwhpUtwbAvxHnPYhuOhKpfNaaikgE2SLm9vttzwXG39El7aAMPhlnO2whbIg26XjIdufmba2
KzaGaS0UZ7WP2pmNLQgRmC/XFOXFNuyvKMeoytSyme2IdRAUplpk+3VNGnT/gILOopbhHPVq9ZoT
2wkXu4OWRThgS3x5edRnG1C66k0WwMjp7DvmWslT5hFxQn+uF93eebRal2h2LcXmvu2nA2rb5CCM
XG3LBZYQfKq9TVoS9niyShgWM//QHWksu0Gd1FnSc830Ib+vaQRo+rvTE6Oib8ONbWf5xtRzxkWw
+C6a5bFv2IbmD/DlFR9klyuVdZbwHAwZGAMEJ82iCxZH7bqjJkW4C+klcCP00easbErvzEzVkbNv
2fvePpgIMcQp00P+IoOmJk54zlMMpWQB1tdhWp3JwgZcVd87R9eoHYv0oSS12PnOA7IDvoy+0PqR
C6kMuUb6Vza8Ph41zeGzNX/i77uJwz1XKm47dfNNdwZvOmRbK7V2MIGgUwyKI4uglqN6AcUbDA+n
/TDIQRgRY1T1IWayBYwP5GSiHNDPur4PTh+om66noG0QK3qxv1Fk9pJ7P8gxrlCMilBTavY/AR+o
W7QPL2ErqQPa6kSCy+EauLGAqqQXRdPV6vuvmhQBSU2d/RAz1eNaaZJDooeebdKrCsoCa+H98sFX
jML9I/f1TOWw8zg0hzWB6MhLOYIhHyXUVgIZjPf5Tvoc8DSgAUbZqudtXdEPXDqnUdeeICZF/1EX
k2dln/abuiUNoSpwvWNbqk5sV82Nlq9wFEj7iiu1tpBkmksNvIE10TjM6mYsWugmQbB5IwQyqgHZ
uUF707uKQnVmnWagDJo9MXhVw2uqdk19lq2G2avFkfh4XnldVFl86KMp7qC46OJVs2sKXXL3W8Wm
QZvYCUAwjwJ00EdCznHDvaEZ3eiF+kkuDR5bWDLGQIs+zbaaR+pidz+6EQNTZbotyhz6kITcB8qw
AGZbynOoStsGVIMHxtugEc182klxuorq3IltqdSVfuzWarif6Z0iz4axBhulvImMOwtfMh4F1Cv0
P0OM6kFt3tu5wKhtQ8v0s75fOyNxZrW3beX4vuJ0rTmnjlpJO/1mFxo6/bJReLbyKYL2zUrPG1p+
HyRF3V4Nd5lpvcFkmteV+oPitpp1PlYUeHlnrN2xY3nlT1APzXU6NuZM6CjOk9TdMmt9NlZdajNT
UKxaoa+cswb1omjWJpRSGQ3qNIVtrspYy4YLysmk8TnhZNu6iIihfNO0bA7yxe3fOfL51c6b2llK
ADdqf9etQKB3+f1Sw6TfIIwmV3fd9zrF3ffnKLHnxwA40XOPu2QWh2a14e2kR1d34qttSp7FfQMy
JW3uctH4l26AjBniwKNyq8KJhYHzJIP9ECk7O4Vs9zfLyBOqjrQ2TpwNX1xdT5PZEBQ/OEBcos7J
XR8RWToUIQzFsOPXNm5WG/azt/T0YupQ2f+E46SCF/Y7m2uNJsuULlE/DjuEiX50gRaclwHOBWWL
PvZ5h1zqOOt9+zLbs3lJMPPltjGFUxWJfpB9i4haBrgToSpwobe9CrySKpY6EVfJ1DG6bifNtnMw
dY8l27d8pm0vF0wZ8bYPDi7e5s37iiMWdxuFq/+/p6OzFfhJNm67gCbhpw1tinX2km5txzuLmGA7
JcbGgTZ+y17Y8ZDu+54/SXUe7MzjRlPOd/JzvdVoMeuVTWfHUyRNnSor21Et1b1VcrxNd44nLfq5
m32z2unJbVSo5rTSlZsUgVoFSQneI29ts1d8phw4kcSpcYpCo75CWVCfCO63shywRJAQbyi8CH/1
8/5puzAFUfrgaWY8k2X1hWKPILz2WhtNYC0nMDpVoheW77AuM0t9BU81/1w+TZj2N3482Bi32kF6
w7diESte7rQBhxrLcwQ/OTm2ReRnQP80pY2ryozW9BRhE9KUelW/rBjvnPoJQjKOAA1bGQd1N6ki
OeZm8DyAl658XbG26lHYC5NRU/9WXUn5BSEONIqwJ9VrmsHAP+h0WbMrYwykytixRX0WWeZRc7AI
MlKM9En0PqXj3ks6jIX5KLo+sLYWfxgsJIqEvVpun7+y3anCfC56dcFVpi1vbS0MRgBDUS0HESwP
v2mgA2ygRVJAlOcv9ltx5mr+ke6ZpeuqIrrOseCUhxSGDZt7M/lUo2DC26LwY3QZ7yGYLqvPzRub
CxNpzU/nNqoqa0mZ81mZudPl1FUagNCsaFczI8O5i4dzGfRt2jF32krRHXI2NXjsIbfnFia66gs0
E3HSoviKsAT2DxRJClOYBid2zaOcqm4Z34wEkJeOMqgsa75bLXaa9Bh4Jak/j3U8NbN46kPEnaHC
SteoLpIfyCqpoS5+XtnZS49RXeFdE9sbRXAqIysesEzxa+lDymlRHxwzr1+aH7Fdy3E+GejGSEp0
BjIJvBoUbvijQ0mFgaANdRdNqFgJfT3XEeDQdR19jI4VGmU9dhk07fuxgRSVXMOCTvzjkoyDc1st
lSzeKh6jv4TBWPet8IZwvCCYXZlrZlDlgeOhTt3JqRm+mHXTyidUW1F5jUY+Hywqp1syybqDwS3O
hCy5VzC/ZPg4tzxbl9KOFvNaS3Na721YfiS1ZjbMIGn71AUx2y90EzckJKonMnc4mdMM/4s40Omu
FaMnQWro76wHYlvx060hd3kXyIohbE57neR9kBar2V7cLux7zFkDMXvpxS0mA1+ZVOJnZ/j5XCzH
oLCXiEeMEeBsYIVMap0DOdisHIIXLAPNx3FY22mBhRRkeFUfGGG37nyUaVit2SHFI8ej1WR/8E4m
y4BskACrsoeICt+GmZ3kox/ewfzFB/HgjJZJTNnIzGr6QGJW2X6TooLVEo6JmO4tyx/kBTWuXZ3W
tDBv0gyzUZ69dvxQo92vbxsQT/cxLDpp3AuJrul7wKZcf69Nz8vAQA23X76WK3yn/JwM80g4bTfk
GLqg6Qr8d6/AtcBASfRHwp2Io8OOY9dOzJCIR0SNNgQHd0IkuuERqTwNviO/qrgXHvF2mEHbZg05
a+DQt+LYeIAZY3sfIclwZQ6tGy4SA+Iup/te3YohVLqUwr0hcLImk5C5Jiiq1NuyAYmFpbqTrfdC
WZf49kYHTSVeLn9gWzLRHGiEScY4ti1XrYyzpaWgFm8VwIHkxNH2zFgx549a8KFfhGATdWiw+ymE
TL+KZW0OFU2fM47YZxlZ6UwBK4x1EC1k1SsocD9wNOSpR6QRTN5tb4YvzcPqB2rhDxIoOz36ZWbI
W8MmP/ZzNDatGXyY3bUygnPeW5SbaeqrFmm1YPr96Ga3lUTuboXo/+vZVHE0Ww27WxdIKT/1dRBV
72mfe9GfE5Y0KH/N0Syf+6J35V96vKm/7bLjTp3yapiMkIYvXaYUhFkUZm8zDOqKN5+TbDlL0MUh
QLZjxLNzQluqQP1cE13TrSqJ+ZI2HA7MMNLqQQxZHVyXuYeaSahcVrkfGmuIi+WKwUi/1sdB0E50
B0daU0dJMVT5B8+povXLQOGBv5IHkXI8IhADLzg7fQ4B/5td2JllXGVX4Cg2vvgdL+83N1B9rHC8
TxBJeqNx5MBPJG5kpzSNC9uFaY+R9WEuTVGfh7ZpCTt3Wts4NnSc8qmeQ/JjaILijBJABPkFInNL
Bt2UFNewX6Anoer08TM3E/s1N43GfCIuqDtR8MyMjIriP3mfCnLFa2oPOxi+c/j09clfTQawoYgg
Ki8Jb1r4SX8PiDhGl3aspx9jCgZ3Q18nX8in8J7KbHTugmwcz8jIWIg9+LL7Zz0EcLy7fonaazIW
8/fWhVJ2CFZ7So9TN9TvTVzb7cMCB+gEadd/bUXQ3qNrcx9cOTkMfqcsWS62KJsnT8zZ+yKb5gO7
W8FdztwEQUzpfE7q1rjxI/Z5uPTLeGMX1kSEL022+dUKfXa1Ao3kH5Qh8V3HzSeGLZKD4xNUBz3Q
Bv3+Ewx6vkNcl8D6aLGvPaDZ4OLldWe/M4LIxaNNm1eh4J8y65gw0G4OeM+BkFve6F1jn0rvkDLW
8m6FWNP8AIAcZ5DB7O59rbB5P8S255gHfOqZxdO6TMfFTt2DnZnNY1eUTIsrv7DzU0aDxNyukbd+
SbpSZjnTQxbF1pfAlP7XAZOK72mSD3cwH50PxKDxlIVedAlr24S/VLh39tTlwbEHt58Pthm1d+QZ
yf9wtnEyjGuX/wf7teqSxKw7Wr3PJJckXyL6oaNRT9lHUs3IcbT78Iqn/HxxsM74apd28halwjuK
ME8vk7FGL0kGd8cnDZFJ7GDPR6PymqfKddhSUyMZTzDsyubqlH765ywN67ULumQ+56PZfof7inkV
zEYAQDchHe9Q5zE7S4Qq6di0qJS6pUHWWxh5/RT0ZBeczcEuy9MYVg5EUzMdr77nT9+ykF7shM27
ebTdaIQYgtcwpoTGo+CMv1/jAd5gsohXq8IydMhIKY2w27hFvhDDieynKbqFuznEZ/Yl+RoMS/yA
eK8LzjUV3PMUp9Ofdt3HDKBHXDAPTlZ37Ykv4rw66bC6H81Z5UcwxyAEp0bh+sjbomePo/XSjH35
vTCQDH/KgjE8NvyLS6DmA3+lnJnf8AarohvTGL3hc7hAZhKPwTT7fnKm/V5D7xNZxqDbBO3xV9L4
igsChN7i4DJANeTRwIx5AK+RkeWc1wUo+OhkfTl/WPM470mWRwxwCz2ntm7B0XLrfVkwE8mOQTgF
4i1GepepABdWG3uLDWRMZVezyj6Ypl3mHPwsSJOYr3wxvHB1Drxp2WUfUlw9YBL1dDTUg3fQlTnf
i3aZTmUVDf7jbGYmk2hpmubDtMSMdqsRjfXVXtL1o+zbyT+Yueg+plnoSlxOLbzVWgiKUNJI7wXh
vlmk0pHWhHRypbFIWK7su415y2NQOB+zoRCrefk9G/8XnjCZSHhzOsALuI1bpv+riVTjNYslYHLd
OBY6pPe9Qew54f7NCG0LZ/tfYw3XD/B6V9Y8tukR5UIGxs9GOYkXmR2odv8mB5fG8IhsLGy4YNqI
zGjamb7HG3NlizBVmcUPCTcBGvb+V5w07UhvcLKyN56J8FMOeo60Nzxt8tvpdWwjs+xOQ9GC1113
MUDdEgl1FSUZ2NBBcyai7mtmzciHUobVHbj4ay8FtJkXc8Yj5mWaMyrIh8ZfF9NaD1BkGIvcO9rV
TtcGJKPGvIH+g+WYC70KCUnKgmr3yciCTHVGWAEZlAAiLUfAtHYRTWd8rC2c5GvvUHWj7JM/wL8p
+I4QLxST3IhrLKuPcDHNiSDBmvFO8ryrD1of75T+GLtZjN16lSWD7T/EnDLdd/RJio8C0msjuHIs
JGnGySCysvPuRO5iuXIuafCr+VoKJSm/kHQI/IovjrHa/5q48rMlEj6SWEbgFw/73OHB+kesWI29
OUZhIn/1PZJYTegS4ybE0+DarlqNXLfMQEcJbuaACPAQscQ9jdmEVdoqGzN1/8VR4lfLuYAMTZzm
ANNNfFNp339xdllTFnm6pO1n0duK/UGapfpRdE2EXqyvR1G/4IgWSEzUerObp+9hEfr1cp1t5qHG
9wWdCCNtJsaD413tSY5N8Dc5qZwrJuHMU6PM9R+NIPPcW+YTOF7e/37B/mzLgZCJuWwIcIOZNoe3
+esqmsVkDLXd2K/WgkLBOKYjtQi0MQ5CJfaHQy4a59ZmSDEhLkCw5tqffv8JftYRqU/AOrY8wYPN
hkHP8/M6BkqyhBKmveKMmPvij8mcZ4FQObRKhb5AJVDMck3nwsNW3V3fLwn7Of9fPweUNaEct3D7
dv9xJcABAMOapn7VdbENwQ4wZ0fqd7HhLmN1WPWABnjxKmTo9x/jZz0Xl4MEXqakrif4NC7xAT9f
jgxSXZt4TscNoSgtkSJZoeEMh1kOlR385fVZicoqcznf4n/xE/3HneCNsR/0Xazj1VX49YFeZJuD
x9av5HV5aFD3WTAjegX27ZuPo3Sd8tZJxnF5iyJLFPJfroC1WQ7/19Ye4EFNsBGhnDaPJ/f0l2sw
FYHswOLqV0kryqDQ0QsMQiN376boe7ZzLCSkojfszoJlCQV0fEhklE3mISfUwckuljbsyTdGTbrx
YRLtk+PWYvtO+oXJcA4S2nvkmrh6TcksWjrzpoY88InKirbvQx+VvTTOcA2weLoNiHHJvXtFaWAj
niJIEu+oopSbX+sv0mhJ+3LjtH2Jw0A9xbWJmGC5w7aUkQaCnggnyAt+0qQYH3Yblj7Ekgx/F2/z
a9m3/4wTXxGbmJeOdx2Moqx7GMXspNE1t5Cq+lfLJi/OO5A75onwgh57lZ8rlPacMVpttJ+A0mwX
UKCDaPKe/5dXzDKx45NIrYhaWJV36wW5qBFZfxhCFPlThbAQs6EIXj3HUc8wCYMm4fTMox9aiHht
eqAViYiJj4IoGkOGVHk9Nic3qGY48RBjvaVHhekZ9WeuC60GyIS62ReUWTkfYRVEJjUXqY0Ep7a0
UY1i7eUnCIOcKuX/Qe1WHr+7Fg4Gkxpmq2qRD1YEQrnceEFL8NK9mJeEqwdmpQ4/XH3UdH7/B9hp
KPF9xZmLSgswRCnDImeJeWll0gYSVyYWZNuxd5W7r5lBqy1vOOiVU1U1US5Ac6c75Ietn6iuAjbH
3gm/Gs7TouaEN8+WiNhCkdVu/rDWjPwEp8w5sdv2sqLwiJKLg9gshrBWlSg8xi+zj6AvRnoj034A
O8r8qDmng6QeMVENrvmlG6t++gsXp81S0+oXrpGRSVQDhwA1tOkcQZV6z33G2w0Yw3Mg9XdHXy+N
tfdW9qd+BcfpzUOUlDTtD+UKougBR9EZmOMpNbIg+atkQAPp3g49J+ye3aJfZ5+o4s1PjI599eOb
MqgK2ZGbPKbsHW+Ga65jc2dAMMusQ1GZaszWzp1jDpeoK+P13pPAzfUTplVM+V9ZMRCsGxBJsLaE
2Hcv5U6VBBTBfjcQHwgmAno9mX6vlPNlXJdiZD6NWgcRChCL7Z0WPQdDbKNw6d1ydL/flpeo8ohs
eLUyXOGrV9lPZWNAjjI+hP5icEm0IeLvN+5/7J4BIm/TItOGUgXx/y+bVlM0FlQ0mbzo8wMbX1As
PRMRWva+Y8euJhPITSj8+8/wj8MjIIxAKAd/ogY951eD/AZ9RDYi4n42N4MBPbXTxDSmxxvxSo9G
fv+223f7acPmzXDY0jlsaoT8y6FFkIFIw759SbBxDOKrRR5umCFgt5kinyd3npLu0WqSLkRyYMHg
kGfWYs4wLswjhtefwwTGUXwz1St3+1w2hR/UFwu42whv9oHy7iHDrsbEgdy/ohlf4kW0OIk3mZlk
09VG+5FbFyiCDBmPNs2HVVxTtq7agR4E2Pev3c7PjvYc01haeVBoArZXYmd/Pagsr5mm2CuGFyBd
D5cUrC9a6jyorwNwIYiWQhj30XKVYvuF6YF0V6s9pay34NPfvPn/nieiKzH5C7KeFQnXXFAxIBDT
Q9tMv7BrJFnW3vUDFK9JKexwPYe7xESzuUey7pWEEfcx9cvtbvBSjpBtxX1f0XmmV8sx8tT90fiG
x5AGvSufBLXinLSnLsX3eLpD6Lzkxdk0cvTKEJM4hSKVyGnNdQkH2AyH9HnGGkvUN9juwhO6+Jy+
ln1ounDAmPCAX11L1isi0EXd5b9JhViaWOaFtVt61b9YA/xayNIA4pjqUsGYgc0E8ZfiJetmhM3L
ED4TMjCO9Rc90f2bmUHNwu69zyZ3HPr3a+DXpYfRo8kjQC+qyuh/lI/KKAmDuzLAzE55Zu0E750n
vPMlKODZE/7P74t4CDaIj2qXaMJfvjcZ5l6K75P7rKkLruaF7H433YywjiTGbZb3+/e1fvGLxp0W
M71QfWOGonhvq/3wv/T/BQzLuZ3W9RlzFKvFuqJvSgeCtS5X2aASW97J0vd947zQjdfiY1NglZQe
WmDIEnlM42Z+eyuTubFIA2RAU3zB9zeYpuFfSntL7b3/vT/Z2A/a3BZ6DZMP++v+FM5mOaQ4uD7P
UTDQJe6OWW7rdcFXaoAsJuEEe8X2czZ2GCkfq3iZs+/0f2o6vLciUT2FwNWwvkgeR+fGgBfPTc3i
/P21/dlggm3Fpg8Sip2MuQPeNb/c064xs2CuSvERwsWs5vdp4ito33UU36/eDo50asLsJECuSuhT
2h8m1wTj33+YfzzYtk2euEeXqP7zf3VOVGVCj8BsfP6buKLpqPs8uttIw/8/JolbPtDPNw3fZboh
3xcsrX+0/ZAoY5pDl53Gb6AuV5q2WVUzCuMjIgPl6b1KOYyBqj3xD8Owaau54g5WGtUZrAvKgSnA
4gRPAStVhObdJrvEcIp0lUCzte1xiYf0ycK8rl9PzJgBzs5g5rlI//r9xdxCo376Uk6AD4C6t+SV
KuDg51UTuthpiTEbn3eb9LCWofdhsJolSPCbW726vkHVuMK8qiAJQFIkB7Pra/jJhSLYwJFq+DZ9
aysj3pG+pZBIFYGrXrAH9iPjiFU6mt4jjAZIZgfHnZlpXRoCewrUMGjy8uGW/Gsvd65uj0ij/zw6
8IaN8/9wdl7LcSNp2r6VjT7HLLzZ2J6DsvQSRYrq1gmC6qHgvcfV/09WpmbF0h/k9kZM9ARFVgFI
pPnMa2SwoOQ70DkUME8FUGsHkuHuTzR+XHQlVq9Lo3lPnbTOraOQ23KWDQ10fSz3ObhuP7gaKNlq
Dyse3gLkI1+HwHkReK/DIl5c15UYwBxxL4ElBwUyh4wHC43dg6u6hgCoKoH3fEZmGsFOpy4wz661
mjPlBuSmuL8mgGQ2Hcnz/AIZ3Trz7VK7hBlRYxxOm5ZoeOuNRhK3m7ff4y+nDRAEy7ZRQHZMUEfn
B7+Lt/KKnHB/ryhZawV04Fsehye4sdR1knibLskEnOnvXl4sCpwcHZEqk6u/nkXEWkmK9n59r0qZ
CgeOYIJAqyYn3wnFosyjVBAx376++cvzI7UC74EOJQ0vepxnN4BsaQqUpRlxMI1EVpXmxG/USK1o
SAfQ16HwVeV2VnKzhpIDL9Cko8uy0oKmIrVTuZlmnkRslXquQlzSNRBC/SqcX6qAuRR2TqvjGFlG
4wADXSroqplVwL9jZgHb7Quq3t5YFtDX0M5I3V2PzyTaKuSo7BrJJkedsNB2b4/GL9u1Sy3QsiiY
0P8jAzhb0yg9gbev6+Gj2qKUqGwkHWQkAjfDBL2/dN1SUF9lw3YqWpL7t2/lPCDFV9ZnPvjUSTHz
Nc91OkJjFjq7+fyI6JoAgEm8zJShFLqTFNu3r3dmYIVdsCciAM+xhXUFtnxnkf+kOW4E9i96jO0w
sawtTQESNsA7VK8IGStkVJ8n2yuEEFUfNjjDsNfl8zbTqVG04PpxUXhvcf5iP0RzgCEQ8SC9gV+P
rA4g0VJVRfz4A+ouORZwsQTGUwZoEicsQaKKMbWezhkJt1JYfha6gD9KkABdNvH25EZZRBbtfy/t
zLQ+rnQQzU8N8iZ6AZayEBAkGYAq6JHkfyiEo4IBShxETncpLTZxBzYUnQP6Uw2NUT30bpqg7PUF
bX6vhjUn6U2Nlwzkr+WQYLl4oRDftcSSwwQS4C6FVZglkePt130eC7Do4ffjkmMQEQQgQF/vO0Nv
oARDn+BBZZZFi/LhoUp0WtmkpgutJwekEav971yXLZbwDcqSZ/BOUUs+D4jo1I5dhPDDLXYYAhDt
G7HgjeBTIFCZ0BQEwUjB0t6+8pl1rri0CBxpa5HdEaueT3CogBH1rFC7iYsTmyn3QsRt937a1C30
5xPzT8HqZskzG/xGgH4VussGpxw+GjWAnPfm+et9R9wauDtK1hZ8Jd7LeWTmAo3ilAj1m07KKCuW
AkACthoZJUqSzg/cqeR5OfH/Ql/7JPf1P4GNuJlAJx7GR47zgHKAmDo/pQOty8Shnt3e0PHEXhtq
2glqSLlh1D8tUd/YA5Ty3tOf88wV3A7DakvjuRmo+kfboKEJRHQWeQE8LWfMwUC9lwS8PrPYnAPg
OybmOi7ZEsylszvEzBNl1ma1b6bC99f4i+W0fZ1dci7YqEwh2kdA5eEwVvxhMkLEKPOYBlDK+mgG
EXM3e+hYTPsyQgZk2Kge2pRDI8S1TGxIX2F9Ix6h2GW0LEOtP7w9G1/XmHgE+quOb7omu7tj/5LH
II03UnAPvFsFE04luaBGRYdVIck7CgdJNNgdjLVwGOq3b8J5nflxF6YwkfY9gKMkjr9kfr2jjxMA
8+U2hYaJnuDYdJXf3gZjkIdP0TxrqED12gIw8H6VypOZdAxLpCpXxkZp3/XsF3V2hOKvg0UK+yh7
jjWDbqS1cTtjJCL1B2RFMRhbAESgB3uSZJsMbOPRRetiggIg1qLOqxRHmwLWGWY3Oh6cCaFILTqS
VTSPou4tNCQAfVIXJlpRYa2SVGdKVHzlMGF/NG00H9Jdhh4jalUVkLzGBF6SUXwwV+a075NRqDDF
hXyrPUR0JhM0wKzRa8c9Ci1W55dAR9OYuvKYLaJ1rI+NVkfcSzwMxTGTrKPI7wSmLMd9Ptb3noP+
Zr3T4ZX0/VXbxCT1e5SbY/3p7bdn/DKHaPWxb+iUCYkd0ct9vVA9Hyk+eB7JrbIzqOXjI1cJvvhK
p7oR+pgrTXmA3YxE+juylKp04xvp8wTTQWBr9TUTlXcsI0WFRfaw1WMXCJlUn/UZ1appB3rXDd9z
y3ndGWYmgk3hNCIUB3jD4j6LPix83Gg86+0NAra1U/4FlzO2yoNEta/S2EitVJB0iEeAvRLcS7lt
xyNoK/291cHw/bwPiv60S0vTpUHqEQ+eRcYjtIPWowh/460aIA3UMsLCinbafOIP/58kID2depdj
YRnkCf+wk0DiT1svxhgA6lKnuFGuMUqxs2lPepwY2yUAx4BmIBV4+fZkOt9S2QIQjQho2JHUEgGf
zaVsbERsONU3SZx6bDRF22Mq8+P6uYfG8Ecv6IS9Smign/heq/CX61N19sF20jzmeIYx83oul/kS
9wvBwLVqC0xsCIIU8KpjWRiO4N00kmT/NweA10xORVeELqbO9vz6Blzk4l089rorkvXT7mGfRHXV
4ReBrhb7soNSM+gNsOLel7evLx7w59nmg+wlLhGpBzrCvxwI2TzZwDCi5Tplc1kffX9AhS7u3BBR
Z2661bqDawKUeWeSm3iInl2XrNcLSHZAEjLnzp47c6zRWouqvaarFjfDnWfX1fIUFG26XirHpDIz
KutLb7S0hIC9eCIzVnigJDRTGppQHED07jqPWsC6pU2ExPehNQvRb1OWTEB1xQ6PAU3BHKIJKchr
o8XRAiYRcHn12erxBnPewXacR1ZU4JjYNocB3U1x1r1+rSH4uRk1kvS6D0akazaAA5IMqUmOuaxB
4iQbHfiBsu/pLBrgpoEG8ohUCJDLwX3nJTvng81Y85p9cVcg4c8FTicURCOQjOm1hDcnJ5KkjOxk
DvH2nPr1cuxcIDEAAVB3I6R7/fBp4jgY1azOVSRSiG8/uO35SADbS4LEOxc8g9Iwxh7atS6bGF6S
OuaxZ5fsunAWqizNlaoxpqde/RxBd0bwZRJgC2HsNubX8QLE1oCh4SLmdWcOAIjzAwChUG+vUWjJ
6E4rdXLVTHQiCuM/2MjziQyvkpdKgMGxMqSr+dFZhz6H/823UqxxhEIKXeFwEbzaWlK+OeVFETaX
KiZxqJ0akCfAtKQmKuqiM4wi/fOSQrgl9XHUgo/+ASAvJyF5k1KUgD1dhejE3ScyhoO4h/5UNxai
hVmMEOiePCMRYd2PaKUdk1UH0wwIa8E8CKbZZbKSiwBFLTXRnF69UiRHNM9E6t/SF+YiKimootIB
bDTWg3gk1g9XluPQpa4Q5AftK9pTSo8F7PxKcKIg7DKjyAXP5tuCEGB38FvNjvrN1Grt4h67gqZf
cJk2K2Ar64S+1/UJdSCI1hMk4oMTAS/7KBujKllR23EqmbBKKFuZA1QI861PyiiIUu5JPuL0tfFJ
fcmyhAiqtFfVS0df0mNIZ3wxtjIrV5mgbwZiML1mFDCdRADVICoiucNYJacv+jmVVyG1XdqJfZ/D
Mh7RzUHR3CaqoX9bfye69NMNKjLp/CyB95Sh8qTfRAw3vcsCVdkULfTkNF1LQ9D5NMlyxgSqLQ81
yypwrwqTRsI1yp/d8JhiWkgbHD8BZw12Miyh41gSxKD02RX4nwCNiyz0bmwbFWH0OIvnftATb9tj
sOA2+1GvBYtQiSNJXR5cDrSIej32F+PGNZCvtfZVntH12/BPKJb3Wao7R6VsUKIbHQC1NegG/rFK
FwOkBHrrQ5S5YGJ2SnRf8VGh5J9a/VJ2PhyofHxDVQLRhg1NwMy+a3UUoNCCWIds/SwpbFYDre2l
oFCEf2OcrrHzJKn9WUdI/BeK1Yb9NHBODx/way1q84CAmrY8efY6w6+jcy3o7g5EfgHJAi7WUTFJ
V6PLd530fUHMQhwUIOtEiYeu5cldQsqWeA0Mq35DruwaZG51WoGL9vAZWQ9KnYHdUBBD1gKN6PHe
87NeQxZVKuorkq0SflABXLC4dvIFtoOR3stpPbgzSzY7LdwRTbQGeeXRN7tqP/YIvlDOPpkThRr+
Bhe1ZiLSsR2lfZtM1TMAETyBLBulppk6+qbxwHSuuxqJC/BYSttLNY3dFBHKdg+v2xmQbM8h5gCS
aMPxzsssOuebHyWjchaSAepJ5RRDFAqCimKqSUonY9wzYeVSz/zA176MTjta+2A4cV+U14fi8smF
0580z/QT1kAN0w9me4o4M2xFSUGXVUjTEWYxikIrdXpUdcymQMneg79qpD/NPdEFRFqF+Iuipn+o
CxM0d2U5Y4FkvzQ1kLxs15/FbESqAKLtUQk3rTOtHNyIGJkg2jUn1wxF/lUYDCXGFvjEq9VGeEE2
35TzrCJOtpjZcQYgYgz3Rqog6bEh+kqNETvxrZNU7gqHU26USRn6bKLFXDksxqyK9Qy8dqABO90E
mh3DKZcyIpP8vpO7QWsti/8Z02re7iZElQEaPHAhA/6ASjHlq/kxt0+7XscosMkrJqncKekFkdwa
fitYhYoKlUp1FFnm/MGjPRHFFRs6QlF5fRoHV5wZ6pRQ3jpS20ZtD1JDQSlOKLqkIry22JYxL0uU
H/M8QoYwSVBAajQU2HE2JAEetqXWirabIYUgJKkKHJBNlA7KT6RfscyDf8A7TnqD/55sFGPj3bRA
taDaiRAEf2/JpF/ZcJSSgix5+eoF6ZKKbSJvviafUtiEqB6qY85G7gyGk7+K1qCqm2RSs7yTlnCL
JLPB+qQue2sRZqDJpvjYvdxXalh4lB8H0Z7V9k1gOXp1YdAAJ80gTgct/Uct+fAwZGmf7tRPhpSL
meXVZeyGf5hIHJT3XEaoxDzK2FDFYTyUTD6sk4TugycbgGSchXGbav6i3zRQ+IDI1vC8vrY0cOMv
EWYySMhTYtBe8hR+oUQZ5fkodkdlQlJjt8eBqHwLpLiEVGcqU9RvMew2R2as6vAGaPFpdJrp9VOo
C6OgzKyD5mL0WEE5OfHLOylUZdeTUMrBGMDO/S3dvjAqdy4FwKHbD7oOEH3fy9q4nLZIuIirqUhA
Hfc4+LIDXCaNOWD3iHH5WgbbqIFUEmORUljaesihmDARJC9XbcgqcFQTXTLYjGwRYhWKIohgFlx5
lSEqpSyFAwg0AH10fKXCn4pxBxlUKU83uoDCXgyVHNGCB9Ygdh2pt+aUptDCwVRe7LNQRwYmzNq5
8fzQ4zfTo8Iq+4KtpCaEJtkcKpsGRidAQ08MSuU1pTThbfWNxId8I0p7ojZaSMa+8oKTUlxwUAV1
UOco4K46qfAozyPJaNROqnax3J1k8NTK8FBpYSmcSiRl4qTaZ3tyelHTU1KVpQSHKwNSWeTpZGSL
uayLnfsYQ+hGQg0HMkaSTZ6a0WWKTBILPdF8gYiXs1mpYKRyzaXCxVZIzo0WBp5th1Csd+n3ZVMl
0OxC1/5WyJddnRSxAD87AsUX00K6t1xdAPysMYq68TGMxtKptpJ6mfueUGEgBRiJ/SXFUUtPBWmF
xaNCU+QYB6KCYAKwtYmmt8pzZ+kchIUPSUiLGQ6v1JtU/TTElAVB3CC84P03HYon1Ud9SiwDlzmp
1OhKVTjF5pC2Ongjr+2w8/1kzd1LVazQoqnPjG0EKDN2wbCNp2Izp2QGsXNkM4LWpmPcgiuPNDG0
cgfBH3EdQJAbb4ly9CHVTf/QjZg1MRcNjmRmjhpkhXLghAZysxX2cvF810nLMDAvyEjtSULmqt7Z
EOa79M+307vzGkXgm5B16BD4jg+W+7xItzruXCVRmV8Vee1lt0rwV6kcLSPBX7FXnay/dWGakaTw
lGcomTvWrzDyPLP6xq/W+CrN48b/tpApeCie1KCPp43daHNR7ktUO9jm377weTOE8jgJrW9jjkLX
A1OSs7qkpvlWy7fHF+W01L59SVGyd6OrAHw1Pr1YGg2ef4TY3hpzByIi7vJyayeLBZLb5UxtzZvs
lAH3Oqjb7AMOgMNUf3z7Js9NSC1TR+HMIH0ArKr/CvdfBiHfUI/WUYEIpP3grKhSbSrKpbo/17l2
AHJdx16KCqLv+Q9zP9Z1faxyCE7JxkRCQ3toq0Sroi0mefRjNwXTwCr2tjSOb+Iiz6HbJblWYkXq
tMhkb2IiVSveF0CZKdrL1eKcKuqnx/zPv+b/il6qj7IY1v3zv/n5r6pGPyiK+7Mf/3l8qe6ei5fu
v8Wn/v1Xrz/zz8eq4H9v/slt8ldbdcjcnv/Vq+/l6uruds/986sf9qUwtr8fXtrl0wsW2P3pHngO
8Zf/21/+x8vpWx6X+uX33/6C9tGLb4uSqvxN/eryX7//FtC1+bfzvPh69TsxEL//dmxfXsr8ufzX
+Udenrv+9980w/gHhEHbhDcQCPSVmOGoyotfeeY/UEmjSkPi6Ik6Geu9rNo+/v033/oHlWjgHFha
OwILwa+6CmOb339zgn+ATKBtHLiABphzv/149Fev8H9e6X+UQ/GxSsq+41nOCmIU1llT4nuAW5jG
eUGsQsACaEw6oTg/NAPW8P4s6Jz9kCBkaHaRpfk3S4FYA47X3eSHlxMins0TegBFfffTsKlb+/lW
zqCFIC8BQADF4TZ0emEoY7yulnmOk+Kf4Rm3jRm5ZrrHeyumgdMnk/a5L9DLoM9SdVGyI5RBX+kY
4cqYfklYAo8C5wKevi8yMIY+tYoj2HrLv++0MlnfqdT/MmTgIehKUCRGZthhI359m+Ose+HsWPmt
Zup5tBH+7fPtDAl4+lLZQJN3hZFE6XFqzajdgOgUWGBS6+qdUub/7zaghvLmQPQxYGejZS1Ntcx+
nt8WlMjLb601jvGBrSLNNiQdlXcgC53ddteWUR1cp/qY91cRNqT+t3de23nniFq5y8HkgAYFNQum
4PV4hGmfInIyBVcFvcnYuHKrPuvZfIci0K9r3PbMxz4hqtrAaMUsFi2KrL5MTTdEcbDUl5u/fzs+
84hgg+aq9QuKdw4ANE2p5V2JTLe8HyILg4VqxGaBovmMoYx9ILTOopls0kPRDUtwHMgwncS5Kbuv
utRaLt6+JU6C16uMUjp1fdIJwzBYzb8cYqHZztYE4OK41CjKBh/mrFtRUgkmTQiqpHYbVdp21oJp
nL8m1mh74yUImxVjjWVNyw9g493+z4l0K3tGCL1Jv8f2OPXhxhhiEUMPSV7N/lbT50hPL3S44fNw
1B190OoLMwMB+DSXc5V+t7xayx8jwO3On2mDelW4Ydq4DxgsuMD7ZuC6i781iiE1wwcsFnDh20qp
IWvhChXifrmoAHdrGgjealq1OAC5Wc/XbjO7TXHxwodRQBKmotIbeFD50OTBUR/SjI8vS5v1/i5d
M3Fp6qMJP/klJE/kdbxAxIFG7w8kN0mARdFzih1StOyp60X84ZzaUbXsrDDqCPajVKtrfEsMpCDn
TwAJ3Gne1Z0+Ll+Holv6L6AhF6O8sqH58WGQbPy8nxFJDTHaGTWE0rc0nE3MvvO8tG24ambDYxQN
7I4GQqKWdUBwspCR2w0jqXi+rTO3c+9aytfi36iAGc6FXxRBt17iLwGz54DdwDrnHzR0gCfrXgPE
B808lVrmtWsjBN1sNNupHfF+kmxxryfqV2X7UTdG0F936m6TholkHNZ19nIPi40BgtfGrTqUgLbr
4FIaCJfWsaFgrdQnnU1aOh0bddhWBo/MNMpR30EGgPkCwBEcNsVocHXZAUwhKkZXSPJaTDyKMAFD
P1vYZgdQFE4OyijArcMumNueJx5jssanZkVI5pm+XJ1+DyJp7m2CvsVXq4J+i8Iq5VWGJCybhnei
fqqWFYjFhYfwzCmZb4LqCRpL7nzyO0Runqh3tP0dKhHRd5e9svuMx8dUPycjFP8bRBeKAevDthlC
nToRCvEDdrFBzLscMk1cdI6pFlgY75bes904jXZvLMnIY83NIt6WYE1kzwZ8Kueza7a+c6iTZZx2
A5JUwxOyKim3nMs7j+1yqZ49PCAX6tJp1k31fW3i/Roce003unCTDisx086YPZ9V0Vf6wBS2+2ji
gX0/aty7IMA7CoLvhPmbtqWiiN3elW6XQZ/fmlUQWhvEKtoO8R1iuOp66ek3JBtsZafuI00w7I/2
SaL3vo61xbjON0gx9sh1ARdGQhPtX0cb0fikPFXx4mwYI1uErTzncVpI7J6M1hjnTdJX7ECbDqGa
ed545lpZX9eKpLHfpqwlK0Epy12zdZvW41QMV6aJ33hw8JoEweCdTl94/KTniGNBrIPfiMYgGSRj
TU2QeQBxRPyZ3TB56kNsO5VRf/RBgzMFcc3AMflg2ElEiTxxUcrR7nIvwFpjRfKKUUpK17MvEA3p
mWyek51o+OF4EoYbIWnzqFqQpd/lKrP6UXzIbvOMdWuuQTomD6hRGlpAwbkULnI4z3KfTpwgB4C0
cypeemKHrdjWKmrT39MW38o/DC1sm4tgte3xK/LODk4hMUaHwQXM3yT8VI6E3ReqdpTXtA5fdOBK
DvMoisS6mMHhpd8jjA5RXkmy3h0hDhSkWc1minwqK4BjM+seibI2earNQc+ORtPCBMKGMKdwsrGt
akkf2AHH4BPC1yu/oa68gvADcW5WNyGkja7Zqve0OrUo/Sjp02IePUR5Tg+MwIqHEZSTGFNwi29A
Q0CU2/Xwl0cde/jSZlHiITZpTURKqOmUs77xm6pey70x1UO9t7FM0f6Fv0ej3RrYf2blgTjKb+/7
LsjTCxchvFjfxNpQocEzrNp11g8gb3d+nlrFBbWBOrhrh9HgcEchE/OVNte0CcGuOgmjJztqRZsG
qfuUtyKXhEU5NqPJUov9m/ErTQ11FzOaP+POjfTWZo3btsp25tKKdTT1A1ZcDeB8fgiriML+Bj9q
cVT6o28s172HIcUzvEExDedyaJzLKOucZTzgq1QEn4DGISO7iaGc8E7z1CmZEuipCL3PwkFMIt+G
OLkUAxsLlM7D6kKnvbGGMUlumLBlc9lCkjY2hpF7K9bkqFb6V+h2+yxo9KEIg1G+S8QeV3e9yTFn
cRZp2q4M7I46nTrYqgS01XiMa6uLul3vtEb8MW9Qm/y2rp04r0vdFLPHNnCcKSlKnc7yLE9FIbXE
/kIsrmURooqsfYFsUsdvGlciUFCHhBk6oCK2rWEL/3jZTHR6V5xXY2k1fAzWptjEi4GcI9zoK3Dh
gNMoEYcqZFxxfiLXn/C68j5MxVDZnlj66tSrLDMJhy0Bb5iYl4Pb5Yy6C2GOK3ju3AYaSv2T6W11
Rn2dN07b9lwnL6fTN+OoxbAHiFzxlZGzCAvR0vc1xjLNdYKYvpionGPbm/OeoCqkLFlkz2KkPhY9
XHMoRFrYaO520jOUH2KjyvAoa+1uYlU2iGax29qhjVfyDQmDYPfQaQjKZdexBn3rKg35ubruexTA
jMOMUjsfoBMs4gG9R20DagcsdR5KGY5nXiHmDXGNQJ0mpe1q836EqCx2IHkFBPJLGzXUhRoNvNok
FweoEwEh1sHJzXUUHugKi+OpaBza2p8R9dbq/KltB7FZBTh76unX2MQSIds0q0cSjmwXzXShT+Cs
ywRHfyhMvwXkMvZimluVQW3g2NFbZF5UFvAN407VenRMC3iKOplyBrJmStv4EoInMT6aDR596fNa
NuiDf6BlnTEUuDk6mPqgyaXx7chYIaYBuX6DBPVppMrYE9ePc1y6viaa2zX5kwoLjCRL+m91t/jD
50WzLBYjcuw9VCoIC2Cr7aIX2zCd/UTcdG2LmNASKWOPSKdN2f0uSWOOfUHKZpB7+ma8DhV7JGZb
8fdoWIqHxMKNiPhhaht3/NT6DebNV2OAlg/agLn4wrAt6GNeO9C9WUSkV9pMaIVmeWe6pBhsGIhX
QoSzAjErHL0U8zJB7IhbU1/hFQS71WVbo0OU3DlgBfnLJe4KlojWxBVfY1QJ8PhdZaVNO95Wcj6X
mEWJ+YwYl5gVMkMGA+ByW1ZhEQfg+HO6HOkhX5mRPIF+pLhZpt/bDtEyc0eET3dBzBDxmGne9t26
m9IhM69p/nSCY6NjIVjsNUvzIuCd1HCfvFFryz+CGPH7Fw90e7gdjFK3+yOCcnX5Bw43iEpR+8wQ
+ELqs2jr8QKSKU1np8gdurytTeS5S9NozL4gmNC0+MwUyUrSD4tYEGuSDsrpR2Qr1uVLA6cI8bOh
jdcWB7k2A/q0GxvejHUbo0W8dOiaOBWKYvisauOwZ0JDoPo8RwsMzc+IGhSNu0U9Gxm/nZeFsxfQ
z8e2Yt/MEciNzUIGvTSo3TGhPvK9Tmtu4h5W478wIxhxw2ticw1RM+u7zDNu+tHHGPOTT5VCzw8B
+GOn/2AjNu4Px3pEb4rNLomce7xk/bK/yIJOXF+PRFNz36D+wU92btT2RQiQtND2hWkOxYe6GxPd
v5gBRnTrle8tfWltCeRiC1/MDsHdcNvACG2Mw4hB68IZWaZVejGjJcW9xU3pIFu6CWYshdtNYcX0
6H4Aiiemt9jxML4dP4UyalZbdp2YAXUCYhstZydWWPIRbDrWa366pM9dVzt02oqwayJj35MOFQ/o
fdY6/cUsp60VO3QovmAuTvF9Mw255/YbbEeNYrntaam5tCHpcgmDzdqpdaQakqn3v/irwbxxcevr
zI0dGQn6cTR22UIAoIm0zZKHXCoMn/KtmS4Lj2DJPyn1yAZz0BWgMXM8cnNxqJOAdGwZMjd12lJ8
l93py3Ldlg6rNy1ROZ4/huEsNJbhUHOkM1EIJtdTepIG6elcyPnMNeAKcdZbS43XPIKCItNF/EOc
3ljLjkOyC2giV/MBbHqYJndqu6CBWHIiDHi3sVEQ+IUUg7cVJtdxe9OhN90nn8gTw9GA2Y2PEbry
RiLyldYbxdYOv0bEmClC6ALj4oM9+c5+5bGzx5Njhv3XcHHdvN+hBH6KScNCDMsaNSLbQGCXNMuK
fLHhgZnwODPAr/GEQT2InolZ1pC2N2mh1eV4yAY7bbML163jxT8GlNmE16heNvdWbzUm73pg2Ng1
mDWOHmYm56pRz0b24xinyD6zRy4OuAPGRaYxyE1HRgPoyu3KXdv5Y4wYldazs6HaxizbrnGw8imr
oqp1YcptOSFuJUGSgXMfBUWGLaYlDvkSaxv2s0JuebgBBsQz6nBV/fTM17Q82YDhX9F5Vr37WkY+
SU9tvkKiURehgulHYlPtZbgehejLVJeVrp0SioWG+0URW6LUYMyiCn70h2TggPA7QwRaOhjpttrn
iRbE14Ctw8X8umjBPK1HhwGepx0zxA8edFREqmhXgrSMXmi99uFDMC5NdrEmsRau2zHVRtyWA+ZP
YaPm3djwgShRGO2F6fuZ/0KZQH9sKohVX+PJEoWhOOI1Hm3cqupLc4zC5akOs2Laru5qrceo7q31
kdBqbbRjVwXOnFwtkDCbZIf2z5o9zQ2Qyz9NOC7lni4wziI7HEuR5t9ExtBh6wy2Z6g+JUWzuojY
5lbiX+CtriEZFayQ/fd9NdvPRpjP5qVW9k36Le1NY0fHufKOKBsj0XaFgdboXq79qI0PhWUM4YcR
K0jWZVfi3RUchWFG9D1cR0HLhqFdZjs7wneEnCXPaqFrx46FRXlRI7a745iEenYrUrPwqBtzX5bX
Ws/IETzC6ejAsie6kd84cdOt31TGpaJswgAR9cgigcxXNCsUB649xGSVUVATwHs4UWhoalYDFcUt
lDWPSYk6rkjUI5632sn5jyS3+DZTrqp5WZGunageMT0SqtHZs8wvsnAVoaaKc9WS8JxRhNUNmBVm
rUbnSv+TsgGinuOS4HSw2OK9H1bLr6dl63gDICnkbsJphOFsYtgFTKsfVTgiQuskhQ9R7bpsbdMb
kAl+inEypuT1ptD0qrjyxpVm626JZrFlqNa3RoLA5QO7nln8WYXSGslMqJNK1k1mYMaoD0aQUS0O
ecOV0PwMWTNZMhjRd/alnK0Lj0gj2GfNnMx0Lqt5yh9ZUrghbaj9tjqGnk5b9ZehDS37jhdYT3dR
VvkrZti6teqUT9xmRU0H3lX3YgXB0L0QSwzpt9hvmvQJuUOdadghZ5R+61NwZchYenbcwdnw3NYe
UF3WRT6Ffm1W65sVneflaw06j/udhXj8S5pZxNNHVGpG/s6Gx8xeg4eh2L+retQNZvmpeERT060w
fi0p+SKJhsc4w1E2s84O2hIxEBs1icMPY+e37h1GSOIkmA2z5FWpPYwV51OeAB1sEeEkqPNispQ5
YZBuDKfV8uIjyKCGF+bKc2jQrYLbyWU43+qWyDbCxRNeFXjTE4s6msmi2NUsCXvd/TikRdGJYa8y
MQcyw6EM4k7m4LbHBYBkgjYPU8e8oUcuJl8C6YY4rxiIqMON2VmioNG4dddxMddAkXU7exZU2x1K
sSETc3Y9cR5kFIHzgJpHsTB5KuSoA1SXhiCrg90iawCFXlIxgSZGEq01M+snLA10DrYB8kU9zf1x
1L+sdQKKNLCM2r3zENJj2HCbiKbHyDaG8VGdqXpZn4qnE5VvJHRRpV2+YVDeGMPeirtJDFoEm7w+
TMUkBo2QWwxTGM8aO7Oms8orbL2Xrka/yRKnZmuYS8+padkUg7eeZhYMhp60BsJGHbLeQ7mfAyvU
Oj4wgN+9VmWATHHWWnbJha1S1vKowxI59EhWsexVshiNYUdKUQwuNk4irfRnZ5c0I3q7LNDFxbWn
sUafMBlzXbaTtkOCj+oQOgucHwnYUN6L0Vuu028ojfqRucnGVPxf6VfcE8W8BoUp5lBc8EJagAk8
QqShApIBDRBmsklliR9QkgfAd5t4yVj0zRZZMpGFJMiKWzeMe1Xf5T31vhcEwyOd2MuY1zs7Nqcx
3UL5mGbznd6PaKn8zFVwXHrwFnoWFu8VYPlZUzy3mIVzaHk/kvIqatromPaRg5FyF6UEFRsFSQwG
BDa/E6aKYsrbfQ3znL1GO1MIzEFb8ywDRuBZC6oHQdSi47RehksAMOar1+LK0d44ehc4DZrpWoKd
vKkj655giJKuVbiN7aCO7c2i1sBA7PZdt2dH31KATdNlOyESV+ENquFzT341826vox59ned4nv1u
Tx3XcJYNTDSiLuyPRXkkCDAPfQ5Hm/+qWfb2k55xs4UMKyqr1FRdJKF0KINnT6o5KYSMZAoPYRCI
eNUDjkMUA65LLKeiIwsnxpIBoQeuCInooemBjx/spBUxMcplIil8+7bOpgGEEZi8ugmNwaNpSpf5
decNLetkGSpzPBQEL9lBAzZXX2nGGuEQHEfuHQhIqyDOjzX/2PhDGb3XazvjN3ADiOXoOoAUw0Qy
7JyhhTjB5AEnaw+G1hj9LWi83NwUy+L8yzYnPb+NrbTrP1IL5Z/RkOif4kgcJF3JdnLZF8Yw3bD1
JvUROk6+pLscZf4/1y6f13dYKGfAGQs1DdeGoQdWwgJLootm6k+8Ls9HrR8Jk/4Q1ZrrH4wuw+7d
REWruy2LPn8oQW/M77T9fpk0vsvL8Q062R4z5xdKVZ9bs3DfGg5Dter+3aivCd7waaY5Hzhkp/XA
AFTRw+gPdnNByBTmtw1dnW6DCS9lrXcmy5kIDO1ZtBXg0tlQzlGbsD0xRj+NAUShKSNr66h66sEH
H7UXYz9weheXmFUi7wXVYrx3a4RiCMgbY+sif3JfoJPlbmPfW/+ciix0XwIMZG7NDgmUve1S3t6a
FL/tTUz9dt6SJDvl1oqSXntnxzvrdoubR5gY2k4AWdeFTfT65o2lsaeg6tpDBvB9vM/QAvbCbZ/M
Flj2uTef1sVd5w9jjVX792kkLMKPxHde3l5wv6CRuA1WPzMe5SOfnebsNuze1uE9R80hwX3nCs1i
436YLJPSbzTiC7FJqG0Y+5zUs76Bz5BG1w7N3ZZ2Wjij8Ntoof0dzGVHpPfOnZ0vRe4MEQHoi6ZO
48+yzvaCOLDp2gYulWMT7P8VyMXJ20ZIvA47LMnqYqc5/WId8yYuhy0+4KLH6SC1fMhTO/cebbsK
5wjSx1I/5BAcnA8zhPnsAzO76K7evtfTvfx0fImXyYYFxRoAiweK9+xeURDLF49G76HuvOIzIpog
0pe8pYQSG3QprwrDGHahDy102Kzh5GwtdzGiC7MeGuOLt1iYMhahhTxEDI38AMgwPniTMcz7KDSK
rY0OYinqktiM4MDqPdNmTearuajHT5OnN9SOE38QJenRvUqAzdjQfhDXS7GuIHZokV6MmgfPwuaB
soPNFbyy4lPG/6PuvJbjxq5+/yp+AUwhh1ugu9HdzEGUqBuUOKKQgY0cnv78oHHZJNhmf+PvXJxT
nrJd4ogbO6+91j8k2tyeod0u62U1EsgOIIYAY4J/1qzPEERELWxeVqMyT/Gd3GQDkQ4BqHGrMXkV
tCQjvlysEr98PgcnG0b9wTQ0ljR8/vf7qbXLMO97rdu1BcbuG8doKt7TZhjt5LyouqMOZDQD8qO0
7c3nLZ/YyTbiDzacR1R5DXNZyG+OIatQ2wDD744s72yMDzmi01+pNuevM/GX82xNVqgiBypSZZNz
Fc+4mlMDPLNdTnSfcAUsv4nyGqKDqwCqJHmlS/bQ7njQVs2u6kal8yRDSRB5NxBLvBOQVTeAxcPw
zE10qmW05YzlJpIZ+1UkoVQIAtq2aHcKz3UTQf4gD3417GkvbgYgAGC+sYjeCggs5+6jFdN02XZA
xjQGnRtQpvH3I48Gc1eMk4OKndHl8iY0m3FBVCkOOTPI9A4pGWUzo6hW7kKynZnf9JJZeFyWQXNR
gjov/4uxILPsAPXSTULa1SwkTSlAdg4N50BZGJdQZcRrZufOZaVCWnrt0Z0/zvYYdWdmfx03IbgC
oFUmalm0Fz7IV8yikEVtcBMamBHZm2ks7MdaqM3jICqponRfCeADOMbNbgipI9l+vgPWcCAmwoHu
S1zABlCJJ5fve7MF4lmJa3UWzS6d2gy3JF6t/bZPrdja6NQQPUVOZWhkiSpw66xsQ7opR5SqAezM
w1HjHLrpW1xB3SCt6saleNybu88/8eMqXYYHvpmO2gb/s/rCrraRqQ8ivjCOp3HDm82evsEFkg6O
EyjNNwmHpnhj2319ZmpOjQ3gP7SNLM4HMJGrNaHnaBA701zvhDZUj13YRhMpL9T4PKTMzGxT6MX4
NXVarYG4k5kXnWMWlzyz1TsZxFRHekeBOHRplGn0Q+36wD5zeZ2I6tCb05YvI94F8ba6vETUz3Bu
ApTosUr4E+BtQuFugi67neBbmx7+9MlzzMTfa5OSHDLqEb2ngQuqzgzVx4PUWd4iiBSAKeUIX32I
2qYLdjivd6GDWi9rObfj2gVRIB0KlUTiZhoMGRYpSteDOIZqEG0TXQ61+8+Xykq9cokriSiBtvEO
XVbL+lhxRDIZFbrmu84s55wcZ6fN26TPKMiBeevBXjVB/1JWQ265EvJGz/BzJcqkwK6uUnykE581
X3wZcsXqzh15yxi8v18XWU2EKpFXsy1eSu93WlTmHaS+udoRjZjaNurt7JJqZX1dyXJ4QWiB00yb
FF+k0p7ExkBmQnVDYAO+Ug75ax1XU3zmzFuLhmgohgAHBJlEJK4D8F190ij36NGinrOzh0ar3aEp
6y+B0+AlbihaaLrzaOt+h6bzi01V9wobwByMHZKAi9Z1mdiEcC3D13M4V145Qo529SKZti1UOYjL
SN7uuk4lJXNmmj/cHlyUaPQtM20aoBhXF5c6zU3CfZDt9MEUWrKxSBTFXzqlw7WMs3Sy7ttxFOPP
VgvJ5tYDWti3pCTH+tlIlVYC3K4t3M2//VXE4ZDsDeTqNfWDTDPJViFpqPTuGjAhluSOTbYAsyS1
suMbNchs89h1QDS43SfiwqesnCmszEMXmMbWykv8wXejjtj0w+cf9puK8W7lAdHmpkW/mtlGRHp1
jhVQ0XrsAYKtAbyPtJL2F1BBo/pKQmm0ejLa5T9BdJA6gdf9BQr5C8fRCYM/SmSxoCBTOb3m743G
XmAj0l5S7h/046TztDBc3KyTca87TSL/NE17KZlUjb2krT/v0IcbATsFcgxcmBpaLOym9zsJt+iY
YrfsYNvMr0eorJNLigMFRmKpPdQxFpoB3k5eZ81l8Zezxt8iHvwPOAX/I27C/0/EAyBzbybpA/Pg
4QePk3/cxq91/foPCAj/uIqr7jV7T174/Tv+SUUwzD9gp+hL5LEI4vLM/xcVgR/xrsYrYZGAIcv1
LyKCbv2xgAnR4kF9SUYhSPsXEUE3/2DfLZkEFCcWioL6d5gIqGKsDuvlcc8+phEZLZYP0hW61Gko
IfeRH81as7eG+Ctt7qomv7TiFrgUJQ03madwmylt5FkRBp3jxQwhb2f3iR9l/ISnZbRHnQHVLEX7
bgyx6XZytdULu3OhPF7o+XwEFbSTS/mhK7PvQ5390oXuTYZ1QaR3pHIBzIEHgxuPyU9e1Ads457s
qAQfHoztVu1KIBiUdhXheMv/SfAg2GDmKrAnCF9yaAh7pGd7j5fv6Paa9QKz/jVPHWkbLGCiCoba
NpXDbMM5e0eHrzW9+B7L6h45a3mTBEG4aYy4cSMNMS69cbysmMsNZo3z1TzN856yHQAD7M8dAOUe
2qW/bMCK5DpqMtdG9S0T+XenzLeFEhzbjiBpSILj1Fs7JaL5vE1fZKN2fJ7P4bZXCvHXZ8WNiuhn
ZfhZXwivTMIvjnSDKvktrlDpFujF92Eyr6MQRGHTxj/BoFBd4Etm4otNYTq4M7fyUx714lavAhuI
M+nQcaAwrFpo1VnJT5ILiVemL3Ue5l5OMscFknitl8rXvJEAiAzfe3N6ahpmLk7N0Z3y6GWYIX/a
ifDAzwsSBLHwmsC8buZ8u0iCbfMiu5Wc+es8ME6qwRyRsnEBBd11rbhNedh5CcYrONHNjofBmOYj
nApmWrmsx649AtibqqHa5Zb9jbyOV2Zdv8t6k6sq7jhXUQgZ9WdL7l1rkNCez0gqaGX8EjTjdGFL
mdiGnSptnUlPjxGmHDg7qqE7T/qdKcduYvadFysSgARENA8xWKl7BNnaHYAIkHmGNh7xVLwC3QKY
DtbkJo3McTvNwMAKTFABF/aA/0lupwXSKpLTtVtD7ppHoAgjhTONTHhbJx6bGUdkOcJfWA+OSS2D
Hh51fwwAryPT7UsZEqJm3l6TcGnByrI08V8FPzKz2E0DtzWhbAdNQe/AORCAbXSl+D4DDt4A39iR
BjwqenqfJfWtJTP7UdXe5sDPQozrq/T7m9PrBAFoiXzeXpnIGaMPuRBrDOAYZCnfXzFmIZd62Fmh
b2eCFHtp+FNi7oHJayyo7FzuermAP7RG8EokTquKs2qt7xQF49MgxLiEZKEZOn5tdb5UFt+gHs1B
eo1WDgWpHlxU2nz7vKdrKUwygnSVQ9VEAtRAiHAVuxe5opVYm4U+j/KXhfMOrnLy1GnkgBs4a35P
BMLuTpBd2kV+Kc3W7vNPWN/nyxeQBeBI56QlsbqKT5Y0AfgzJfTTvr/S1fwyjMxDVeXepGfbMkjP
DLfFNbEebihu3BekcWFyrSsohSY3NVj30A9AoAC/Jak8PdXpTSvY8jWMLtB7ziOiCA42lsNToptX
rXhRK2C8Ruil7ejaAX7nbUFGVX9ySmmTo4ec9E92ae86Nd1rorrOncqffwJPKrwKvI41ia0ycx4V
nXZXTLbtzoN1EGX8IxmaA57pF0EFb7LSt7IdvZrVCG6iy76PGf6qQlMuoVjVHh9Oertvt0mlkJQE
mxdFw49Kcx5zyAxuKmv1hVrPktcP+k+rqr8li2ohup2NLzrlLtJJ6GcOeM4MAzkXUsQTseljaKtP
6WQ/RrP8NIG+d+PavlYNe/JKOzoWuDKWQtoLZCP/iuP/b8dS/zFMekf7/E8R1/+DJM5lwf1nEqf7
msXz61sG5/Lv/zNssq0/iHuXdy4VV5BPS3T0Twan7fyhYpFBPodji6z2v+MmxeYvAQ91qIwZv4Oq
f8VNivEHj1ENhgYvAwv91L8TNtHC232FeDi/AJYbbx9+l2yt4vJOjUMSBHIDTyU62JG9iYv6GFbz
3zsu/mpG4cyChA3n8XcS4E3KaporB0/vqfE7SbooW3mXgR/Qfmoj0HY9PeOkty5V/dWaQXKFppZ3
8nKYvGktpUsKSeLGt2vrOoQ/68XV8C2W4Jwj3OZ4tS62Ixc8iBNlU/PQ5GX6XQly6njxlZijw1jf
62aU7uCKvWA++Ng20tOb9XH710Xxjq26DOyb++Ovb7QxSTFIBkFPX72HlUFDXgN8MQcaHrt4dXqa
0Dg3oGpugEQ/REr1WCnqHpD+vUhV8IIStxq0s1sAE5eyOh6APjSuMLIFgFt2LiT6M5O2foT+/kbW
2O/nMdG9sVwCb8ZxYejMiEI0PpVcQppqcpUOb4AkSlxi2yOI+G/62Lq2qEL8xcarMNJbV6ssf4Tw
UUedgc9r9wxm+ftQFA9zWOzLEqA/mtrnJIVXsf9fX8ozA+VjbCpkc8k+vPlSaSFDZxajGeId6It8
aiBDBaGrkdFLS8fa66YC5Lgues5wefP5XC5TtZ5K7mNeEzyKIGouH/emcbmzhZkGovEzjunCDNhH
0vPnTay3qUGIQS6A9YzEpaLpqybQmccHgmq4n8v2RTc1+9iAJlSaZ67ZdXaS9xPtkE/XKFEuXjKr
VWm2IICTImr82qlfw8IWVw0pXPSeMiRocyvzUzsJ8YLP0NSKQygISX0mH2iaq9FcPkEhy8XxR4qU
/7wfTSPHMRqFtNpPwWdfpnEybGtqb6SzpmnXAjQm8myH6WssYmw3sMl7DlNDd0nc2JeykYrII+MV
v/YChOLWsUrbM3JtPMyTOezBeeVih7x0832sg6ugcq5FZeVXBrhPvCv6w5zMYhPpyoJEAmfWC8Wn
zHJDNrvz8dGWN0No3fRpuUPrKvhSYsznUqW9JBuu7fkMkoNID0+U6HcYAISPeivr3mgnEdSYDl58
UN4A/bK2epygxJkmiTfUFphoObocUinbAoc4tPAgABLKoHGt0AMsL32FJZXuZCcstqE+vug5sBjF
JH8eIM1s9ntNHdSt1rfOpeFE288XnrbK2/1eEdTMqThBrSfaXa08MqA2epNNTd6QDLCaRCngzyHy
OBruLU6tYojv28gBszbilLMRIup8q6hR2qg0+RUJvqeu04abodPQimZle/qcW36Tl5OLPa7kTX14
1fTI5tXAKl26LH0da34o6hBoX6WE38OkmHDS6PZcIsYm1CrKKrL96/N+ntpgBs8mRSfpxmyt4tkp
lEcD5EjNAdJIXzIgCFfh3DxWXfb6eUPrc39Z3oves4bljAYjcnWmDmhu1gg11L6Qs3RfVDO5RZuQ
cSLTwKmVQbvf9k32nLAOzmQ7T/URUrtOpYwsHNv7/c6SNbh7ohW13wCBfSXNd8WbUXkO5iI+09Lq
dbAsGtRlsNaxOVcBO69aCubGaDM5wI6hsG6NropckekPIWEGbIjbOBA///agIvqL8P4C8oC6v/T8
zQmsSH2A4KFc+3Ib69sG9j4QOjc2zHYTCOVKR9wHvasznTwxnDRKOt76y0BoFWVIcP2zMR5qH6nL
dINa/qU+QKFR9fGco9qpY9mkmLYciwZQLW11LINLtJ2Kap2vWuIVc7MfmgWA3TFg10F12qCkdBi6
9lclN9hu5+mfn4/uyY5SnSGSsoCvrJesWdkoqjusG/B58CCNKzNqdw0OIp83c2LRmFRyF2iMQ0Vu
jQZzKFq0QVDUfjmDSVPn4imus005iQxNReVRKMiPfd7iulq4rFMU/AG9YKBDHddYrxuItvNYS5Wv
YvL5Fe8jTxXNIYodTt8pu0dULtpQHxAHcwjVra3WybPdiO3QmuXOMIf5EE3AZs981LI53oYTvz8K
UTBe9ypOcuvo1UR2wS7CiMkO5B3oFphP9vRDOH+iLJW5FjqcW13ubtESIj0H8ehM1HdyGqhmLaVl
HvdkZd/tJSvQEhTmeAkbQ3LfOoMPXeVSNYvrSQ1fErKkm8/7u6zddXc1CgJEHJxJH6AkkymFnJhG
5Wezc1Sr8iuv8jPzfKpL4Eu5vHhqkRta3WGoU3RZMA8V/PdI3+ltX3gqcrm7QZm+hRTyOulMgx9e
IMscvmnRWh2AIXjWsS4mWixFsE0Cqb8RMIs2edH/aAyhjtvaKiCHlDZk0KHZG4RynZk+A0e9zkyB
Laox+oHV/Ohz9SpcQOm1pY37xIpfPx/9U3tbBysCwJEqsGavAucJ6Klc9F3lp1LyZFEwHLTq2kii
u/9dM6tFlXZdZJpdX/lmU8kbmEVgy8Z0E8hDdOYUORE+AtX8d4e098sXGwwnnqH5+Ti3/YkYyjbv
pZusM5/afDw3y6d26u97jowUwN3fx/abawc0mBrpuMz7iVZmZFDRCnNMt06V68Y2rmQ7O0hptkd5
tPQtI7z/fEhP7RvwPybpMBA5/PO+o8MYx4MsWGK5WuCpbNr9S5OP4kyq8Vwry8/fdBGb0FGNiMz8
ye49cgUQxc+lUk9ERDa6VhQ6Ofh5vK3WxuhgCNZUGqb23XiFIsgzfMh7pUlurSh4QFSXyrYDyfjz
0Tt5pSIIx8jRqvEB0otKJUIlwhJ+AC7Fl4oRC8PpHlLGfBgtDr8gTjzZbJR9UmTaIVD0xzMfcCKw
JuPD0bb4lBF4rt45yTgFozrmzJ9QvpdV9lWKUPU008FTwvzLWKXPuoh/tairUptXcjcv883nn+Cc
2Py8lR2oACafAQhgNbnYR5spJXC/NOrAn+vsFWzRfV+MlltDAHV7ZARgOGV31VBrxxykn9/26jaK
dWs78k7dkExJ75opiHwFNlnYmBRpmj7bjY4Nh9scN9WYpocMrlxdUOOqy/naMfpwB+Hsoamj5gKs
3BMYRijC+N+Oo5P6bQvxpVKS1Lfgf3mK1ssbhIAPWVXM37o45k0XQqstEAp1c2bMlOZFVUChhgQr
nnpESvVHSx+GKMtgXOq3okb+MiqjY+QYwwYQpeJFQ36FrFV7qcuolalzvO3a8HHssx6NHu041uNl
aMean0ZVBRzZTrx8NnvoWtTYdHILulvMDUWkONuBongw8RPe4WZtHoJZu4lGDQUV9NS2UToUz8rs
qK5cBhdVXg9+M0u529j2ZY+YxG6SUScwRQfvR1FCV29a5ZjWtrQkKn7lhvUSN5Tui+mANXiG4SSY
LaWsjYul9nAoQ/3v3/xAvBVbsZBQ40Je7fUgKUDrypPw26FIvHmYQxcpa1Cl8W3oJPf8rTOb8MS9
bPPgopRAsLG8Fd6vP6B1wGajSvjwbydPZHbodTjwBEp6tOc+9oa2ONPFDyktLmZbtQFPQspYNClX
Teo1dd60MUuCTJj0Ff4CWxJfyUNZWCh4FvGPruKHZp86W+EYd3mev4qyveTTiqtQFTqWQ1F2UJxE
3RjxON1QUShedEnVdp1iNm5iZxC8Pt+m62rPEqVScueY4JRS2KqrA3Ky83TCAF74jcgvbUscu1Fq
j3Me3diagB9lA1xBGzvZOJX6q5fsB70ezmEeTxwVAMSJEMDecmJ9QK4PlWa1nVVy2+SekVFPH1rD
i2bLPtPbZZGtwkFgBMt5iBYmGYfVmaQhK4I2w1j6app/NxNjx4PjTIS9hHsfmlhgCugWYhazjnDJ
VkBirPvSTwf1qRnqxouKAmhPtCcvE7tL9GOG2p3VGM2Zzp266oBMEzMYAN+0NY+kSCHVaqNc+hCV
jwu/IBPBI+IKt1NU3BolcM0i6c9IoC4r+kNvDRbx8pwgZ7Rswjc3eGrX9iy3Cr1NDYSng/mhMjAz
iNFt0oPhTGOnhpZCAvngpdrxIbvRTSiRjOBw/cwwbyUkKTy9y71UMy+EBd5Htx60ynxAPuJM7ffU
wFK9WLDoyECSr3rfSWMwkdzQFeH3kPSVZisQdwfLGHco9itbY1rwCWn69fON+ftFuhpakpQGEvz4
nZN5XjbN26HtUQcwuNj8fnbSAzKAlzAPHM5x40VLxxA6x2S69pi/oGe1J72EkTCKwJPZexIoBA85
pmpLUjXfhQire2GNhC0MWs3YSiXHfZ38qeuCXKDUbENpaLzC1Azg1PWDlRovTto+W2LWkG1Rvmhp
Z7jwga9nK4VNDtfdtcvoh9DU3CVrjAt8al+Qp+ndDn/mTeKk0bZuKoSkrFrdLfiSTR9XD58Pj7qc
Sx+Gh1Qaj0gw2hhvvh8eI9NNAXOl9McmJ5iyJN1VlweYaGTMO0rjqE+dtROBfJyW6CACdfcd3akd
xNb5QY70TYse79Yq84OBAcRWsUqdwUA4OYn1Z9NOcmyIYmdXLrJTn3/6iYsJWiLQQOhe4J301cRC
hEQsqxbcEiasFkCBswsHVdkMzRhe2oJZ7SrbPrN3TjwagUiSc+c+xOSb0PD9eGXZaFAJNkq/HvR2
142j5al4Lm8E9zIpECHvYvCZHipcwU5kseJBWeMoSQoZYSDtC9rLL+PQPoFaBh4jz3eJMPXjWGXV
Vi4d6cxNeuJWWoIEhJDJn2C6td5yomnDyur0wpedRWYledSKoHURgkN7BQr38sd8Jgo/SiZ6CjFV
vh/UQTkXw35YYwqUZSqYDBqlqvWJOmL+qQT2UPjSlF5kk3wtyxF6guBZI2VTTM7lEBPC2s25Z+bH
9wOqqZBQdJKcGDOxVt5PloEfH1rpcelnnYhdSXF8Ec2pO7U2BPaXOogeWKXuaHRXIAk+X50f7uJV
06t0RtXESpTLGVdkO+3RxjlMJfUD0Z+Z4TPNrFPidq9mESxZNoHTXxUZkpNt46vluXzThwt/6Q3c
SqSKmcIPnlohuPtOQxvNH0a9PgRmVV5kGOhuPx+z0/OFqNZSMoeQoK4CP3W2O3gDSUmdIt2prf4Q
mfq1GUcvvePcdiEoEopaFxVSf2pn/1eN//abxzUMf7VlqN9cFCLrWx4DIY0L6bigSbog+TmlbedO
4gdE30OItpVn14+wmA9nOv7hnbmM75u2Vx1PJCmOopC2Q1AhhpNta3Op1PLom8wNsvyPlZ58G23p
cWzEpaOcMyj/cJQuzevoRENW4r/Wr/uwsEbkcp3C7+2XaFKhyYcXQ3WD7sweevCZc3vpy7sbZ9XY
KicyS7Dv08Eq/ByVnt7GjKfvNoMBqdjI/pdNLcv6zZQGCDghz2oXfoPNB2h/L+T0U/p7laT85zN4
ulMoEnMtYLtsrk4aTe9Ehd9D6Xeoa2wFnlRLqQjhYWuermHo9f9Nzyg1k1jClwut8Pc9w0k6BSpI
z7AR7XaxmoY4mGViF9Q5At+jlp1ZoSf796Y99X171pD2nZozaWjZ3VrKcNXU1aGy0Q5W2/1/MZSc
M8DTiIg/1FGSiewwOonwMwAKu8LWr52m9OosR5QjPVdM/xCTLovxN0IPKAqyGqt5ayS1gO6/9GsC
w2WaKMEgTdI57bap5kOSgUeQtC+fd/DjrUzlnnyg+buEDkZ6tQP0WpbkNlgmr4u9clIlPA6il7bC
eyMUB0nPL6uoit1wEQ5rrYesr888rpajbLUF333Aal90wKEHGTlzv4qB3WTmXqdCkdnD/ecdPXFr
sGR4wZGypniwxh9mlTnDymVwG0XBK9ehdhym3bmlCeDqY3dIEgJQX+hJUDJWp2cDZS4sU2JYU5W+
o68bgMLNzR0RgZc1xbYZ5OhuEiPsLW36cxIJxVtSfptUjTWSX/JDKlW/UAup3NhWe7CiSX1oO/Jr
WSUeUlk1d9Zc7ye1uahK7SoZ1TsQxzjSxOZ46JWo3w0xbm5RX2GshZAmmn0OYsyq+EJ+qrmcSmCn
8MjGXVgX+kUAA3aBvHRAIKDzFF4XsM4pljs1eMQUEcg+t3+VePDt6ywysOqNsXKSbvtOyy9SWtog
7gsqfJCPSqfZuKZpcJzSdtcvwn7Y9m6H3sH9CekWv8AqdJvm80/RYjRXBfq3kPzWZqTmu8gSonDR
9r6tS1+0JMsumaTvRmZiw8Pr2CudcHZVTcz7MYSCMk+BhTJeWbiqkVWHoZe6jSS1padWyUU3j/tS
4Fnh5KAqLfTA76JEt/2usIIbHQMmaMcKMEoTjIVu8GoylXYTRgailIH8LJrucZACydUK9cYKlEOq
iElQ21ONXd0IPD4oeD5DeUf511Cby9zSkGEMpelqSnFKjtI5uIsCo/dQfa2PFMttDzFQ6RjVMjIt
S/JwiNL0VZq16miqk7iWa0LPhUE0dTjCOUlrIIyjJpe2EZaenOuHWo4MlA9a+TCgpwG+m9pPng2H
WFf6LRauDzgx/QiwQXOT4SFWtOEYK1YOwbwuvdZO/yz0TFz3c/3CM3um285GI3/uOvrc+pqWJdsB
A6wBbMFWBxDGHYiA8AL02cMpS101Ufa9sD0HggcCDZO2RVjQ2FA21vZwdW/IvDN3QwCJIh5bC0OU
0vg2CchvqBkn3QXgnLF2bS2A9t/OhZeo5YDVcHSEwdN8UQC5ADrH6dCxctVX8tDcWHhaH/WuGRGF
QJLFS6p6m4Tlt9Jusl2oJSnI+mG4Q4so4HWodQepCa6EOclfB7wcoR2G6W0dCE1C5S6x3MYZXZhY
waVpS/om0PXhu1HUiV8w8M1WBgWg7XocpKp9D9v0ytSrtCZ9XBsFBIwJ+TZkOyxY6micNndd0ak+
bIt0Eb5LPTQhkaCQqgIhVSEuckoVBzTxt0bTwDHEIY2/Xj5ZcrtX8qH8YcBXPASJcc87On2itimr
bg8C8lD1Zvsj0gQ0A5Q9AreYmuHViCJVdzN96Kujo1bQhqVJSjysux/jSdlbJCyguEVeG4xbIQ1e
rjmwy6PWPI6q8WxFo3JRyQq4O5FZ7mBZ8w2gwNobQixhEB12Z63jhVw1Xb1ROl5sIIWDzCtmp/cz
BJs5UqRhQOc2/NHKg7kNWu7XXDMSbaPW4QyMGniZH9oT8EKePddWjma50NBAd9Fda0K0SWcVIa2S
tKcd1rMn1AaIEpaAqi9Z3ZB4oh4tzNOTUtxIUtFfWbnTHxuFPbNTEsScclNqHmIceg96VuqoOOZ6
/OdYBjdWZDceMsXmtux17KvkQL7DLMtEz7nkJJtQdroMkuHQD801ylGDF1TFTwPTDMMTURxuReXM
tSfFBjnJIAvMg9IYYQMyvh6ujcK4Txelh5YXtEMW5iLFI93NRaBvcB3y5FS/SbvkFqji3aDouygQ
X0Wd/KwngYemI10YWXZth/Ie/cujjp6aa8UmhAsrwo6qVr5KKDIjxwwEo7MTMslZdpyA2fhzU17Y
ZnY3y7hGQKsttnMjZRveH9/AIzQbTAfaXSqjRmFwY1SLiO8UareIcSI8AbXAH6P2lpzdz9xmXYzN
NGz6ITwo+MV7XDlPCOIE2JVYv2io8zKgbG3VXwQi/lJ0OtqaX/t2BolZd18bM/+KReQSDUs8kmVx
PzjtQ2prV1JepG7alpd2bG0HSQf0VN33rf6iW+CBBnPYBvNEUTreh4yMMjl3UhuwxZ6cDta4hN8X
VLIdPtdXBYZKll0YruIMiF+Ti9pgKI36RR1dBoXhBW3+mvQMoPMUlY5XCedLUcQ7ct2HUo9+BQna
U3lzFWbRRWR0WzRZX+Ws+AIgHgFNZTjOqbokS4niTUBjifZgKdIFt7+n8CidYsMneQ7D8RnFwYxt
Hn3tUTDXUgtniyGpvCEtblVt3jsmZ8EYZsW9pLDT0zl/0vrJHdDRVIzyhlqxZ/atsfBn/oz6oOd0
Da91JceLS3mW9OZOx4TiwDnjdrb9nT31Pe0nz7JQWhyV4sUh4RdG+YVc17YfOvdmYO4kZbR/5GV6
1ebmVY2yqpf0LEfMevdTph/bwFD2Gn8wakF5m4RRtql0A8FbfCdTo8cLjFACA4Bko09m6+n27OtV
c58W4+sAa/9YUbuHiNQMoTn6kdnHzbcpGvv4zsixlizvgtIaoy0YSXMXxul8JIP56/Mw7NSzegG2
o/6HEgKB3+qxEIyB1UkTmbJErS/RHQQPCM7PflaHm0mVb0DjPoX6sO/s+Nyb+sTDkpo76V7ZACpD
1er9s6EqYEGzjEq/aWq4dPY+a7FNkB7KbLh2AvNWE9IhkKmoYmPBVL6iVnucauuuVayLufmBAhEy
IWeeah+DX1C6JsuNpNDyvFiF/INeSmFod4UfBr03qMjP5IUngQb9fNQ/BqUKnTaBBumgdXlcvO96
ipqyE/RZwcJHzDpWXQmJzXG+71FglFHcL6tzCdGPHZNBz+gyHBwKJh9UV3Q5qsAGkz0ZDPNgK71H
sH2Fb8Pm846deAou1S4oPFQgEThZzWmUxPIikF36fdMdsRvw80gCDVnv5OqsntUH8MbyUgKASUpo
KQNZqyyaXppDgiEA0Iy8JAAIdub0Qy2eFi16DxFGikKavplILQv7XN1z+dUf3kj/bnoNj0SrHRuB
ltFEyOgiRL+sd7Ll6heHAYVkSJMNdVDr2Ov2339qv+3zes+gcy7V+RCVvhY4j0qNgkkhdl1VXOP0
eUbo4tSKIYVgs0N5PgHKf79Gx9lIR1GQdpIKnpoIXfFEgZzUnZEDOnEKGIaiYNRJedSmGPO+GURW
FHOmvO93Q+eazlc1Gyg5aXtUSLepZP1tfDz+VIsYBCfOb7GK1QaXzc5SRdayD6bmiKjCMS97aV/b
6ctcC1KIDK8bTNqXsIqOpnUOB3piTFHIoHKNeiNmcPYqU5JGWdqXecn04Y+NRdaU4sABgbPuFP3M
Tvx4xMhwj5Z8Ha4s1J1Xu2MSKJuPdVX66JUYF8gJIDeXqz3FhyHG9xsQ19zM49aeW/Ph8zPgxMv+
TctwDN/PqJAKzgaLTlqNfViqh4Gt+583ceKYWXJATCPKCmCPVrMYzmaVzTH7z5jai8Lc2/CoeU4Y
pnamoROrc6G9k7cD0arjT/e+LzlusVEwcMbYaf1Nre7rKf2J+Oe2asILqzHP7O5Ty2PhhWKnxoVs
r3f3LNljnRJd+5TMvBp/krpEjmQ8N3onJmh5H6IeaukLeX+15eo4mxHpZ8sBSfheL9BEQ7/7fIJO
NkFJgGQ97CzO6ffjNsJalxGrp3IYT1fY31au2tqP/7s2lkXyJoEbqviNRg4HFE62HmVHt03PFR1O
TAgyYRyAiFSBbP5dIH3TBKiXQZDOKPzWkSGaxj97DAQi+e8D+0ESoEBDpoOHKpjh1XD1o52Pskk7
hYUvVp689Bpkc1Dj28+H7HR//t3OasgsPewrQ5DbA6ojuXPabwbbfqzI6H/ezunp/3c7y7Z6M27S
MGlg8OgPFL872cIJDeOIM1nuk20gQ/ObT4VU1GrMusmsTSdY7icr2HaBuq/Q7vkvugGuySGBiAvt
Ohcr7AnxsZJuoGd5TP4Pc+fVXDeSpum/MrH3qIA3ETt7ARxLe2gkkrpBUIbwyETC49fvA/Z0t0Sx
i1O9ERtzUU4SCwc4iczPvN/zdvXFMNiHP7/EOzsZpUZEHYwROtzLm81SHwLUiQHlXrFAooj7yxV8
0IC8WIKP2vnvPjCP/hxhLbjetwAfQ8Wly9df76eV2L8CAHJGv//67aCOAU3Mlw9waf0MP33xRiAK
HB7ceo8O6QoqLzxvf9jZzWqs7X9QqH7vftbgj5E6oJee9+YwdceudAKhc61Ov1na2wQqxZ/fzXuv
i814yGonibr1tzDPUMKFEsmXM1cXa1a5zsVXXvaB9uW9yyBBCdC/QNj5neaMgMRPQOXvLQ+SB+Zb
wJwjFwDIn9+N+U7UynHpEZ3TPQHl8+atXKiF+zFeS3uK0NdippqIYajhhVI2G086Oy1HgRZ4m045
R4dyDlC1/dg+FS42D64B6LyOim/YQhJDLJg+495lBvsCr2vi4bN6tO9qsWw1rzgoqw8N62pwnA8O
yHeO41/u4M2536YtSoDAqvdlZ1Fd/trZ5j7XxaVpq61tqv2fP7B3rwbqymKgku/nLakyCXo98ySL
OVPZRl+uQVFDAodKL16y4KMm4XuLgEjjHxd7szVXE+N7fsbFdPD+nAdh2nuh5z78O7cEjXgNDFFR
vsnPsF7toDfxACcY2rww0aSn+wTduyS2d70P9s/37+mfV3vzhg4DNWeJY9Uex4qdZ817R/ucmh+E
m+9fBB0HdAlOzxWZ9POWEw8eTlcSGYuvzVutvtEDXBRU88GtvLdPE7H/4yrrWvlpYysHnBBA2dKW
yzHDCM6XVyDFtDXs/8fbebPEJeLoYba40GCJjV99K80npzE/2AreXdkolSxse3WK/2+Sg9Vxfaiw
jyIOaPfa+GK5zR6L5w3lrkhrgg+Srnef3T+v9naWBu1C1rcjV0vsdjthRIKNRDj7+D31f1l8SiAV
rKcpMhH6im8Xg9vo0tLdmcWgw5AX467yvQ+e3bvr7adLvFkJbZ/4+qBNrATP3FBVBqS9Sa1/a70x
sEvwyeGGxv/X9UY/J4vpbtTkqZdOqjO5ARNWJyv+aAjy3S+HA87n6IHt8DbNT+zZw5eTU7Sj5TZ5
7nY2sDc1IZhUH5ymv1+J2ppB9rvq8szfSlC1KQM9zwh1VrKQZTXHtqVD0vTXOYn3n29zv590XIpx
MaTi1uuk7q9PbzBlavSMvO1jzdv5zfwZ+cM+NdIrrUj3lXVBu7bOuw8u+vvC4KLU2KAJIdT9jSpb
YLTkVlik0LlYtjpQY1FeVe34wfL7/dXlKg7nkUuhch23/PXWAiyfF7zrWBj5smWkhAZgBVHsIRtM
qgruB9/Zu/dE2kxFlIng35TrDUNlTtLwPnVasQEXti81+oXjtP3z7+udyxiU03hhqR1SoHlzU3Qh
yyLN54pAC1cgoV1w52HT1x9sROv/5teyHfV2emc289uouN6mDPqCwjcr/GqftDqeK77Uu3s/d/OP
VOLv3Q7zZF7gIbYHlvnmlE3qAfZ7AMeiEvYdbs8bY3RODLf85QB4lddbzEKQx6NPebNHGEtRWqVn
VShICxVBEYedpjkfnEfvrDcH3i1/2WikCYR+XW/Y0cFG75Zqbwbz1sGtttKDC4y1tiYMFmC8X/98
JXx0uTf3RGo94muiV/tmnHe0JK6xBAjXLkCw+mqJ9unfuBzEEfg9FKsRifx6d3UqdHNwBy4nIT35
wR5T8n1aW2GZ+aC42g9e3nf2JSQv7IAukxHk+28WBuztdFR6Ve3HpQonI3kGTbtF3gcP7iqb50M/
ewct+Sjwf2fj/eWq5q832buyWDD6qvaoEfAKXVC5QZrDpQiP+b+9yH+JLvWvoFC/kKP+e3yp96Gf
/wPpUg5bzb+mSzEz1z3/x2327flnwtT6M38nTJl/UMlgsBnYAhPODM/8kzDl/UFtCBoeOm3wAWw1
+Kl06X/+L8P4gx9AlcAsDzsN7dN/AKYc0FPEdgz7r/NGq6vA//nfPP3khzj9bTts3/z3L6CjdXn8
vGuSXVObcJi4gpVAIvwm4NGqpcecJSh2o+CACIl+ui3+2epMYyJXRAF2fpsmLc0rhWx3q2luukEg
gGQHH92vBSqdD97Z3yRy1ErALTk0mSAvwSVdt9+fYvEF3rVdDL63nSffuE9b3zoqtw02qSHHU42Z
835ws+BCrKqgBifhh9r09Js6U8v9T9/ifz2qnx8N6s23z4a26Xo8Uh8yeeRv1etYP5YtTERsG2E5
hItf4YY9DeJYz4lxDn7+e6rKKZoUlhKRj4nFfppEe+6ng7dF5a9fLE5tnBwEEdG8WNajGWvOvlGA
oJbMQIJUl7s+7XDbzBjUvOy8ZNq1SGsYvtBvG6f7FoPk3Ypy6C/sIvcvEXimV6Kd9TNSmS5q6Uz7
oVCZOrVMnN16qaBRVHnOedBLLLGQUjFjwxjQizXZ7r4q+vi8xPzvEnmiF4m+XInz7Z5JBBFlWtXv
R8v+hlNWSWRdfOGDoDly0vk7WoWaGQsNUUlrW1HiJbd2WZ5PQWJ/LjsXsxSrmp4Lw053U3pVlihX
Gt365mnFk5vrV2MqP434Oe0aOrKRWWeXkKzLR8CfKiqlkd4gzE1DDyU+iEDDuVAwzEPdaObt2Kr2
cmmcZWON8bQrUqf9VI819nVB3R4hazLHWRrWEZ78BNDVnvG7NmWBwsG6xqDS/oZqKds6+J4je8q/
VY0/SRITTb+Oe21EUJIjWRNWnKJ20+cf9ZKgrar0tAzFUJi4zzhtD4fWVfZzOTZZeQbf5EIz0iw+
qMDAR2AhkBEHSN16pA2fpaM/uh5fn0yaIKzS1kWFUX3VZnVmtekLfVvGiNNuy7EO3xU7ykMChAXp
mFDnud66hxlR72Zyy2+BH1OqMfCoD8R4lPM0Y5DudJe1bXX73slkOMx2HjrOeK7nQfrJzPwiKuxO
2+QL0wzDwgitsL5i3LZrJ0M/IqCrNhQ5GQq0zPLeQ2kTMjt7kZapPGhy/p4jBdtSCmcgYoTsZGqj
jmF3+sPI5UHM9WPRLgbitLg7YMKKL2GRdxjtOnc47vWhXWJvpOkIBT2/Aj/qXVvokMpQ8/3mqHe6
vqXTeBv3yhxDuuURmBv9hHHxPO16Pw5Qmbn2KYmT+TAvffAJoCZfaYPr9yJ1LQN3HWdncaYb18It
plNmYWkS+bMnz2mQuqe6rIeLGgnZupIZzNlK5NFO1JtYFW56zcVvIWjH9Fywm2wy04d8ilceU8X9
/JzpenGjNe5ec9Y1uBS25l3iGI478OgVbnzuBoNMr8VAKzrKUEhRKsOM2VzCeJxRuk1Mn/hhKvHu
u9GFMy0Hhc+u2HnOxMexR1kiCPOLa4zFJicpHmH9HqEX3+uZdDYdVp70lPs4wiUCv8CFCbLFWXT+
aCrPLHt0bud8wS0P4PbOxDKjCrVGASIW5nPpBcYzGx7aOyctYXNXaOEGpmHwhS1m50tlx9oPHauF
m8Dv9XttYDrWiivmGeLYa75rAsdUYRbNToPZFpZqHkKlyxRv4VGFzTSZ4JlbuBi+joQuztKNV3bL
3hrLqo+cKc0OfpAvD0i/+nCc9PbTnLnB3g+Gg2m048EcM++l6Dg+NrpBhVHUQ3OX1qCFIzVU7vmo
JCaoizQQguRIGQdC7SLMbTlsMofaAaBYKlgNeh9nZqEpU4166LtTcVuzwtjTWK6nanLwGyuQbYXL
AFd61ztafsRAKS4+L8Ho+vc5rgz+Hk2o6pbQx4Fa/lj8ZloFf7kRX2W2ne+CoKVQmne5u6VMqMOX
qaVziYFIEFWodd3PHj7D97FXX5hzjBaNrP3kO6PCRSjJfbjMtvE4m8s2w5F8ZIhe9d/GEq8ZBi6s
Y27VI77fOmAxA7WtkIG0OLHycZNPzrjN+9aIfOgTR0t6RGt1n1es9knsmiCezvrYWupVY2fcr/bx
cdgMLbbcOIZT29PVNJ0SJ/liTXFQR2r2F/aJOr5oCq/8RPmH0Xx8dk0rqrHd+zZ7zh1GdVQAF1wW
T7gdTieWzHTyGLa9wOozxcizTjW1bVtp3K+9y3st4w8FfukcxxgFTzOwYegJaTWOzf1d6qvxQFG9
ukvmqrwzXe3E+z4eU57/ZW/39OuWWFeXieMl26zVDGjKyCZH1MaHrOorvsSa+Fj02X5SAwt8WKpb
1x2GjdXAzA7z0vMvgtw6ytECt2yBertXS2M9zQgN+qia8Mi8y9Zhw86Yk10ihhz/1aZDJ5oKX+mI
62x56aW2+yDZh6bQ7UV+iU1nFWlJmeRh7Tngw7oqGTZNn8W3/FuzH1VaRThDMpYmZHFj1RgbeJD7
e0TXyr2hIWn0+DdpCm/1pva3SSOX69ptPCTg0JgNF3/lLYZp5a1WJ1vTl8UnR1ROcnBmwTYwTN19
NXsXkz1YOxahfpwzH9/NZai2QQmBfKMPo2D6dOz7+1nlxSnJ1XJTD8LCM9jS95VbLheVIbXPjJqX
ERb0eyzHOt7g2DkzxmUEQFc0T+WC/+wcC+vJ7MQY4eQbHESMn0RSpPV9q/LmKWl095IpNXma4cdd
5ZoKdm5io9ebp4BnynuX4Mywmzk2MjS51mBGoBU8SJgICuPcYtfK8kd6dMUt7Bg0Tfqotsmi4vOl
8Ls73SzKPHJ7HUtzWWrWMRW9hfQ670fEYF7bhGSk8iloJ/8iHpt7vc7lc2ZjutusXvK8DD7GXiZH
nZaL9DQUBKnoidtmN+lZeZjHNPnkGvWAxro23RtLNf0YLuVcPeTwQhDYl5Vz5qQag7P4FqBf9QRn
v9v5auMy2xtzoKbqzGlB8G+s1mq/d1OSbIrO3TaeKna2lscntdj+bpROGxmGVd/gSi8vcWwxv6cM
5Oqb13fQXEoWS1q7UAJtVMxzl0Jx57g6z2M8Yf1k1g9m2ZSR1RgTcqWhPJuyQD69bhBJlvUXOZY7
T8tqVFR2QXwljaayiOB03rS4qLPjbGipHbGyxDaG0e2G+YDNy9kyWr19qYvSvFddBdl4yMz7sm/t
LAt5slOwCXLf6u5iSMnfs2FgK3DdkW3G76YTAJ42+5QyKNsSiaS40GL9wbtmMWe3qXzFgsfWeAID
GBPVubU5nV6P5cZswbQNbRO81GkSXATIxL/XrR70IrQwpL0vcp1na4xCR2SulIFLuGcMaGGbLq4j
AH75tKuSZD6pFhdrlFvjI3UcRjLx3z6llYtsBkUroESrk0+WWNrLODAGpJWNPZ1ef5FIgwWZOxZ/
dxGeW7wto3wCHqKGjegdP4soanEDwkYszQQ30UI6Sfdb6lTFi2sV9hH5Aj9mu8j9/SoBLDNOxnSC
9SGfkOPLR/xyWZ+BlzNRbHQuv+UO8mleBv00EPnv5dRw8az0m6jrm8AI25xz6K4aqvFciQH0iK2z
MWG4y6/6dp+cAmwW//b4k2AIrm2n+Vuq8pcS8/ez6f9eWv4/MOdeG77/Oufelv9x91wOz9+F+jnp
Xn/o70m39wcTxxQ2qUVb6GDW0aD/wjoH+h8o0kjrmGddC8g/p932H+SdK3iIYf1Vp2P9I+02rD/W
Rc6cn77Ow5IMvkmz/yztZr7+TW4JmJ4QHh8Ix9QdZGNr7vlTmuvZyzRT0XV2+RDf9zS+7opJE8+m
cpeDbM3g2NZOiaOFittQj51u2weSd6tV6+Y7DKvNgVGpU5cI/IMyHwtWXA5Yl62pDRLYlTM/CaOd
z10XBDsuDsl0nfhenEY63AwIKd20qTOjJt4usy+xa9W3rWstjJ6lwrhhRIg0NDCKcymq9OAlCSMw
jjm5YTWBAvBQnm0q4XlfVRfkG9PJlp5p7sHNt7j5qW2/qidpaujWQ5pplkeqUsyPdd7KeTVC0C/T
uAWN0CyVdpPjT35TGZXzXWZ1Y2+CJTVl2LcNdL1eZTaA4MFsOsgIOB/Dey/FwSpJaKKY+/A2pZN5
wSHnDe7CpjJdGRoMnT8p4S0Xk2kUuwYZw5eso6QSdVoJvqnEDJPJjtkJHuSY2M9F5cxncYllXunX
4xcSgzgIZWthrVXZmxwSQDi3vvyu1eWCaseawbsWch1m4guoGGRPuuvStBS3PlmXBi3XfAtIQj9j
5Htfj90Z8YS7WVz/RU+c7j7BKSkPO/rcJGrYnXDgmYBmkWpWl0ap5Ve1rE4287ffASdMzBkpN1/o
SQq2QcY+8NdwtFL/lHDqxvT1e/GMe5zOnMgQpIeuhjCmz93jVDSSkLrWDmVVyLCTwOm7dlSbODef
KhsXpw0UBY2NVLuKnZXwNAxD8hJjtQVqjsJBkxufCkNdtWRwlyruLXQDgf1lUOkXRjSWqHO0zCNy
hrLvaU2ahEMJvbsZGUFtiGatTJ6RQ9S7kTD6kiDicnb7q2QlNXhFZbtR5U8tDwU5AcIM6Kq4ks83
8RqVFDVoq3V+7p5OSPHN6YCLOTNuVHtHMjbBAvL9h2UxLCpCOYGYnO+XVCQ7xuHlobPwBA2r2gc4
ZZmM6rVdi3Go6si589RhrKzM7wboKvvJd6KkWlNxvyu3lVW/uCPzLNpkDtsES6kfjgEHY2r7Z1Xn
GNL33eNozjelAPKhFwaiCYPCTEreKHItR2zRf3ExISU1bOtNbVhfG1fhVpq6uIaY4B28lqJQQ3oc
xo6v4fTSz0fApKCCU6wC66BVm5FBu6kLbtq44M/nRn1fNMEPiiIkvMKstr1QJ+l0xUYQJYQ4HgeA
DbRkAT4I7XfpaPlGlebZA+7gmraVtjEdMITPvggMEx+VbS67xBxHIrlZ1vvCNQuSd/NG6AW+mH5O
Q7ozsq056eN1Z1OlKiv3MyYl2E2LyfqKSMd1wsForUcSRocFFCs8VGe/kFFT54FOYuWSN5nGSfUO
b1Oh2azV2cLvXkA80WApdoCqI6NhYk+58xAtvmaeJRDet0Vs44goextttxncepQLQq8RxlbNdkB5
SgXhbCftTsSGSBgZcbU4JKUMPpvTWpTx5cwGpC/DdsIUzNpY0JDvbWYSnc2CHWxypeNWs7Nnyv+a
lVnthlL8rS2Xmi6RF3cncm7mvpqmfWDOJ76b5nm0T3AVGP4xGHpKtexrYSONGfW5OAvGcTqVZe7e
oRV18o01EpwUWermm8RgWGxpW3GXyCC+7wZvOdhFR3KsunZT2B7kLF22m5xdY4fmPYuqmdId9bGC
IYgJFS8kj9xlSg8Nfz3XAeiafLoeiFAuxFRK/CJL4nN+u4b/yeBRKF0oSIszxWdUVafTnOfMn+eE
IT+cfn3DoAbgM4U1TRRMdfzSByQlpzjxmwcFjZA32JXuXd14rXFRYtr7EdrT+K1ZRt8PFcKr2yO8
0vU8/fmYMxkBmZ1scHZDCsw7Wf3L3H6rd9gAZ+aZm9Q9EXzBAJdPnuiBTJXYmO4KUAuieShq2kKu
v7Snn2KFdyq7r0K1n4vemL0bHt13XGjIZeFR/vqpLJwS9ZTRpF2vpVY0afGDU46fFzG6ocwai9ne
5d5YyLP7+pvFYgybUrTMrWr3ReZeUcwnOBc5QeY6ph6IYGM7VRXqiGAthtUJdPsXdOBLyGji2bp4
/vzjv7IH3358A70y/UFoX4hXf/34rvJamcQ2H59Eex8gZkfvfpkw9fhqF7VSq9xAnEqqCaE0s31e
6jaVpym0pmYLx3Sf4Et7YGjnA33g7zGNRQsW8QXyY9fxsL745cu2NTcIOlRQO6+UXcR8wecyrayw
c0ibE8QHVjccXh/F/7fA95fw+F+1tv4HRsc0M39aM795xx1E/b1Xz+3PsfHrj/w9OCaWxaWAMSWf
f6BJJ/r8p+cJrSA0KUz40A762SzOwCmF1gy2qFABTUy+6WMxwPjarjL/oEEC34dA9TWotv9KdPz7
AkeYiNxrzf0s3tK3QwYoXPsyLVx3N83jvCXkCkmunfNOz28srWVQF3YlHo9A+n0O4uaBEoJ7tiSV
eRwYodka+KwtdWXtKiO7/ek5vrd1rGv4l3cPNCGvHmIaWB+Qld70yzKvHc3OHpL9MhrxUxnXMdX/
qkjqiGS02MuxTaYtxaXqyKGslxek4gxyuhCrjnqszXdLhm1RY/XtvZYO7YqibO2NrRkC+8dxOZld
ZwALStLslIulk2vAb3NSisoEU5br3aYXcfyD5lPApHaqSAniIuYItKHz/PmtvkID39zqqkEB+oPI
AZbDm05cmyqLqfAp3qUkx/dT3XfjLo6nlBFfAyRA1meMwGvL0degmimtz54qR2pD2M4phnwYRWSX
Wmfm1xlzlHtK/f532pxG1Cdy+8En/e2UsRB+0HNf4XL8463wMfUbc9CDLN3n4zKd8sqrPvlOsFWM
xZ2R6Y3XAyXST1M6qd2iBvt6CaR/zBcPLaHokj6Koc3iJi+yc3eZx90Hn26VGfzyHPlAiJUQADMW
SEb65jm6gqaOP8FKlFC57kTXTBxquh+NRlkdqqwYPhNWXNNHiZnIJrFzkNN9oI35G0DpzYdgV155
WHyO390FmNtD26QSi0DU1cpLgLqJdZZUvsQ2uHhMKL9vZqucI2o0akOrzaY2LYrQSz4tpGFoLmvj
vGgWc9t6o36hOfCmmnGMrGEhyE4GcUvcK51QaPPBRe9D1cgxT1bmjPvJNrJI5l/mVhkwZvX8MyTF
cu2kFJ/bWREDeUzBj6YdKW28p5goL5uxIjalsj6AC+yz+9QaUw0XNxO19iC8Z2RLBn3owix3sYY3
YETluN64cZ9+qvSm3OtKv4CMs/ghTS2CqhrfuxB0w3AUKii0MJk7PcqRGz/0MTYlqD5RHNM6tbOw
HGSwCwZ9Gxj5PdPD06bVsE4FBmN/G7Eu+eIbRXPIGmC2LdWhjeUmOoC1ZfJ4l4nvt2PptCKUQGx/
aFppRI1ROJBWeL5jp2IIuDlZ+oDg5TM1vjmME4xPFkDDXwI6jVdatc4cMpuw78w+3spYZcfUmcRB
s5v2OWb0MK+y+sJnsmvXzEN11hcm9AALQ0CQtepYteJqqotq006NQ2MM60zhlu6tQeNpIwcNp0V3
9eCcjfoCJGD6I+jKglJ1MxwNTd5ZGENsKjU81mS0O+oF417v5+XRK4VEj+YG12UTKISRQ0bDrA2C
L90YP1H5Py2zPjTR0DvWvSDpiGhC3GfjJMtN6s/BfY5HwktSyjw9n7TAvaJ5PdGZM4zQM6mVDxqj
uOFc8OyRrkxXiZmSd2jKrO7cmcbQXBvu3lGCdsHU3c2VFLvCayg1ttiQIL4ouxBB932a5sEmKY25
jwBiT2FZCSwcM77EyRTpjhqscSRBy35QGXGiQK8xwxt9antixVGOT2UaaD/wbQLwMLUpFUfxZUrJ
qlzBQ15gjmzd3I33eDF802aSg3gKKCeO6jqeu69GY5rRFEgn8j1LiwQlc7w2h62jwRTBPKHZLnnd
bjIWUtVO5vmwaDdpk9+UsdOeitbf2Mrtj2WxWBFvY7yz+7j7XpTOyTHiZT826VUlk3GXIl4CaeJ9
0wY6anAHVnaGTx0pq/B+CTK+MTNTkQkbPIzT2ACp0Zrn0xCnL5aa2yv2Gp3EsU/Np3EBSCOMwt0Z
sRgO2YKwLRKLMvDYSeajAsyx1WTwg6O6DcE2dBFrcryWc7Hsijzr7ueSxCwRjX1qwGLW5CVAVcph
I5XD1G5mzNaF06iiCp0608mlvOkLiJLgq4Ur35Hen/tI3dn+AkHRDufAzi7iilpG1JcFyKcMTP/B
aZdbYQbLFY28Cmyp5V77TQ3KZ35IWvIf9jvngqZVcoBgF+80KezPylrauzSNz5a4XM5EVcU3BU7k
F101rnQb92Cs9OIcr02wo4aZH4og1wrAsn5G5Uek/UvBO/rFZGbLh1lhVtclZeLDOn+9K7sR2sac
A/UbsXlN8DfvFIwXisCTfOhrWlZ5NfK6wQ/oy7l/0Z1lvBK2UltnUfWC+WJJeSVxi/wUtK0WITt/
zOV8oWLMC9OWbQx+SxPSyWzOUrcCkF9YxfncasWVvyTuQ4ZYBf/DcarPBaOXO9/OntqAgpbS0lus
KZorO0nKwzKUfRpWY31meFTVPH8M7seaqV/2XeO2pTG00c223bluSgil00YMqJyluKQn2XWS9tZO
eNmDQDSabfBvaeWmGnqYlTYS5S4ZNBNbckPt84X2ufA6daZbLWMUCIDhXQRVhD5TJCG9NhoWHYTy
rMU73qvSY2U0+eOYG9knvaj1F5ks42VgVl8R2GbnnhPII81r536iU7ipk8A8GmP+ErjNXV+ufO2g
f1xeI6o0kfUuZfbwMsES61ggc0bMIb3LxiPbqHGjvM7d6qZaOtwmhR9CNL7jmErPLGuivw/M/lgG
wU43hTxz1XiRu+21NzvWlum2K5lR1tda4URFptTRk1W/mezGOBTZ4p3bCTbDA5qjvuwBR40yZFid
iQGlOu1mgOUKz2COI2vK6OipLN3Fefy1BqO0SREz4I/rlodkTqBpD/JBNYl4NppGfsrMvNzSAxO4
/w5qU/S2syclxhKttHPmYO0pssDAHNwiSHhBbXM7BUN6tNPGu7E7P92kS1PuqpIWuvnaYvWVfd1X
Od2nxmZ9c/INB9gvxbkg4vs0BzWk38r7Ppka8AvM3nPmA4w5PjXDILeKBt7LbFe0+2iVXOaxR9t/
curI6+KRch98zR91m5UvXtKPV83QJBsl8fmsqWhQJar105QHsmXKW6vExoQ5SulPk7l3bId4oume
dGxfBjMMfegn0wBzPRHY12l93frnKhvgWdV+QjWjGWbdpkI0aAZ8+0noFeXhqbTu5sxTVB6zuKzB
4zdNuhm1rDZDp+/AJJWOEZT7XlrVt5rDqbxshnz0zt3KYuDC8EHEf4chlEtEB42uRzoLSBxqfHRs
OjxYKd/J2qsujLjs2Z+CGtGN63TdFQBg4R6Spl2LlvQfkqOuT427M0dLjTCLZgqvGnQmQh6vtc4X
fCkuDXtMXno1U+8JsBe9MwXx1RXLvCeBUYDDp7TGHKydAPtMPA+TLiysUiQAIwFYPlysPjDVZjHn
9sE2SuNTr2Sxt4ehvJK1z6Y7O7gsZ1XwrBeddaAcaG3r3PeYA6Qd5fHCyrTY1k6P3R54sY4aLGPp
Vp/a236ZaR0MbTLD/7c8XE0M6kKRpg+TtVGmWMQ2BTAEwUh4UBS7rss/eUwxa6fK7m0IVG5y6tOs
2A2UaLfsMvo5gkLr0nJxWC1HET95KA/UtjO9Qm4GbxDzNk0z9qZA5dQsJknhL+5kfKZVenxWmB6z
667d1kdZu+OdNdjNmdn3cMhMfaDPnuG5qNAXfOUJEKf1dSyJQXP3VjQiPkuzgdhsqTBCMCEbYZ01
fKWZkp31i2aoSMVZdjLN2HoQUre+EGtbW/7I8pUexbLFvrYGjqIJ7wed/9SLvKy177xqvFNxQMlQ
1J+rRolNHGQPGc+NyXd0BWZ+hZ/cQ7ukfrTYFgHrAGaFGYJpaxbt7dAM1oWo5+5iGb0FUQaouK7W
CyrGblPfgoDJ8kMO/lSSxBqiPsh4iCmR4iGe4+6sohqrC4cKrJOfVWkX51vb64fqQpYQhJwY3+kD
RB9YWmncteZNtgS4Py6ZKr5jbd7TOUrc7yrRmnPdh7VZG2Z1VNIsH1NkI8JtNbgkXgZdzZX3msAc
OwMzdCYHTBHWUcNrbcizI3Grh9e2HJfVoL2fQkNNw961GgfHdshUHUyMuYYPZtbP4zi2X31kNY9Y
r7hH22vai7ZQ8/cyz5+mYmjPhLGYTZgKSYcIk4kvbiZIgBdVJEzhdeZzTi/mOJtNctkhSD1k8QCu
QTmfrFYtu7FPLtu1yWGs7Y76tfOBQ4N41rq1H2KvrZEaQz+YUm46dhFIR7onCDfopKB9y79XdFeo
judXvL/VpXztvfSvfRhJXYMRqbU7s6yNmpmODehtd1PRwxno5VRrU4cWPP2dYG31FGvTJ3Wa7rpZ
G0E8CXpC9mt/KH7tFU1r2whpFDOYdJLE2lKqLKEhb1gbTcHactL97saKE1pKdeEPGz2v44fitUGl
1X63d2xeGm/qq+tZyMOr8qz0OFIB/yr6DujG/GHQIjDbOA80iujT1zaNlRiRoQIttKX2A/nodF20
+ZFzl10urruX7LVbJr3BDw69a3feRmmdC+ao7sShe+2zleWIxNGbCyySjG5pj9KW7SXP/KXWs7mO
gtk5WKLVoxr0m8JpNPQRpIytlR41J+gQS1Q3Y5eVm6LwH5KmWSK0GwSTlnpO2mRE1cH75QwUKuOp
vCnywricYIx+8s2FyVN7bRcmr53DMrBjhD1B9X/ZO7PeuLFzXf+VYN/T4MxFYO8DnCpWlUqjZcny
cENYbjXnmYvTrz/PUtyJqqSo4nO5keQiCNxtFrmmb73fO2xx75oe2VEW3GeyQM6Qwrgv8rzcqNdp
PTor3+WO2kkR7yM24CAkS0IGmMACHEGgVU0ZcgxdzNZ8PwZDUp3MJPXSh3yM07XTUHJSfA+XlWp5
UtJlF7Zqgzb9NN6TvLjPp56ea5PfzTCJV2ZezJuwdrnMAbeXn+ulmoJ48oaBRlPnuJjJadZdP2XJ
l7HAQJWWrE76+wSd7SLGWX1lNuzm/mw411Nqmypwydp0Jj5ZnDgx7A0UPy3ajG2VELGCHY73Q5ft
Q5273jVxpuljkRXdRTH648ZpspiStdtHNLdsTWTfQiwpnZ2ep9Heb630J2267ks8iXGbuGP0QGFL
zK8vjcu6GMYfcunam2VuukC30KiqX5bF+7pPLML6SovyAULnT32MBtzC51psi9b1hrXOYYBbHP0X
JUcN4CRWF0lqpk/P8Ml/IN77uX76n//6Wcmyb+dPT1FSlQd4rfKP+dcMiGv0BiwWeSA6IOnwnwQI
8wPtFvRQiCWf86uRq/yF8cKNUPJ9XfUPAMKUw8pfugPnA/A9IY14iNAEEcp36S+MV//gYTrMhQrw
EzQZ2/3fYEC8guxw+MWmBziK55uvci+8nABOIK9uy6WoATlxnDs4Ef3WCsuT6fTH+BtED/yx6PfY
rpLEAlu/7EFVrlU7aeK3W5Xf2hQ9zvvZLhbmvQ1drfe0v/ckDiQWL3UDr7og6pODl5qujVz1VTpB
Vutixq213brSurdDsbFgLXAZTskgm/OrJc2jEwjj62/JE02FveMuQkvrCGAc2s5pZ8kTY44gduFm
Mw3NhrL4lCvH63we3g3kHyULM0HpWQ4/pQNZPS3F3G6bKOzOLEI7cMGDTQCNPZo52uPswvG6/h7m
br0ty4EExvGOv+n7YNdfi9ndlRQd5sob/QU6Xnuj22G9cc1wX7KJfXJk0ZzwKnntgIdqHLIOWBZz
THUnDn9xaqJazf0o36Zaf4Wi43Iuuo9e5M9YPXBRifUhGED8VwV3lg0k7HHzYlW+0TB43ctQPwBP
exab0mIfO6xPXKYRQAq8oAwonetyqriA2aG59TmjEk8rV9jc7H1DWwuCDpfCu8Q+7nyKnB+6Pl5U
0aSte335iZPWqeQi9eoHkDANDF+gjqE1TCfjWPqTiBhKBInr29DMMHZcQpcre2RBD+plqQN61WhQ
rRrQcjQd3B7R4VsnOrGuoG918CPYiND5sKfQ6iHZ+tiER4HwcBb9ZFtQ2/2ppdDXl3l2YpRHyuAV
gmW1ihXVvUzy4psWtvfhuCxBCMO2RO8xDpuhXvhupoAwr6jzAC76lhAPe2t5w71UDHupuPaCFRL4
dXXPnWY/Kz4+nQ1zsMS9jQe3tgGHtZPNhIvWiA429cxNOqfkmZHNschLs4IJsKEVoz+6de8NnyIr
Nx5FmUPYCdEJcTBq/re2SfovHf/5AsdefwRXHOvrbmkXLyi5YlSraW7oT5RJYdI3DudtV6f0+GVL
LRG5XRcYOJ5g41uU1944Uy7E5LWR+sZVDctPGTZrr2uzHx1Wnw9tRvIY21BmbaDsL7uyz+ctHXNt
h69FNX3p5GykuznUZ9UDGXxw+DTbe26rLpX4XlxjZ1pthkyrnwoedm/hAO2uSiHyy7ghjb3O9P5P
c4ZNtcoMEV7nXV9Bj+jaS6xtdZvicm6cVU7ZYK6SYSGvKZdVfmm1Xv9nbI60AbTK/1L6CAhW3qQV
X0vPDa+xvB2vDI9wqsHIzX3eJ1mz0mp7CMqaZNN1D0E1W7dIfM/juAdsGuxqPivz0DC3HTxWFFiF
xB40J76E2swlADU28WTddaMAERFRPaxpLrqX/tLh/5zmZvdYJ7F2E0mnnvcxcXozDseQAzai88AV
2sldljWpqoTm8i1HiG02wPx50ejtHruGmpd0RDa4gRz7Zt5zFTGyPQARXKqkj511FSfeFmpRth6a
mihl/CwLcWMmyQwmiclmGAxWBhAg3WpZl61rtCvb6j/bkZPqQWh10w/TblIsVdIa8+GsNXx3Myz9
HF0tXaSl3AlSdDlZlt6GmV37azkX2n1UCRCClto0KBsK243MBngGziIAHmg3ufjBYVpckQrgObeT
RgbgXiigplKQTevN9pN4xnG6Bng7U+DOAh531TiiJ1Me6KdVIJAzi4/hPAI85dFnPG6uMgUYLSBH
tYKQvLLILrTcl2eJhTMihP86h9kF7BQCoazQ5pAMrkCpcbCgiNOxvZ0VZAW1wtw4CsayFaCF0Gda
Y7iaXsQK7soV8CUUBBYrMIyKMt/Ei1997hRURgzeF43m1dq05vwsrwEyCgWtycF7JLEcHpiC3XIF
wC0GuF+nQDm8UKBCpAqqQ77Ct57t22qYzoVVexejAva0OJZBrsC+tHLtNYmLJnCicY1jqLXRTHkD
8f3SUGBhAWqIKn/ap3prbJa4X84WQ9zhjCNA2mn9DFqxrcpcu9Erizu6EcWbqeuN/Si9Yt9Xor4i
l7rcWjTMMOkB0DRdYrHKxvxoAnUiCwDzTLj/OwoH1XSjplMJNjql2WOj0FK9tJY/J4WgFuybX1uF
quLvXQRDX95iUuuuLDwzo1WhcFhDIbId3ySoFUqLatPFW0ASMv4M4iYKzyVgdrmdwrmtg/oZ8B2L
/Ivt6BaSgOTGVKhwV1cAxM7fwWIuHttWIcgtUPKYJIDKdID8e7AbO0ChB+PRgBfnPOPQXHquc4VN
Z4RMeYDVdmbalEZVeeE6GVC2ni7OlyYzsuuQQLKLRGHeyFSb8yHuZVAlXJ20sfL21jxe1iMaybLK
k+uySG7HBK7nyn2G1WuFsIuuHq8HhbrHmiAosk86miEjqV3P4PwzTm8qyN6tDeibUb4vFJzPhdXb
RnX3B20Xb02MdHNjZG1dcuvStV2jGgJ9xLde5c99gmVucwRSlBWreqJ9Scdhgg6/0cW0XNqT69+W
hT+fG27f4A5sp+de6lkPMZvFjpwXDLkBYC6Nnvgoj05Gploao2puQBharm36HT4utWdCk6tWVkis
TGuiJbSo9kijGiWRR8ukWOr5a44Y7jxXDRW37afvaC+XjY9ndYFTQGVd9kjlODwTzhWB4G5X4yj+
samoClPVvMEjatkaqqEj8hzRpmelm6Ehjy1SzZ8RSv06MXUMq0zVHIqgeG37qas2RrpYq9CKvwG+
EsLZyYVMNdVZ4ki2fyJvqMgza1ELFXm3EYkJUX8K+fvjeNklqkllW83jUC7nQ7X8yGr6pghKchzK
+wkYIXzs2J42oig/+Z21cIm1PlrSXOdx3P4ocIzeYWpO87auACXaaGMMCGCX2L2h43pXqr5aU5s/
IwulxwCYsIlL5aAfZoQwGMYa1EdDywTxzUnzDLZk8zir/l2rOnkhGhMc2c/txPtJ7yrclZmk45dw
bufuWK75nN+LOY7pdZZI7eteezK99FOEtXbkI9WrRZxvaoOzjTi45MltamPfK/w/8WP/VqIVXtmJ
mHAEh4YXRFVvo+vBCH2l12xUue3KbQow4KJ5eAQAkz/i5y7o7AAML6o1GuP/T2CE2dpfqTbc62XR
8aQfTJbM2STT/HOi9U0e+LRea9WDbUVn3Q+5kA2aWfkx7F1ZE3tqt0i4aeW2EW4BwCX5HVF8w3e/
1ZIbmjoZsfVVlSQX3Prhosyx/23JFtemzWgjWO2RHT2wEpJ9Hlso4XKtbJ4yRzCF/Njpvy4zol5D
G6ddUoeRh30Y3INVLTODWFjLRgeSDBbUY2Pp0YAgy2yoJRKLmi6pUUbCpIV5hBe7j+sF4TZNsa7n
1rxxYqf6qKFcgWdatNVD6GqTHtTOZDa0z/2yWc1NktxXSQppABkiBPSudtMHqyiJd0Gv1v3ZSYkC
eNQmlMNWJpKKGN2uvs8VqwEqTY4+t5SBs+TsQrVmXNIpsK8TwA/7PLMiL6SVmE7dzi1a50qIJP0D
WkcebWhTWvvO7a1LohbEWR3Z/Sd/LjD5Sjifv6TsAevO7su7SVYbq7Cni5ruTbty9b5ky9LDb3OG
CyhtyvGiS/PxDPpPfZXMvf0I15kKc+V0pf8d/FX8mRfNtGOWL7ejF4VnJRENRlB3jbWDnI8ShXVv
bDFHn/0VDRwPtVq5AB/LfIk2Ys7mj6kZucOnxBdzHMhELzgCXSeIvN7ir+2Idp+k59eETxQELlPl
1GtpsslUfZpdZuSjEBxXl9NXY0SxrjfSif0g7HvdWrWArng+4WxZfAajnH56XK2eainmOwPY1w/6
vG7xpm58J3CmCFzTbHX9Mekm9nDKpOquicocqRcCh5wurZydNfsGp/Bc+YxlOFefmpwJsZubSruG
RAMM2RRTTozDWG5MI+6+arHpf+34u+MN+EURuH0+3BrcEc6TKu4/lcmi7fI57y+9EapvByk3oaBe
Gujd9Dse6hkdJUWVxFweWjUJBg28+2pvW4T5Uncu1rIuwmlwH/LEoRAjDPDKfJaNondwNwr1zlYM
bbotniWmdBtnCB+xkp6ywysdavIsSrVq3Ivv9S6P8weI9DSTnyWs/uQjZyVmsH/InjWuz3JXTylf
G1OJYG2lhx2VMrZQGtm5abGsixBNLmkfZqspMVHTot6+HlolsbVy37mInoW3XMWbu0WpcdNnYa6h
NLqmn41n2SzPGn3mFqKUvJPS9HpK3dsndYKUV0l+XaX+NUUZB0PkV3tXaYNrpRKOtaVdUTzEVyD8
A2cCUHdUts02VApjX2mNzb/LjpUCWQi0yItSJf8HICz7pJ9PAYTAPP8aH/y/ZSSTPD+EB/k3fjFA
XQibJpduLJY9rt7YbfwDHXStD7jIY3IF85LkJvjb/0QHxQdgJlfH/FM4wIPWC3RQII/CnQ0wDyYo
pqa/xwBVmNxLbALpFaaMNkWFwYP8Z/nUC3nUUgyl7FCkBhWy7MDRky+Rj7iWKIOfld8/ikTcygay
fWxm9Xk30NicbaD4F1/sLezmmLmHKyRfAQoqTlwwUZ0juMsmcwbmhLADSZjYhRTDuSiLpy5N7yet
A+zWyrVIPQwjyuoSWem4O/H8YyhRPd/jKwvouHAfjsOBfUpyo5NU1YUttCQAPbHWNRLfm7pw4okL
19KTIKvhFQWa5un0skWj4cTQZeN2zEttBeUloTppIr8ORJbGgdtIzA/wKTjL87qugt9fiv+e989N
/VTe9e3TU3/1o/7vA4b1/zn8v8jqfvUKFM354P+QgcYyuZVPCj/vZN7/hUerf/Lf/cO/Pf1biw2I
/F8vttWP9hEt4iHfmn/j12Jz/A8IBiEDmFAwmTFqRf2C4vkj2LXC9C3EgIKEDqbAX1C89QF5IkHb
cGUYff6Rf0Lx1gdAOy7crGDcaYTwfgeKf4Xq8qN8/ja0EKw1AN4j/BjxTodziq2tU8e41H2IXkFq
R8lmyZxQbuj45sNGud4PaMhI1VrDWzK1NWBz268K12zP437u/nQWggLXcevrdJSUO2PcW30CtUw4
q5Za7HPllOlVi4b9l4/7b7WI/ndOO/fdPZ7aOSnpA5V/+0Ql9ZgnP182kNS/+9duLz5YpgM/mo4L
3F9Tec//moCe+YE2Dx7oWK2p5o4SFvw1Af0PPvElCAGEo+IbLP7or14QUgBPdwFv2ZrxUP89NSx+
AUfbPZ18gUUyy4MWFg5QCiV+sd1j1mKm0I/pZfbw2y4AKPR5WyG+hmgIGnVvZl46boRNls5uCalT
tx1wRqN0ovlFZ+gEX1laFlXnnZPP/IO+PuwkmlA4BrBTfizSjKwAKNn6AxFtXSDFkni01bUtP5cp
+P3aG0PEhGYP4raqGiKh9vY0V26Qe634nJQGKlt9Ltt5PTCpQbVKQUhW56VcT0pv1giLdDuRkcOL
RHPVDqOPnZH0QnxjUhvNeFelHly/2tOvS2Oc7r2sIx7MkKJIVhButHjdQtSpN/BBhidfOlAGHK2c
7luw3OIsE8KaFDZjD9dNXMgoCGHkNWuCxPXHGAOBP9IyhosGFcO0ufaO/V0X5bl7VRodiGGmV/Jq
RHkusTmHRLSa606wcnGiKrYEZ5vethvHFLpg1M1ARlFvttsev+LimqZlj2VOMVh4KOmSdDg4nINP
YJ9sPw7OEuFw0i/pDwPOcYmhMf/murXhZWxoH1bG2nLhZyObS7BCqSYCw7/HsF9uiDzSa6BBUXVr
jrZiuB5naY+7LhnbL13hDKB1ftmTuadxovlnDb5D96Y/ZfZ6UFwHK4lh94bJVFyF3qD/GLmZ3GD8
4z1mYBAdEktIrmvciUbIKnDbldvWnN7ktt8/1I2fibVVY71ClhStySAONetx8aZoXnVTunyOfGck
otsLJ31luIgct3DLKoOMtkVL1nPVEbQBhlMjp4QD492mnl9pqw4M3NktuKJb58CasRmMGVF9sGw8
F2MXx+g+adiaNFt2YzL0nKE3A7tuvSeR10t+bTue+akfLF1cpjZX+rNaWmYWLDamNWj3QijdxAjQ
OsxDzysuKmG6477U2hbSNTDzGGisiz7o+qmO1nkfzfASjEZR7IaGXojezLEWSIJ2s6DGoSTcaY2w
r6D2pXgM9fQoYN8Lx8IwRzeLbZbMoNV0H+SnzqBkX3WhN/408AaF4KS5AhRKj2PlvOQ331Kzn5sg
llMIpbuP6xpOd4u8VsuGZS/triPpyx11aCauNRhBb5TKnmYqGz8QbVbd0dAJYwxotMhfF1Fl4NSR
e6b4JklSFxvDhd+J71qmfenhCyEccCbtAYLgOGKc5jkPYhz1L/4wIoWpMrP0GPHCAa0oQmZr4nkr
S0zNT5/LfbSyU12HHZomc8P8Hx69Mhs+atM0IWTFmBl+Q1cUf7bExqCyzExS0iJcBu5GItLmsG3l
jm7BPK2XBM0NJH6R7ozEsAM2UMS+KiEeI6446n72A8ye9Zgv4rKm1witLG1YNl6cTPexzJxr2wJX
X6HwbIzA9pxiSx/OStdLNHvNpqvqaA961sYYUPRKDt/DAUL2S1xpUKSQnNHct75FgFmP+ragkIZr
ayPQJmkyh/voQ+mYNyhGvatWH+DHaCiSXKaR76IrJTpmWi0ubOgLM0Kp2xS6/rMwQ/mjbG132Thg
fzkuIijlKSsXia9d4qWfbaLsOxySHOPOYRLW1+6I8dIGVbv8oruL1a2i3jf9dUvTSF/jzIY1ajIw
dVejHadYC8KCbFcJQ2DAMo6ixyiMsTDpMwdjMLyKNPbNDMg6mlwUFQIiXrS1YaJVWyGtLD1VWx/X
9jSvDWWvqHJmQLUtarKXRw7oQwyNtB1h0TJWK0ZXc+G0ME2lXNKrGHh/Dbsv/D7iPHdhLKWQgd0v
9fZFofjGHUP5PLy86Dz/DCLqlREE9yZb/cwXJ5+VTBa8e3BGwjwz9ksc0vLcKNbvP0VVcIdPcbgb
uA6chOdz/qjCizurQSJnNRu3KoxzIdPhm1On3ecmKW2Kin9Uvm+80HFXGdmoTptXXd8wgKJKPXyh
klRlo8tpnOa4OxFxak8OLGBjZJT9vla+FQ3E6wC0iGaZ1Pnvuksr5AHPP+M/NeF/qRb5PwbklfTz
Pn762+pH/KM4VH+qf+lXMUjFx+6p9Hw+wUco0yi2/iIG6R9UCcalXy0I7inMk1/FoOl9YAL5kHZ8
mDQwTfijX8WgqX8gnvaZ3YAx9vM19a+L2K/58p41yvGCUC7iugoxgQzA5cc9KgWdduxmLkv1zo+H
au1YEPvomp5adsc3678/hUMS1SpB1cf2K2aBup+4cSyvMUzhIs2+g8KLKTrg/QaGhVqh/t3cnOdn
olHUbT4kJjPqzV8s9aWKIZrabr0rbLPazC22apqOG8CL4X5j/b1ivOCNbrOb2FwMcZW1TVVrv3gM
yu84EZgnUIsI99w2zOlbMg3YY+nV/NCBG1xHkFjPl9T+YxIlnFd9sk+xbtTm+XK/Ub8BhxsoQtwq
qdgVvPPiN8DS9KX04QR0i2Z/1Og668rJi9ZHOHBiJ724nVH8fVo4oPdp0zQbT5LliypNlvgceuOJ
j/J6UnHvNvgWJD9yoX7FkPI1R/NK8sjHKGuhjGr2SvPb/jd3WbAylw3a0Pkf4cIJPXxrjXhEPRqj
nM4H0aMCG91zqJa0djCwOPFCr+Yvy5OrnMFyhF/Epn74KNvpTfxJynhnF2VzUUw0GnpkiiXnZvlZ
nybtDyNqh/S3XxDyFzAYY2t4JpkCh08Nm9TtB/LBiXW1vZu8Ta1br5fedxgqp7Ld1Yl0MIOgJrmc
znxSBZkcj1hkekNj9EazSxhOiP19tsnFnF70eSNOvNWryfH8KDyi2LtANp8diV9M1rD2M3vqxman
9V16H4f2Rad57YkkRLVtHb8PY4VlAw7QeCAcHYtpaeajldb1Lgkpruh1ZmdmPw03dOnbq5wb34m6
4tUE8aBwsgcALmEh7bhHu0DCFu+780TyB+JM00ouFztFxKAhKCPqyJkQtLy/77zxFX0KDLTOBNxZ
ME+P5kZijkvpCnY34UZwMtIQzhP8mP+fpwBL4Aqr3PGPPqMnS7NwLa/eGaXprxZTdhvDCE+VS2++
Cx+QXECgAiTlh+/iJT28WiS7OEI24WZOx8fJ8E7ZxT//LUdTgvMUDh6KddBZcTREIaHQDbOSd7Hp
LI0GLWaTrihiYuOhMGb3Eh/g7Kwxl3ht5uoWqpSy1ai7we9/U880ACCZKDrb5OHbmgQaOGbIyI11
VyMA52KxIDs5MSFfWcFgAuMDPrGidcRpHE6Hj0mazBWdwev6oUKje7OHKT9sTAQ2czHcx02Nq55l
rSy92kVJsw9r4/sU0R2MWlitlRFqKz9qT/yqt0baYzPj+yP3IZ/i8EfZ8ABxJ6AOmC15r4WmtrWb
+VSx8dZDgLXYqJm1VAFqb3ixwcCoTFy95SFwBkj51gZUdLYdnVgab+yYXPRsQbcCJiWjefiUDvyJ
W+ZU78K21M9kVif3Gbva+QRMdYLiDJR9vJmxO4NnwwOGLX7MaZ0ZDEiLkmTcCovUsBRIv3SnDGoz
pWHMVZ1uKQ7egHj1iZd8vWiErhPX5tIa0m1lmn/4lqEbhdB0qnpHG3L4lkoHuhE8uV0t0ahaZeJc
SG+snjpm8BUuAvl5zlV77YZOcmLmqEE7WL2E01nk0rE/uNRbx9EZGtz2qqc1vTOj5k9d19JNPQ/5
JuxDa5XJITuxSF/t53xlzC0whoBUztOODvwuFFFXwLXYpXYBjbgtmwjdHtP3GvMC2rhFFc6bYrDn
z7+5OfBcOOUcW8QHsXSP7qe9445tOpKZPfKbrkgTwG7Wj5wTp+OrFULJD0Hah4hM2AmZYoejqvkd
BhAeZkYx3N+g0CkAG+6o77/K8zo7GjKe4nHhd59vOUffcDQxZIBrUe4IS/wZ1cnN5LrQUZJEW2Mz
isnFUH6MLe0OJ7FNauB2NobuLpZwCi3QTQJyMOGC8TLV/qnD89XaVe/vCXjqXLy4Ox+tXafBrVWO
5P4UI/5RcuCyXGazFxQJnJH3v8KrtXv0qKOPgOHFUImGIKPUnOR+Mdo2WGrLR72XGpByI+aSyXqy
E0OcmMJvDjLemhRA4P3AA4eDHA2LOepyJL6rnXALcJt43bix87t1iHo/H/tgdgkwCO9og8is2gpT
VMS7sQO5sgrG1VrCh/c/4luvYiobFXrTBMgeO3DpmtMkOqTmXWuIJqC9gPh8HI0TH+ytoeJySjee
VjuSkqNXca0W1lGdMis4O7eo/bOv5BU7wdyN1VWaju75GPXDCuk/ltm//4Kq52xTQKo662hCDhne
xDALC+Jy7OQB3lcZaO3onJ14yjEIpzNYtC8ZJha9oT+rA16cjCB9DvJGoqFyqfWfGyFm4hxyeUbW
hXYx182wFv2MrXgRx4RUefk1qdPWBtW/WEdxieGy5uKygAvo6NZBKhYR4MXsf/ak/bWwcZTMsPu7
5GKPXNXs2Jezptn76dgHUxvhsq/JHrv5SQYaWuxby7OHTRa1GczlQb8oIbZcwGnuAwG1YGPhIbmG
j5Xs+p4yJItkuCvyKbuui8UN5oVS5v2P88YBw0bIKQMW4lkAL4fLZYHyhHorIZsJx4ALyNTjNZ8G
HnWUYJUT2fGP95/3xmxjNgNPqL4yx6ua8y/GwpzGqTHdtNhpQ6ftHAtzx3aA4ZkSC79CESIDc4CZ
WZRze2KyqTc52pdpTdrsywaWZPjQHz7Zh0anjM/z3YLmIXA67JkXubSBlbXpncuM30Re2QZRlzSr
qq5PmSO9sZgPHn+0zCQrrNZkl9MSwWOhqJoMCn07nahc3hhORQJQ0il6rQjfDl8yg8tW41nLU3zb
OZuoOs/SyKjw/zTl1rHa/sT0ef1ROUlctkAIJKRRHcfbLtpERU3Uyq6i6RuUafV1ZMvEqyelESBd
FkMV2zda7FWY3Qxi//5kel2uwGZg41IuynhfHd/TRivSh4om3y5tshvHtsMgr+3qVkMle8H80q+9
PDqxWz7vSYfTSDEo6B6j9oI6dKzzkzBqOxl29a4yCuwobLBtNzBMc4gx5qxoONp9El3C/8O6YYm0
/NzCnRJLWKNx9o2OD+9K5sUj91ifpJQSw/o74A5L7swa3voKGwTtco5LzfwoDScy8cbHfOjTHCXx
/fvfTvXVj9YDsequqqx9bKiBYw+nigFYHyVRSFK8B63yE5jY+GQnbT1eTHljPXGNm/ybuZMyDMxI
IqCByFXnqxGxT7XB0tz/MtF5Wktv4lxw59b91nbG4AXghtoPMhgIIjawmGjhxQucFfC2JTnEW+b+
k55p2AHUEGUxKIhCI1pPmJMaW1Ok3UPp9HKPZW31XUZeAgNa1PT6orETN9zT8PigMfgNvbXA7LUa
MQoWRfv0/qdRJcLxEHMjx2CJ+6rtKbbMyz2qcJaM7Pmk3iEQCmn8g2JMkWs9WOCaJ6bTGzMYxT9k
GAscCt3e0aOwhbCgh/ckkIPShNF0aYw+dkBWeY/+EZpyJ06pK18jt8JUNBxuVUAYDo2pw7dr9KSD
qJyQEuzYck+DLjyfIeAHLPTo3DfDFK8/uK7YDIdASC3WepixnTp2Xr+3+hEUaZSiKsXuaJ/C+Iou
ahcW5LKoK0buo0qSzSL2xhRhiVp4ZF/poVj+eH9k33p5yhwYJSxeHWLi0cu7bhhHi0OsYp94iCXr
Sr+mwNPojrZpMI1YryRxKr6HPbYmXoW1dNqky+79H/F6z0SnycUSXIl6i9LncAB8DUNFPSYOUSst
iOGWl2Al0Pcb+MIpvoUxth3A9ulFGmOFaGeZd+L59qvpffj8o6or7GfdC2cyH5tE/oj6Unxy7KU7
cc6//aVfvOXRDQAjimJoQrPYSWuqbhv4G7cTlgsbWupESDlOfRG5WF1p0ARo30FtSLB7PXHkv/Wm
9CggVgJRsv8fra6+A6cfTJIgB9+KP3aDDdUCZ/Sz98fz7afQj3weUcr1w/GMo2yUNTSXnRfaOsSD
wvzYhrM4cdK+RrboqaKmd0yyK6nWHLVrvaicrAH3bls0FMspDuCFPcZ3eDP3Abpg7YrkXYjqcho+
liGYRIk1CAX8lD3RYMd+ZtJcLN+dDEcomQWYRacnrB/f+gYvf5w6bF78OOnGVUpHljkl8M4w0eTd
aqEng/e/9OuNmU/wTFZ14IXZx3xdXI2sRhp8gtKu88+W1ZSXS5MlmEvGJ6CC14cjT4I9BG0ZShrX
yMP3CRH9YI2VF7uZFL21aInzjD0/3tRJ+733ylM3vVOPO9oONZOjLWkrHqfneHphnRVgoxnuucSn
ez8kYeb9D/nm88BgOdxc2hHHPaSuj8iaGwgR1Ycw+oxfjLHTuhiSUuP1QOtV+NtlKZ/TExb1N8eI
Zx5NjzEsXEGGU7EjkFrDsSnyNtls12tfdPPODMdTjuBvvJ8Fos7DKA8BAo622JK4mHic6ZHBHVkI
RZHxRjjVj8VYSBJYimr7/ud8oyg04Uxhu4qhhW8gpjucLhqKuyystGwHXAB3Kc3+hIQA4wljlai8
0fQE7wIEXkaSXaZac56EIkA9SbZDtoWAclnRRMWKLcU4pUQ1VW+tvNoRyhHEuX6q4lAz97C4MQHY
FHOCm/DrDorRNb01ElGzg8VUniHFGNZh6Gzj8fuiSG1i7n1MoYR3Yit+87G0EDl8qTZBxg6/EOEe
Rtz7uIJbBOjtLE9Tl+4kIygkvcJ/zT2PvIWI8sTtTuybb+xMNDBpJcKAhujuH512+L0tpVZN2W4e
kebjDdcEHTqdE6/37Elx9Fnh8ENtVSsKs4HjFezpCz5kcbbrs1Ksc/pzW6+MuxuiFryzsV2SczP0
lh9I0S1SF6V+jRbI32OmClPOHsR1kmOD+f6sfGO35H7CDqagVXgW6s9f7Mmd35ZhsaTZzqscfa9y
xgJbTwxyC8Rvt2xheqjtBL4Hd04aEIePavJBAFPz9llvJ7tST7nGRz1C5Mz/8v5LvTGcbFo0h6lg
QfmOj3T4PKS5dlDimiaErGY1kEgzkf7+p6PsY+8HElN8qaPR7PTZVvav6a4YmDliMPw7YYnkc0lC
3f37L/TGKPmUJ7YaJYeAbPXCL0aJmJBBUbbSnR8Z9jldnGmLmd0Mfar8JZz4l54xbz6KBhHNG1IS
oA4cPkpqVYF6q093cTEsnDIxhnuzZe5dmdonzs/nHf1oPfgepG62RUX5VrKCl69VdEYl5eATC2Ab
4z3pAfbaH7KKeBUk95i1dmet3upnSzmT/dW49tWiuSXy63S8sEQc3sZEJ8LUEM0fFmGEuDdMDgIN
gvRK1NBE2KHwxaCKPh4uGhdulrtrkgmHm2wxQzTtxFdg+pyfIJy8MffoLaKs4K5mAXsczXKpu1nT
oZLfTXRsAneoydBwZHbirFRF6eGXA1kWhmtzMVKH5lHRCqMU94ShTnZVswzbyqlxanAEpFA7rXYu
mSRbbIz0EyfY66nBocDpDAJInQyZ5nC4rDnuhyKPkx2wUbYl7cjZNBUwhYe7yfvz/Y2LgUKZEQo8
kxSg7x0+asKVjdRQK97JttJ2o8Re1rB681zCad6MsZmsmwq7OwIw+2AcfXPtRm0ZvP8jXo8kgjO4
X5QilmIsHq0Egvo6JEqk/bQgLVunyvuNM+Hw/f5TnnvaR0OJNwoQPvoyKG/HZYiUGqQPfOB2Odsz
JUBERGWbYtYBjXqi4xxaZ/nc9RikVeU+DtvoBr/U71FYOxg5DtZqZhJfWPPS7E78MHXaHv8whhno
gS2HFXp0KBqgyZZrIuSUrRbuNSy0180UdWfIT034wuV0XZrk0hTpUAS5uXi4ZyBnXtoEA0tcPE8c
nm9NPqBgwbnJtm4cg5aOO+GOQRDVLupc51s4z/p2YFfB6A4O8/tv/roMYdSpQ+k6UK8Bkx5OPqfj
ZLZ6J9vpTG+g344AKwkWP+MvvXLJPsbGdCpXACCngMO35j13F5IO0D7B/zluTJmyTyB/N9nOTH1t
g7IVVwkwVXCXYTyD8ntp/z/SzqNJTixc039oiMDD2QJJZllJJdvaEGp1C+89v/4+VMxCSXGTUc9G
G0lxkmM/85pZegqMIIc5MatnG977x9sfvzPPKzRXxgfOAJa8BSNbY98jyB2mROE1JHG6DsgromLe
EDscHLCdS0zloQGFCJWTud7MsxYnEd7e66umqu29FJn2PWTLzuG3pafWGCDVdOUfA2rI1DjRAEeR
m5KpbF4vrmUiu5OkDDqD84ZpoDQebZf/EOphtEcsyRBE0Dj7XQ+jFTW6vrWenImJnpcpsd/ZXSLN
XlLBYpGxRPc1PPLuzFabYb8TUxdBWPMPeW7t3MjvlEqpvvz5ylomXiuQmlao6eYnRRoS2AiDJGfc
SZ9TW68fExuDvkigKnB7pJ2bE5ErAj14fOAcxebm1BFdqcwsT85avYqemnluO5bet9HBnbC+pZsb
Sn3tENkkCzAbNl9E+CUtCuYNaPTMihvoJrSKuP0XpbV3XFfZwWh725X+IBgpEK1oEm6ev65R5cgA
B4U8gRz4S6sTJcc1XgF6XvuRhU7O0Gf6wfOwdxwBWVA2xwySqsbmExMA6vU4CYLMooyx7TBx6xLE
s9qADevtVXsFrGynkywADx5AJKDnNo8utiVKNMoBG0RSPkad6cRN90zc+RgY6mmIrEti1LjdUxKF
cqIN1otc185Uts9Y5KGQTsV9bJ71YPpsVf/XXel/jUpXXuqbpUbWHuVEJNpY9M1dgf2FNBPjJeeM
iida6LrlmlOlOJYSj56Zp4Y/Jk31vBhqeccnhqc+WIazJfUmUKDwqHTwv/ycV6SWZVKv2OyFuiUU
ShvOUjJgohNDmn6Y8uZH1uNpNhZWiGqrgdkhkFs3NbvpftatwsdirDlHKU292wv3tlZMKmnIKxQW
0Bxttuu7pqBxjbYQd01Ce+iOfrVwikqu3QDD6DukdoAFRML8WqrRgLM9akK3h9877YLehIBXDPFv
BfH/HsUPllUisMHSiBE1S03BcbYkLj7fHmX3I0kWMO7iNqUucT1KUKK6N+AHeQaRCbeXIucX1C0V
j9ow2m8ceRefDVSgRz1/bktdO5jj3Y8kp3xtCq82rtfDA2BVsR1A88cOF8zJUSiBUxXmB5HH7mm3
aHivNTBAkOuv+C3Ps7Q+xMqGbRUVTePG2iT7eRfFXt8J8en2fO5+ELLijEbcqW+DecSRll6k62sg
KfY5ErD0wj77Y7T7a11UZxygFRQYNqtW42cBHkxOzhgo1Pej2QtIe2r5H94brOAJm0j4YYVsT+OE
Dyu6SMlZ75XFCwM58SQYine3Z2xncdhaBOjIm1Iz3JonVVDqsoJ25JnClQ5SqZodOy0CP62Oeos7
7xoj8R30JZDp3J4oY2igqSGxcp6xHHwcJMimOGPad1qJeHSSVuXBttvZC5BmEL8krSO720b6uTFh
sCTzZViRCg/ugIWnzRx7t+dvfxROPiVXsomthAWZcJ/LhELnHJVJB1t08xQOvCD/YRQETuU1eqWh
szmoFqHWmK1zV5hz/WDGYvBIWvKD0sXuXqBuBjeJnUBT5/qg8v4sqhb1yRmrCriBXT572N8gU2hV
4cGzvP7gzau8lsRfoQuMZq3T+tudIDVKUJeyEZ9zg1pTJex/ew1mt90k7+Wm6u/L1tYP7tq9leJd
Bwm1ouPY8NdDNmgnoRpFkc7qcsmbWmk5RbEZHVRKXvsj2y9b0/zVk4xKyTbJHwY5HqUO5ghaY5gn
0W3IkQfD62C8NEoVvevx61hOMX4NqPyaEWpmCxH3eN/ouZ04TRQsOP7Keu3Uk1bGHo9g+rWJ1PoT
Di7/GMGynKSpM74oNNpkR7a6WEduroEPr8yAEJwa3XmscYxKNZzYrLuPoTz2khMpI7qr02wmBOWW
MofuyrX8aYF4hYwsIIHJoS6Ke+6yWvkQqHBdT8OQD9/MJk6gFTWo9J9rY+gtlJbzenSx5zXPWQmG
2Q2aUv1LJq1OnL7UcyxoBpVuo2b8BPhi4IqZU/AvrDJ/19Szrxaocbjt1COOVsoo5o02kAnQn2r2
vYLguv6+ebqY6Ai2TieMIXVbOze/ZZUsv3QmaraO3XXN11VE9e9loYvrBjn4LtfG6PeHmU5n/ie2
p0Zm6CfEbQyUAtCnRj1NHcy/ILpqLw35igHaakzRCx6g2Tp1ihOZM1tm+aEBbnbpc6VKvBZu7iNz
1i/3TZWEn+vUru9mCrHvczPChnuOSlrli4qfmtL7sjHnFxFbsYxhgDqhEFYpFBsts16+IkOK96sd
SFF+cP/spPVrXQ4cAX/YkIaudzUaxvLYGuzqqi7gQQNW5u5eWzFShZ+DFjSDo5dk/WNuf759J+0d
YXhDyOdAJ8S0cvM+FUMOI57m3RnfxM5Hx9N+kYqZGm4+j+eavOJvZFKDg3tj7xGBNoJkD4XG9ZW/
/tysV4cgrgAJFuOk3jPLwx1OZ+W5TKaf9G/kgztj50akEomFPJAY6JKrk/3v1xTG3JZSmC05X4Xn
hUiN0quq+B985dWDD9sLvhmKJgLlTzrq2146zgxNm6KAdzbtJv8U4GJ1lm2swtAYsNxYr+Hd02s+
4USHDw+2Iw+Niv1PuACiDAf5iLexs7hXv2ZzWcol7uVByFPAElIgw8BhmKXSizpQOXUq5XdZIv+6
vZ9251oDH7I2Elda0PVc43aAhHbDa4ASkTjpaE17fTUbPgrW2sGh2StPIlhOYAUnBQGWrR7KaCf9
pAL9PVsLAK0wmYCbhHp5iuMmck07rU+Q9tFZoDjnVhOuM3S4pLsyKQpfrXA56zJLnKB/HYQsO7v7
6metq/Lbq8idGtq8HUTKS4oGKoB2pHATlDFrvT3JLfXp21O+k35Qo6VTgSyRRQKy/p7fxhsN5GpS
JWOnQYrwhqarqIMW39Vskk+JsPJT1+r1WW5S6aJW/dHheqOLRA0JWDI90ZWESBt5E28AgpkKhMC5
QWSketGNRAwc2860fkRJ898FR2N9jn0zbb4EY3IHBOKRcAuxReFJXfXXpJTfLKTtMzN/Z8koK2b9
J7UX88EVsBM20KGinw62FK7GNowcoBSFKJrG59HEMhF5fnFK+/JIK35nFLj8zANcKbBw2ialSMHS
ywh0UJaf7dHpkbQ/p3aqHHzLDrtn5egCQ7bJOGWKodcLjtgrjOhYCfwGO1liE5GfzLRLL/kyBXcr
HvBRSEn1grxycJIbfBVVs5HPeRsfnPW3G506GkhSttxKDt/GYshRhA3KxYFvzcns6QlgnmlJw1Md
IUtZqU194Jx9MN42zx6Dvp2toKbAFanlY4qD6KXGdhThDVH+qGvNutw+WDuQJcq/K9TNXCE0bO7r
iValLAEOZAk/adS7VOtR31gFRBKnK5Eh0ee5OaXljKC8jf+O0qZYb+mrEEkfxxgwBihqIosfegXq
dB4qyUf339vrnR4INWrEpdbA4dXA/beDn2CT08W1LZB5wuSxDmUXUFWJ7JDhlZGluATKL7T6der0
I8YJtAmMqucLcCSbXxCMcYKgfais4uPcHOEjd5aKaq5O3wgYC/XB9e9/+2lWVc9KwH3kW130OC6a
NeNDJH9IAzFhOoz14u2VenMFEr1QllCQ0qACRz5/PVzY1UkU1Ut81kNEhwMJ3+AlSoYnWy9wrk9C
WrZBe4pT5a+pWrqDdXizDOvgkECo89KVg81/PTi2tFo/RG18hg+NPJQWvkcH+YuS4uhZ9dUvQx/e
3/7a3QFfK66rACUP4PWAsYTa0VgNXGZ4Q52ztOjwfwX6L2bZPuk1tkq93R0Rcd/cbQCKAb9w0zPJ
65G4HrSQYENFA18p9yav5pgJtwjmoz39Zt+so/COcZ9oQF62+0akk4WwN59Wh0i6o7uTuouURaeo
nfvTGKTpn6bk63iUFqBTUKeErn/9VfUQNmj5EoliGCw7+RIOPqphR7i/dUGussnNKJt7pJhQc8ui
mgUzrOe6hJdJscF+Ckyk/+lqWe6gVsb7sB2PatM708ntvJKG8PSB9rp5kCZTbwc1numTlkV/lpbU
8rtlik+mPE9PKWrRB9P59mki4ltJShzGtR26PQtoskuoAdXROahU9QLtSHupwkm7R6w5OLd2XN11
c5+d5wFguhJiLR7E6EklSMZ/un1GXmlfmzkH3q4T/IAUR8Fkk2OEgMLQ6oIRFURN7ACRSVxVav8l
MQS0z83uUKa9E/XkJ6HmztRLvLmcEd/nMnMEknQEyc0JfJKOQpl8QooNdsgcnebYvkvRe3MmWf4w
tsn7LhfvNNBP6FhbjUM94YGCiHlqu649mNydE3j1RZu9WmEyIkVFGBHnzT8LQwufYwBAd7fnbW/H
0PFcexk0mLnQNgeir4bAUtPojHyl7oxGgSyRKX8GDTN4qJkckZreJkxsGLQpAMPSHlCInK7Hm6xc
SpbOCs/RUP9jxZnqJbOuvU+h63p5YLwY2pyegKpEj1zAHaWlIPNRcZUeBu3PyQzrb1lRUzRgueK2
p6XQ7K6EJR2eBS4r2PCNIbIvLb4n6khCnJn4CGeooN+e8J27Ya3ZwtdeMTMAU64ngKQlzJWOVY3b
7kMRJuonEfb5R1zvk09KpNdugepX5GSVFRws9SvceHNEGJoknACOmr6+2VBcF4syx3F0xvLrIVSW
yEkDXJXTEWf6xKI00qWo/2XTt8nquSCDD5mFw4RZ/yTD/ac2Ajcda5xI8uGXGaW0lDLY3dLwgzr1
JYRq5bVN/wRyO0Grpv5hGWV76vOiO4WV5N6ew52TsRKBeJn4FBQ91gfzt2ijxwHCmAVzOBVq5wsL
pwqhQHL/D6OQQLBONHVhAF6PQhWUxDIMQuRx6sFjR6uuNMz2wSnfedyp2WI3BcOZIH8b5PZpmkrp
iHoM3XjEBfNI9qI0U+6QkO24vIvEWWsqB1thdwKBiyNaBQpe2yoRpTK2uIOlIcGJaXvdKcoJh+v8
YKe/VrHe7DeLh4j695qnbiawbAI9sWl5wpJPqnd6jRY/ijWWwyts3KPSj5srsggnUEfSZ6mqccNo
MvkEZCz+CCZmdMdh0qnk6ca7Yel0rzMyyeHSxm/cTO17THyWh6QqMnyAev6UskM9rN1psokSKD3D
9t2GmRiCxEEnyaxNL0bHVNGJMYfo13/YZpTkGIEtBb7keptVaRk0Nk7QZ9lsu7OW5MbJbIrK+/NR
CJdBfK8YEJb9ehTN6tKRdgQrvkD5LWarcfs1PLg9ytsSDYHi2rOn+bvKpW9D1bxPsSa1Oq7UUE6+
iDbK7kHdTM/mEqNjQsLuKZZdUVkfQ3xCp84dqOg4KQDcyzihlo/xBy31oqgPEoa9QAUQk8wIK66f
6Oj6+9WwMvMQCq/Pg9L/ANKiIcqfLa6cLzXuaG3ioLAardjmVd4xg+bUm36SVO3RDK0DbQ4F9HvA
dWjc0H/aoiiWpYyLPu0kf0Zt7R2erI91KNkYTeW6byRa/q6osJSORPCLymb+K9BXechlmD5USMd+
uL1cO/sbrWLCe0gVaz65iVND0Y5Ni6akjxFO7aFQpDhRAKz/T0dZu1+E3MBG4Phuy7FtqQDsXpDO
MTN1cuQuae6iLD3SUXh7jzIKMovrNcpZ2lZidRzd0kJZAp88VcWEaZ5Xl2R8z9R4uqi5MmJmrk4H
p4p74M1yMiwvEA8r5WZo2tf7qo1nrTEmyvdZjxpPjHmsllc/l5Fq8UnW0/FcgYkUTiXKRnP7vM1e
jACxYKeh06k4o7zwEiOA/ALaZ/4AWEXiJZbfmYkQH8NBT79jy2LrJzwpyFm0Rc0/RZGm/rRpHiiu
XuES7aqTNn/vUcecvFq3Z8kZ0i7X76ZmQvpf0I7KIEykKkZe2pJ8Spo5wxKa7hF6zXkUhI6lAVzy
WiURE67vZRigo2xIwrUltcGF28zCp2Hu4scm74O/plFCLn8S1Y847OfMSRNIVI4KTu/D0Ff6Z2Wc
8l9FpxZ/J1VYxzCKZWOk52IMbGcRkxxgyJbqnXiOUYgxvbaQGSqg3jmxy82JMMwaK5AGJozbZUij
n4ldcwLKtI1/SKNQcgcON74Hatl/MfHdvtMAnn9RyqXCpERjD5yTSC0w/Oh6uLhg6n5OutK/M+MC
c03TMJvLDIX2Qw4U3HCwqpcelUaPg5MWjfolQl0YT3VJzr7jlTV+LSq9/ZDpyuLgq9d+sGkquJGR
P6Z9LqFIhXVH4dRLRdWlGINP5lAbD9wu1qeMotWHOkmCU07NqPWaQsyYVsqjuHRSQu8vRU9K8nAi
quS/KyvtbEcfRYyMci4wWMmlQIw+vNLwu1IsQ+31itI/J0OUzufGqCTd/T8Z1jNoBau0jWIrgvtZ
6eKDlGJgOMiF8RkpvwJ5ZfS730+16F5COGC4adspaE0lxwzZIdMOP9uZKWEYludfbp/4NYa9vuMA
c0CUpTNCMegNXDlshIU2cxL4IRZpbhAVuduXinq2WvPzn4+E8g+RE+1WigibaJqQolabMKc0ikrD
Q9VGvzqo38+yaOODmHPvmxDCU2Wscul3bKPBMglD5LUjRiIn8Oswbx6WKjDctpe+3f6m15BvM33A
y4AxUe17pbtf3ympXdm2xKb0q7BF/Edb8k+SReuS+0C78HjMeAC2tC5BNnpROMDLwlzx6Gbbudj4
EfwAeCUkh+rmYhsrbeLWCYSfh/gmZhNy3cYkJr/Ui8/q3D9AzMStKbBH1wjaH0ViU07pRfmAa/q/
ofieSOND1wV/xbb5YEaa+auvlvDSJlp18LLvrAsVJGhMpLDUkcQmyJxqa9Hlkr3WSe1wxmvqn6zN
+xOA2MC5vS47L4wOGwxEDUh04tlNqmzjl5hi/B34gWGW3pAb9JZ6y/KwfpJhnmcaTma0tv9831Fp
XzWQVpUmUufrzRAGMa5d/VqTtkL529ApM15nyXjh35r/YSphVVA44uBSudgcJkvpdBEVDCXSSHb6
OI0cIBA1InzdcvBVu3t8FXdmf4Pphx57/VnCSPsR7QDhD81I378EDXBCj7Q9tYsqTplqDHcjD+5J
MpTBq+2quMPn6uj5Xudue9DQHiG5QzSUk72ZW4wcw1mxdOEviZL5ilCxi8QQ3sfcTvMQE20+1RNp
SWYUR6u6O/IK+l4zv1X69vrzDSzqEimjXo7f6HAqsIfCp6C276UBPco0HsPPc5k0JyyI1YNFfhvz
gXmyCLoNmjhw4DYj2yHyDU0I3a8HXot1UEUcMYsjDaO9U6msrAENryAuj83MjnXaY28wCb+Qgthr
EzP4AbvkESCUddB93f0esg7AFFAFOCTXM6kT+NRZqgpfBzjzTIuqZOfGRzCkdVbe7BQqRKC4iFPA
/l6PYtA8FwQZjFKggTM0WutrypQ9yVXSPBWUXA/umr3bV133BSANigLa5igOKJxMFfetLxVR/Q6t
fNsJqw7f5XLIuWUGFV9TDZejVoveFc141OTd257cpuQG7BVaHJtLdayUABQNw7dTJv9szSB5wD41
9qHg5LjV4pVYao3uSZb56fYdezDw9lpARpeYqmZgNLJkX9XD7KuKSYjTq+hPREkZebUWZX+neXCA
29y73GFioJ0IlIMkfP3730pKHaYqDTAVFpjmGUIFTenZWpZd5K5u3LmLyo/oF/28/bGvb+h2V9Gb
poLO9WPSbbketDeNJEBDRviTkf09m2Z+mjC2W5w80wL8Jgtd9a0kLO4bNE6dUGoxJe8Mrmfc2sFn
STMNE+urITX1+9bozGd1UfCKYHf4Ks/JpdbF6A5Dnfu0UXGVpqAGxAwtSjBoBf9V6382RR6+3P6o
3Z27MpjBilHN2iostR3W1E3HRNLMwaIiR87pTpPm9K6XDTz5MNR11T7AIblWsUUmrbm7Pf5rJWMz
qVR0WQ36pPTotigRbNEtkitelq5suidZjrOneLL7p8bSc3fRivKJH5I/2p0lnLYTgVNH9fheIm3z
CiWVPTO1sMDtJ0wr26h4GGTgYN1iY0OJHpWDrwas+VAHcItIscO2NJ/iTMHwEsPHz4aNA0tbtZYn
0InDBaKNPFkFdzAxumsuqvKASh3aUopGA3mKFzftT71Gq0RHQ4jOOmY19dnOl+JJ7+P5m6KE6dH8
vL3JEM9bpaDWFhhEjus9J/dZLckNu8jo8uGpsgdxkuNIO7i/ds7xiuSmD4Um8MqdvB4lyo04UO2a
6BGJ8VOYT2jDVUrihU1LHWhOM0/NOxyhKdb4t9f/FdqxXX+yD/QOuarXvPx66DJWhnHAhIEEKsnv
qkirhwdYsGrv2uYkB0hIVvP3Se00z9Yb/IYXI02/ZJN1gm8yzW489vpfRdz0H7sKmXYXqRf50Zaj
skBoN6i/IAahvEiy0n9E3nR8Hy3W+MckihUGTz8CCXO2L4zP6y9I59RGjH2dPEzML1KIiaylYtLa
RHXpLaree6ahAfqnzOdLoj9Cke283eQeACGgUKy1vM1VGCoZLk9NSWiWA7md1UB3uqrNLoYSHNz2
r4CKN2sFS4ToXUFifHsBZrOc9sti2v5s9e0nrS+Hh1qqky8gElPsBetu9YgJm7/hOKrfIH6MjdP2
4ofUUEGgjBzP72Z4iT8DMEmNp0/TU0IhNXciI07+UiUFUbcZdcCvWWpgvd2U6Aa6cxCo31J8rY4Y
YDuBCEUXJo4VQ1NgW0yLW9tCPoxVU+Ih9GPbaN1QDuWDg7VTYeW9wJyFrY1aNGnM9eaY4jzOMSYi
SG3GESO5NrbxSh4xbaFFqVlYRkfx6lFaBN8xog8/tsJY7scgi7NLLGUx/RvgiuRy5dylTjeJ+OPB
+dt5SddiH8QoCNMg0DbbpxSWlARWJvyxM71aEt+npFnl1PJTERqXqkwfhjJ7FrgdIeDxko/y3zgi
PVVzfh82Ff6V42msYteQi48DBf2q09zUmi6SUp5UA88eAR055Aj0Gq9JLxpHRY3jYJL3PmE12OTq
ojJKPfF6juPM7FNQ9bZPogd4swdgk1f9alhsPCqi6zxrBTvenredd5MiKd0SRNw0bq/tuvZIfkfF
bPud+JFl+fKAlGp+V1RAge0B5d9GTk0nqpv0pIWAuG8PvtOWRdhrpYjSHuDO3cKCs0DBuwhkj5/Q
AnZwcHtQgvYsJc0nObRpqSuFL/XZx0IoL5Ep/dLhM6hxeyTtujvvFt0iMiOQWNvugYKwb5jWne0v
oXhWxmit1i88nkUcnkRQd44V/Hv7w/cOLRBsEqHX2G+7Wcc+y2DWsdKVMiJ0ktuWW0ac3NujvNr7
bO85LgYk62E0UtfZnolYRjOi563Dguw7PMH19KIkVNEruZvSorlMGV0ZOW/NT3YwQZKLLf1sKmF9
XjDe9hOc4i60q6PHGTG4ByTINB/j6OQymVH2jOr1nzcl0fYAILPifuy13nF9ANpFk4q20my/HtT0
gTae6kPrwzE8VJuzWBLpKZSk6eDU7a4FoTCsSpRpCE6uB6XcvUAEXWyfIkxCsbI2Ha2sjYP4YO+c
UZO0DNAOFpWjzeNqLk3VaMFo+5lilz6MC5MK6Ch8HM2Tz4YRt4/xEouHvBjsj01WZwfDr8f4zU6g
hChW8vNqB3P9kSD7a5FJDN+kaw89MxFWGHB9oTcgons4E79ub73dSV1RXDbJMZ4zm0mVqhgk1UBN
w450DP8CS790EPe9/69RtkG/AfxwogZu+5LWtI99W0BAFlJ3MHe734IOgkKdD8T1ln5ELWambNKy
K5Ue1fVesbzQRgriP3wL0BRUU4hdAVNdr1BmpFqu9wPbMI5CLlvzI27xR5jevV1IlglhC14TDdnN
IPiGd6iPctNNUaG+y+wlfl4EgZY028lFyyyUB6YWHnldqidBv/zgG/fCc0JLGqJ0rei4bs43mIOo
GuqMmczV4mIkvUKcxQUIZWy8JGSPp07rDXeSrfkgPNi74lfSIpI+nD56BNezm6pqbdIl5sJdwuh9
g2q0V5vpN6VpPtq9/RJZuDbfXs+9E/f7iJsDr2c28A2ZKxeBUo9ewU9sFJcLTBd3GRfpYIu+1dVa
WesrwgmtTAOUz2Zh66aP+7TnQclGqfiWN+VUOxWqv6e6hQke8cg+Li2SjsUsfYnMTtyvdoHepNmp
29v9P7ViRQdrvXNqAMRB+eHwr+YUm7VuhGT35Cu2HyKldCkKfbj/f4hLd9b1apTNdy9D1IThes/M
EwpUcRjoPipbJu2ytn2fYryJqtxR+rD7ZVxsylq1MegBXe8lo5RGSay3jlYuI1HiMrvmmsbf3j97
LV6gMjSWqYrTFdxyCQJLS0td74GdYPqJslM96neSTKcUoIB5tju+qzNF8k3X0ql08GOSFyeWDSl1
SUMm495IhsV2cP2pQgx6iuBXP1B5doRUDrYHzs5qnbww0PtUZs59WK9en1qDxeN9v8w1hR/K8qtR
mchDV+v505HSem0iWiJ/IZYIXzSRtd9vf/VenkH+iZsI6GqY2Vs3ExNlZ6UE40jxSB0+GL2IXLqv
tTdFSnRqQ8X+0iTd7M9t0HitPmv3pVboP2gtDu8UI8juo1SS3KUHRXH7h+3cnOBMV6AnvwpQ1uYC
QXhSx20L1YtoMRuHm7LFfTggeaC+5OZpTl8M73d/MLSvttwMn2+P/laYAi144CNIfQAhNRCkvt5z
OXnqQp8i8MmihsYVSTg+RYExVG4s4JkVk6IIL7Xb8EWpVz2GdOlG3IyD7L1KPSFyYjyKF8cuSGA9
iSbwKamnLPLxeszWG4A7xUntTD/42Tv3PQxacsaV+gdybj1Jv1U3rUk1pGRc60tCHZ9oF/6URrM7
iyxCtWBAhgG/4MGX28A8oHDsHNFXvOFrMY427eZaEEmWDOZiW74yo+LlCLvSWsfQq/zgkn97/dCS
BdW4EqNwR9iCqGQcqbWyHSw/aEXmyVIavURJk7iGPlnniYTDyUWQvtzeDDuDrg0OUDykiETLm5eF
fYIDs4IJhR6obe0stpjfl0L5Gphq81hWS/GzsSbz4Dp/hctcR5B0IAAlQsWB9A2w7noti0KbKiAb
gFN7YiUvkFMM7gK70yxnQYC8f26rofokN2MculVrlJ/ioNU6Qumg14icrBVRKGCAQIIttIcuau2Z
smwUtl4VmqN9mqmDtW4fAeR0W83IZQAlgfISVNC5nKyNp8QVWZmoj3Yz1zXiM30SOhHe5K3X9pP2
o+ccdKCpCsgRchOU/4giHX9Y1KG/xVbZQTJGXbJ0Gj1pBq9b2uWugUVT+0nLUfEKebQzV08RUXAU
SVp4TzL5hSqDLDvovHf2vV1g+3wJjLIWbkxN6XGIu6z3QlPK4bxLxuJQwMJlF5TKMrhGHZaZB0Kx
AqyaT2bqkU1mH6bU6uPTPMdfU0Nqq5McBFPmWjBJvs3BoH+Y7LiuHDq7U/aAithke6gbjtbQKn5G
9p57plhMBFKHfHri1yePQ5M3upvORQpMtpc1kIJ9UhxsuJ3ogsot/EcCJxyzAKNcrz0uHDGVv8jy
EUcO76lyty+zQQ3EDhUN2UxUBWulCp4bAa5nmkzxjLJG5ZcmTePWBi2gW9WfZ20qqgNULojHqSFs
s7aot4PQbjXTz0SQXbS07s+Yldan20ftbRDHKHBM0VsDO0cKff3hVaZHmG8rpo8tW3ZpCG09RDY8
nEImMsXySB/0aLjNtdVqou24UUwfupXptnLVnMQAVFq2VneBePjz/IkaORk3HUysDeiHX39enEkN
Nuqz6U9a1Zynjp53VknjwdXx9hVglDV1Iq1HU2lLHG1aU0OyvzV9M8BEXQva6cOghRowR4nxcLd9
tEB44OM9HTHr1t+/ubOQ8qD4wS2NnMgWOpGFlcizuTJ9oOaSO2ctcmd6Vt/FqTX8qbI3xRxBUgOs
n74lENTNVCbGYhnpaPjGIpo7rpfgbrBUbO1vb8idL1q1cbBBAC2x8vivh6Fwk4dFXBp+FknhQxon
6mUAtuWXtVUevKE7Q0FhxZ2YTHFVQd5c+HofoVZQRHCqY6lEI22pXewlhFeVy1EBbneoVcHstSJP
A+D6q6I2ittmFLpfGHHpEyPQJxzV8axwKR5sxp3HE2cvmp68n1Qet1qTdC+bLlp03cfQGFJrGiDu
F4XGs4yN/FelUWSk+ADe3V61nUIc08gp0KEvr16ZG7SArBCeYzSsoVNKeaIe0TCbKh7RzNLvhyxt
0Dkc9JcxVH8mQos/phpQTQw/Yn9ahEAwy1DuF8QoPDPTOz+008xf0PqgM5OGSGAGn2//3J05ei1N
kroBFKaCc70cJMcBKcdClyfXbS477gbf1UH+XZo8iC63B9u58zCip93P3DDgVseVxqiwUUbSfQyu
tQcCQuMszdKAoB0GF7OUj39Mr0BWCDgV6FmkF4nbrj9uzKqRIwzqOViAxjYKFN/czuODr9rZ0a+s
MCJ1lh34+/UoVjIkdZXFjGLO+ospsvkUZkuHnDvX+e0JfBvrchGsrHjadshrbKHAeOxkhZZYlGbn
RnkXiDZEcSA+yn/e8u9ZpZV+ipwhwAEcX66/qM6tyUCSU/XRVZTuJWEHL20aVvQDkRRJnViXypNd
V9MdNlnTv3nZzH4x6dNdgzbDOwtC64Mw6UgbcV0uqLZkmVsTxGJ7EeM8b0VL6y6KZL43smj2/3SC
KIhQU15lbMmot1lIp9VlZ1a2itQJrY2sCn7adhP+l0Eo6UPsYnY4N9fTo9RL3iOSq/oYTw9AEsv2
uxnWxafbn/L2sKC7hg7CGoHTLdnS5vQ8TBOY/xT0FyWgittH7tJ15G5gZVABjg+Jlm/f7usB1evP
kkYi1mQyLV+tpO5+zprST+co/3cs0/g+eowgVSr94NJWtlBZ6UmP4yny0RUa/8qxMyK0tcRLYiIJ
YgMv9gkD7Etb5erd7Xl5e9z4mbT/1hr+2sba/EwtXmpAkpaFD1Rau3VPIFiNcu8AwNAOFnqH0sFY
MCgopcObQXXwekrwpRFg5vCIjkMldeH4NZ5SlopLA3nyg6KiXYE8851cla2H1M/sDakuuWZRFwd3
zNuDzw9Bt36tsZNlv9kMgrwZRo3lTz2yhmOAdrg2i6M65g5kkmH4TnoyEJKA11x/b1gsWRsAHKD1
E5K7wAq7hEHUO7Vdk1kbFcorszq6GVZTDxWI87uRIvfB+u59KjEqZUSoqdDg13PxWyGhTCJSXmAX
fhRaOi6BUelqcq//8U1KoE9SvSJISC3k9TD8Nopc2Uq5uv74cTdaXjCP8yXBp/50e6/uHanVRBD1
nlVdY7t/5L6ZYCmpK3fQAnRpK9NFWax/x8iiFKIqMMrGNL9XiQEOQp+9Q/IqY416CjnNtvqOdmgX
ZLXOJC6V9dC1RnBqgww/a6U4GmrvngKKRehN8RI41GbPoJmvSdXMeo39VHhDQltRUeIE69+OR93Q
/zyReU3R6NOBWCb63qycgpJxK02j5ZvqXN6pfZw52RDZB6HD7ldxv3PqKf1SkLveH4My4wYuTVSV
Cst26WdVlGDi4hLn42dtqrP3tzfKK3TjOn3hq9ZuKDEY4eM27U5pEspBZJv+3JUFMt+9cC0jnrwI
SX83DLXKaWHIXND/NC8j4YEP+QRd8rGJ3i1Z1ngRFUNHgtBBUoKVR9brozv/D2ln1iQ3cp3tv6KY
a0PGvnxh6QJVBfTOnZzhDYLD4SCxJ/bl138P2rLdhapomGMpFEGqSSZyP3nOu6iQSYa20HykvIfH
HruRB9Hzkp27Fs3lyJYPrj2Mx35ZsZ9jPN86PGgOgMTUyve02ryRTYQJL8YCRjtOvl25PhLsrl1N
uP6kVqjPRnpfTYgb/JvUmi5OmgYtxQIipVSW9g4pqB4uzeh+eX2wrs3NysFf/e5B425Lx0bdG3Je
yMQpTa4HeZ5FASkLsDDwN6gfG9oO/vfaLuZEXP0jqWYZWzyz1GqRWwnZ+dbTa7/pCuOz1VnamzpK
jUONAHeI0Jl18IBx7WzjK2chxQAkzTxegIAmNmfhFFee2ToJp9Rg1Q/9hKa0lrftzevjeeWwAK/H
DedQLATUuAn3AOlOmQ2rOhjyDpe73JI3iVE9TNbU7uyqy9cGWcwXLW3u7qIwkHjOY3ZVHFsHQy9H
HADAiCsLSCFHweq0UZXmrwwi1A1CwjVm2wrcK9BJurpNOYStcgpLTypUc9I9OPUzCnyzg7lHVl1R
BKF4dWxihYQikgBRzd0JFvRUATE+RF7Pwy2fo0CPjfh2MQb1xiWPDNw/me50cKtQ42R+U0zIJ/PU
646a2pm3amogsFMM+bFTkj9kN+qPACI0SBJWdaN1mrzrsuG3JYeE5mmgoIao6N9MCEY8KF1kHzoN
5F6cRiWMqEWEr6+VSwEjdLkwJ2YY8ZBbcwbnB2M3lF7SFYUTGLGY9UAzpCIPsWK4v+eSGqGfVKrt
u1C/0LxIxvkNvgpm40dW3d67oynbY43g/o09VyC20Deqf806ddrL5V1b0ZRvqCKvdVJrW5AUtYil
KUliZk2PTJGqlIexGvW7TrH2kJRXm+I0WiFVCNS5m4tCKE0SW1ruEAhn9bH29A8wPNObtgLGsjP0
106DVSH3v5paf/4iZqmKvM8cYduBYlvOo+cIGbRRlT2Y8PGCyYvk15IXw8fEJfzsy8bxY7Jx4dJp
79JYWY4dCkq3OeyPnYDtynMR8u1aaydg1CBjbL6LTD2DOzAEprD90RKBxGx28Zyvmre8EQowSFXj
8WLCMhTpW6OfbgZdPI4rxLzPkrezVG5trfxcWd1hNtSn1lEO49Ls6YI8X6HbDUoADQeeO53DfPNO
J83hLG1OgtdVlIgqaj/O954VD6cu6UjE45gTFHorb2K8GXy5VBCgBIJLulgGUHFpcZonYzwpyJyf
smJOb5Q8N5+8Pl0e7NEGN29S2UjtRfvybzpyA2NFrBSMejbfoDA8ngALmZTpG3fndLuCq1upz0SY
a2aFfm3ioXmp59jJaGvVZfs+y7by0eMZjqlqlrfUHLqDYgx6qOjF8lZ4JRhHL+ENXxQWhvOEpn9h
kZJso3jEdYWDyWYxYBM6zWnq2YFYwTNtU6BHpMdmaEVm4af5gvCpqyQQUNG0U3P7RzOUAxz1PPMJ
UNFTbNQ+aGC87gzTOrkXk09OAGAcfBfw4ud7x1OADeVc8kErogdCp/KDncX1h25A1FWq6g87ceRN
ATs4MBZUDV8flGsbl8cGFUp0vZDh2DSuj0OW2mlkB7x45qOWwL8gWPJ2njRXwiLy++Cp12FHPmwT
LPRaNLbkcKkVVjiZWlE/PpRz/smE43FKO+/noVKw6tBmBMxJMRSt2fMRXWkefdI4dtCLyDlFk5Ec
ax1F4deH7ko9imZQsTHJrQH2fV7+Lw69ohWGpozUScos6300ivIDmeMvi157x5lffx1nlDmaxroz
4gr9XffRVayj6KfPr3/I5ehirbY6ulHxdDjtNt1t9Faz43zUg2nOf+PNpR8sBd50jIk6mLey21mv
l9cKzYHwfvZqvFSGqa0BhzS71ANzUZTeB+LV+0NeiHvdrsyfrmectfWcFXgxxDyjmtYpMvJZkTo9
lHn2ZySrvaTi1fHDIIWsL2EmRZrz5ZJXUWY1NijPeYba6vaeejJmWZ2cpuNp5cx7D/xrAwhgB3QJ
eE/AiZugFufQeUUba8HkyM6v0Ld7Q/hXnlpLm06vL41rTYFMQp2TLB1Ez/XnL8avVAvEJxDOAvpQ
qqc+AXOjdi4OUU6U7TR1bRTttVvUnmBYbkcRKVp45+j+8+oxzTdGJeVdE9XyFIMzvI9kWe8sw3VV
nx+buAzwtgctDqcTbdDzrnFcz5lIKrq2qGS2RrJTpwRzSl6GXXGK1Lo4KpAZj1Pu7e2Ay0OTpnVS
3RB4KRdtcR1Tryd6G+dagB93E1Z4kfkltMmdAb3eCkcLamGo9W2zFwue9LXmJhqmo5p56HoSJcgk
7NkwXVshlPJ4wiFTRFC6TuuLFSL7RgIpYNpWdXQYYvOCw6CcD7VZNzsdurZC8FIgi8eDB3TVZt0X
JtJfVVNrgZq2uZ/Gk31sRK8f47of/A7u8c6T7kr8AdYYajwEeQjkJCfP+1Z7KcX/MlKDZEzcQ9Eo
2YPiIi5kqrHlZyjUnwpWkfANZKnBNET6jVqryy14jPrQlM4eEP5yqPkc0sMozhD6A9c5/5xSrbSB
j8UvrXUhNal1EoxcYAGIiY+vb/vLkT5vaf2SF5MatTxk4TKoAQ83+zRXbg8CM8PvSqjFCYrYt9eb
u1ypFrAqtBARlyEu23pstQgwFEVJx1ZpkNCro/GUa2W9Q1K9Mnyaxc1D2pB3HiHqeafctgT2UnkL
4nRteZtYeRyUAGpveX/uVUqvdAggKzpORGXr6bK5UVtgqZ1eWUuwWKg1o2/cH0DmpDuvpiuzRCuU
y1wqwGtctOlQpFq9Y+tLYLWiJjWfP0ZZ9KQNrc3imPegU5d9IvcGfgQeBqR+rrrz1mQfMWTGpAe9
btQBSio5qj2t8un1pfA81+fHMklJuPXPYFvrQqbcK+siztVGDfq+jYzDqE7R16XULeNYj8gr+YPS
RtlxzKOFeBbb7PsU0LMM4qYS/R1/BGmsHkmh8h4Cbb74vVpoHzQH98ejzmFxBIkav0vTuRxvo3KR
n3F5sNFFk14yv1O95k/gpvITflCp5keyX76kS9SMftf0EFLFoOgUJ9Ixz98Id7TrY6GltQaOSWEp
ZQ0A7MmpPqn5qPX4w61pvGmtshxfH6IrE8FLGT010CCohm7TFCpO16VhD2owtUUXNlOi8joV4rfX
W7kCYV0RNejbrcow+JVssiGCWB62HCrx0aRQ7U1G8VSWS4M+IdoT6YMlZyVdB85LjlHL5vWhfzjz
IU11K4yryHyf2Kr82C1ZBAkTYNXO4r+8voFzEP4g4ETEdaFRPqpZok9lNgfGZJf3Kzf1aIyieGo6
BVQEdBBo3G35BnOMPX3ay/GnZYr85N0I2+1t/hxLRWqJHvXdBs+JGx3A6dFwy2Gnf1da4c2GjyiI
I4gUW2sAQjxTGVM2d9enI8KvC2L15mTv2N9cGUVq7avIIIk9DRzg+aauGtwp2dZLgPR282RgG92D
UlyZg6peHkq3VU5KMfdHQw57KglX6KsrHmfVBwQIxEJeR+DFJVPnjTHUs06B3ex5HoupyL80vAua
u1zRl9pvlbx+aCc1Lu+VrIFBLIwRr41YnSvFTw3FtU/dYnbfpBTDA691EYVmNNefPDKu4tBIBSaY
hBOHcFXtKb7XLP3k11WpP3URJMvjUGvpXsrs2qxR0yZYA1CL+MlmPLM66mKjwYWkXur+WNRzFXgG
HLTX9+ZeK5tASLNqx63VbgniqkvubeBhh8Qu3J0VeHlfMj/MkAXaAETTNtwa3WxUkPxiBWZl7VdN
YvhmVi6HmANo5yl8rUPc+xbyqsAzgJ2eL4W8HFMcTVKaik31mKfQ3FN3Uo8/P2ygZmA7kC8Hyr0Z
thhwqJPM7hzwDCFhZxXjUTGiveD+8lZeIf+8lp7hDdb2ydSoTTHpvQm4fzbE58UauhCwWx5WqPYc
CljwO726Qtknv0ZFm6OIgtEFSGdc7LzpKegFBdDp+7zTh+qgJcuX2IjQ52aZ+JOU5WFSrPLXiK31
hnAO0HIrld+bcmlvMT4Z8CICyKwMKhJtSQUmZtTrG7OpVcrl6R9mp4pP7ORy5/S5HKp1o3CQElJQ
9t5eMXYrnV6tzSloTG0MUvgO972eGx8ja9JxAO3tnTjzCuhhLQXx6iOKYYK2QFjAAXkr1qGaa+m9
LdIkvlOn6ktvlG0w6eonezLSAFER+DBoE94Q6xeo1so93bVr30Gme41210ovd/n5eq/nKLXVqRsB
PJbyV2A/OTwnymVvKxk3fyoK2RCKzGNRnox6nN+VmtM4GFI530pzLPbUJi73OY+qVZuNgAIs8jaw
m/LEGoCurdreFOGMxukfLIThjsWc6ztHyuU+B25CLmElKJNo2mYunFTg95PT1DCM8VfsdfpjC/xj
J9C/NrykjQlZqOZQXNzenVgYefZg52NAZvkjyjvRIR8ob84LKi9T/rB01t3kjOZB0Ydbq0t/552/
B6S68nbkjcZrZn3PMKZb9KE+W86Qz2IMxgzNI0urTOzr9PhNbhq1T1KtukkSzwimsi8O3Ti3d1GK
6UKVxN2hSAZz55C4MvAItyLBRK0deYEtCjaT5BwGxRqCIrGN9xIWzXHsq3iH9nRlJcF+J1rkOqcm
+DwmL250rXaB17e0gjxNjWJ+3H7oFpD8vqoY7U6Pnmub5w+FFVBAvpLaFLiCrUjKgjRF3kitowA5
4dxjS3EA8OLi5jG6y3ScKlNZfEuBlRbWQ47/tpbja36wBgU+fBuNZnf0YGfdU2eKvlltkxR4/+Zd
fivtyChuHK8jm5Z2tQGYNWlPVusgwG/UMvkGMnDwwjixaEBgz7D4rSG1DOEM10n9CrB96ZP2LzUf
zKmsD2ZbRTdGR50bfSFdf4JNvzwkTuu8V80Jd2O17sr2GDmzGvvI/4rygI57f9J01AAPWmR5k59W
6oAGx6C3D3Mq80OKRgx6PEVWfmutErf2VlW03xJSeY9JhUfbzVzM9vcc/x795OKsU4ERhgN3iFKc
PvxWNOZ0zF2rHx4Mr2ipTRgCQUIB/gxsBVXc1y/eC+AwYR7EYxANq1Au5916EbxYGKosFRPxMmgq
ILBOOlfhbyIa6hANIu8JyjBuA51w3+WRlX91lSy+NavReTSpv/oISFOPSlDalubQ3DeFo89+mqne
54Zj8QZgavpA5TD9yYhk/WIPgNwK94c4sUWoN1IqkMv7OhjN0jmIZXEII8dlJ5C7KNzRzKqdQDmX
rvKscM4HZhwRJ2CN1YE2qjrGkGmHkp6qi8RH9rFEAIqnK4Z7Y9KJoxuvXKXBrvr7XKu/6kXR4/an
g5o9zCPoeT8W5pT7nTQw9OpqnOpuJBU0aPJpa79JeixIkWwSw2dHVOMf+VDhK1XaxW06qBx/OJDZ
P/uEpHcgBhhB8gZrAW8TcOVAP8VAkB9UwhZPzlwnD0YuvHd6Zze3mkIi3uqw68PRoqnew3yd36dO
tVYDZjAnqZlK/bC0lfFu8cw9efXtgbh+GhcEiTQCdahAm4Ev55Tcg8Tve8JuGuqgIYKsivdMKLbP
K1qhlkEr4OZJPG3XvVOrWMtQcQjE3ORPsNHaRzhhw6FPSutRRqX9iJRtdhJo8+5tuTVkfnk8rk1j
QYOOJYuXd/ImxIgKHTE/zFqC3Co+F3bF8jDUsfSbTO0/TNg/PUUtVGOzjX6TmY3AczaNO/fw9jqw
uOepnrtcN1BmLqJ67HstfXSMIRgWozokjd3e1Y1Qwn4iuHz9hLna1FrB4jIwABSt0/3igEFSVUk6
F+22JXN/tNls3M5V8sUu5B7O/wJHunbKphwNZRpWAdDA85aQG68K6RRDUEdYuaoCex8ny4wP9tzg
5ZWh/zIh/XeMxrz5mKnlcjKNn8bK8w28L9fI0eOVATP1/BvseB3tweuDxQVYYCRFd1jqbu8IvDKm
6ysWIxwegUglbVqBCuTBCY166LVlBk6wjQ5wivv7grzEzmV+rSk4RxbjukJanmEYL6ZPtMD5nMru
gVfk6lFDuPCuqub6bhr3BPa2O3IdOmin7Auy6AYa8udDt1jGNIqYQrxw1BJwD/WX3rWym8bAidZY
jPY97qZd4E4onL2+RJ+x8y935No0uk6koBGfuhTRh1xpNKNs+iBO5h7zMUPzLdkjX+Ah0a2Jpax8
7v76A5b05DTUJbR7kGS91sj7WXjyJtKFc2S7WYFhFBleeebysY7KdOdRdm0ueISvKEToWfzqfIQG
yhqRQIg7UEegCjYq92ETy+EEFtbaGZJ1V56PiMYVwDysESnZxs1e4qkx99iK14HXSWzfzQX10TGa
ds6GZ3japhmLu1UFW7+GjNuwtM7iLBqSSgZaU9fWMZvb+XdDZRX48ey4dxNGPZA+sOJ8yqe2bfzZ
tEHHpoY1ej7mw7LyM6O1kkCWtn7MhWk06KybzikBP4vjjIYbaxhVKrFfqs3GD5mUdeW3ltVyf+Po
cEfxSHkcI1P9AV1Yga2Ti/irQQ2HWz6ve1L3Kt66/uyNLSCjtEnaQ26X7h9Dkak/LLPvPknTiONj
OrRDeeqxwkAmcbDcJxfPY4TJLTH9lijCivxWmulnWJYY3On2MIjAiyynhTCv9e+sQcPPNTayVR4I
fX9VFMvHIovANPEYI+tnFAe8jZdPo24kQWrWuuMraO3FB1KELrhbW7ZvzQhezE+GWgBqKK6tMcLK
cASbf77gcrfLraa1ZGAVgmN1xiq6Tc1yp5X1Qt8sAqokq7M84daaMDlvBcGWGXByIQNQrc2x8PTo
iHBwBiqH6rZ0lOgI9nHv/n+uKZ23ukJI1pyTyesLN7jzVtsqhyCHfsrKsjAHXyJFOh9LM1HM4ywU
863UtexNLot2PCysUROVxUb9bjlCO7nLDDEjsefoK/pAy3ia7WR+qvusskKz6loRmDqSulET2Rkl
LR43pwlh/vnW9prk/QxTFUNkAY35lNRdpPslBhKnyBMo/BkkGKaDkhoTjkWrmNSR3DACA07RxdCC
Y7vrAzxGkgz5Ck1F7t6oMSvFhmzCP7ycRy0cpRHZfls7pJRmdqy5stRnFWsv2jH7jwrb3vLNEYXk
Awex1u3M5kXgjFcEDC3Iac/VqAs3zbLu1EKRbUa2hulMlZRqa9H3y9tkkVkBraLKfF1tjJKPcAf3
bV1kpI7LFmOcJUcd61ZdhuqH0S8J+DiIxX5fsFcPZqKm9SGtccVmiy05T8Sl7U6plMjLIkvVfQEG
5z31XL+Jz0vYG49jOVfF2527Yl2NZ+uGijPgAp7suMJBKdysViF6o8v6Jgk6zJih5wxmvxxNQ6nf
RrOnYALkCtympOtB28/hjTXHYZIekrAMChAhO/08erjHPH/Vv3+f/l/8o3r7n+23//wPfv+9kjPo
TtFtfvvPN/JH+aFrfvzoHr/J/1j/6n//0fO/+M/H5HtTtdWf3fZPnf0l/v1/tX/81n07+82pBJ04
v+t/NPP7Hzw/uucG+NL1T/5vf/i3H8//ysdZ/vjHL9+rHmUo/rU4qcpf/vWj2z/+8cuKWvj3l//8
v3729K3grx36379t//SPb233j1845v++OtiuR9cKL0eI+Je/jT+ef+Safwd1Ad2BDAMrnOn85W8l
orniH7/oxt/xPOFZQAaQ/x+u0S9/gxe6/kjz/g7QjQjWIJsLe8f45b8+62x+/me+/kaC6C2uN137
j1+29ytXOLogxIfAM0h5buXSqrrrsrbrBuzpyHo3hhYfE6EvO7f4NmBYW1ntl1irHN8c5udnHIjI
kVpIMYT8se9Wh4JL5EbmAbkF9ScfFNuWNo82qVSOHO18CBUJWWOqqwzWj0iPiWL8tKAkHC1qi+i9
rLYIQPTOO+W6Y27mut6HVaXEMOMs5aEYxha/t07IcPA8iUWw2lLd0drfRq8xWEH/vcL+NZU7U0cq
BKlh0I6rVMU66C8iYnI/0ap01xME6jb5M2x0nciodqbuygJZBQ1YHCRKeQlvpk4bC1dZVMwusxa5
wjTtxSkS3k8nmBnLl61spq2VotWiVdpCk4pyn8aVuIso1B0NDXGRnx42m7w+2rsG9wOx8PmwlUYv
Y9eJulBXI49ca+d84A1V7jyurwwbACS43h5xC0SBTYd68jFJLs0ulG5n3s/VFCHr3u6xz7ZPFVY7
iDuYkZwPYGO2oG7EXtwV2d+FsV42t7Vmdr4koXBLjtK5wzLQOUA49o5Yse4J3F3rn4twPQK0a6J+
67KopgqRQNl1Yd/zUoFlIk8jgcjp9bm6PDeQmuCRQXaAj6UecD5XzqKikFXoMiwjrTog9Yab0JTY
B0jIzU++aZgjjloQU8wZO3pbX4zAJqutnGRYa4Vzt+i9c1tUdvNUO1Z5+3qvLscOohu6hNwH5srT
2PRqGJRe4pxUhQWbAqqZqZGRjbOdN81eK5uY2agx9uuKXIYoeBk3lZlZ91Nc7PXl2gy97MvmEOzK
QZhLkdAKD+pjCeL9UOFYGyiLvmdKebWptda85ltZ75stlRTpXNRxTFNLPN9YQh+ReLMSoP4gd/7C
DL1oat13L47WIRJd1JLGCSNef7fwSXlpJ/qP1xvZ68/mFW33VApwvKhCmVKYB7iE2/moaJS7hr1Y
eD2kX8aK6+JGMZHiJRHjigY77w/LnRBcdaswba0mjDvYD4mKPHziFt85Dffcw68uPV4yCPKCPza3
YD0B3yYFAlyFuZMogbKWKzLFyX56ktYiIYUkAih0ybZEyHpQnBIqVhlmovvcT0N2kp45Bj85SXB6
CN7IQLjsQ2Kk85GrulTHolLNw87F686GRPqHgYVAEMkGw6bX27oYtue2nusfz0R347wtsUAb8yot
D2vea79FcTT4amSle0iKiywTMSgQdMTqCDxJrGyVsCuA4YUouzxU3Uw8KbaXQJVokQXPsF5bmrJ/
o9liesSvt35YrV/eZLz8vvR9uaQHTXF59hhieXR6RRBwTOk9N0D7oQTPvgOuvVi163cy6CsGmgzx
BZkGdrOVdEke9nHvfW26yHrS7KoOldh0jiq6dz97ZwNP5uGP8i1AU2SANnNtojtVtrGTh7qmfJ5V
5FpzdO9/dtXSCMhI1EsgVJB+3zSSLUBMM7XOwyzKm8Ap6uGEumG/M3SXrLQVau2uaA8Ss2uB+Xwt
kTMyVKVXshD7NPFN5sKYj7ZilDzyTZf3bJvK4SDhGx3KpZh+NQzhhTW6NR+5mnRf6K384Gqx/jDO
tfNQGAyEXyvDmPnF0C4n2JFVMMpKq5DRHeS7n90HlMSpD68atqt57npwvjh9dQDiqPyZ5C9z3ICL
nkJ4g27vzs6+iJ3gqq7VHTB6oBp4gJ23osSe2rvkSsKokdFvs4RiWo1zHMyDndw3Q9M8ROP8w4FP
/uH17l2SSNeWMchgp1MnIKt53rIhnRJkWpeGjhDphI5canywltn6VslmTg741zto0tvG9G5O1aw6
1nKuM6QGs3h5WN/zwo+61vuaTW79NRb2PB0yC/HbPb+Fy+3H24L4DrERamD87/wzAT9p40SGJwQ9
ZACnTb9aosTativmw7wY/c7pd20+kPhwwGIQnl94heUedO9GXdIw6wH1ItjaUVDnUXCwuyQK7Uya
X/FytkM52+Wn12fk8uBFIckjFANeThHjgsWKD+fc4lgfTpFdnTrR2Qc027Pw9Vaek8hnt/AKkUXI
hEgWpAVV//MBRc3MHpMmT8M6bZrSz1VUA20EDt+37WTeOUlj3M2zJj4tQkSHCvOG27EeIvM4lN10
i7eSd/P6B13pNs9G8hKA6jjBt3dbgryZVkk7CdtCzVj86OE1Sb+3jK61wnwSvGN/gKDPZrU3yzwt
PZTvEMXL6RSTXz1pKYCPn+/Ly1Y2552WRHMvuS7CcXaKU8Z97utltqs+fRGzMYW8GYkDSNyRs90E
UlFl1iDjTBHOQ/HGLVXjg0jiBrcPYdU5osQ2xmFiLisDF1Bde6dHuvIrhVSvDFzgXLcJylDrLz39
D51N9aecnGTPWPLaeIN4Jq/EAYqgzWa8uypRNJwURZhC8b0pFnd5a+ZGenp9vK8NBDuFpWySFmD9
nK/lrF60OEXIP0yyYryzvBrdZo/cAJH7sDO167bYbhuq4xSHgSFDIt10SIx5C4K6EyHZlT+n1HnT
JiZCqZ3zScooSF3999e7dokNIztASgUBZB0NO3BD530TrjYszVSKUOnqLCzwiYr9JIq7Y80T/o2m
LWOoNHZ3P6UohSxWXFKTNMRbptL68vqnXI7yehICXwLmTUlwi45Ask1F5ygRoRzy5aPtptpRUHf0
DbC8O4fB5Wl/3tRmlKvF6EQ60JROWB2gfJ3dWGg6hVPixQ92jxzK613ba2+7Yc12UOuI9lQkXQO7
ksYfSZZNBzTt0VoBcLNz3a8L8nwVMatrbGe7GLGAdjif1JRYp/PUSoSGiLSbOlNN9qtDfhu3tkF7
VCj0HEYHpeYo6tzf8jTS/ny9w9eWFUMMhIe7ZlXLWzfui7BGGJlSY0kgwrjW63cN4LrPDpnpQx9F
xv3ILJ9qp8jDfDazOy+uo1PvCkSu5HD7+odcW1QGdYPVf4H81JaOJ6bK8eK8EeE0aorfsO0O/dA3
6CVQWP8LTdEESlYkSnl+nnc5moZGi6tYhDCUs8OCZpmfzbN7yHW5p0BybT2B2gYch43resueN9VV
KRJouROHtSrEnSGm8VQ08BnTOYG8I/KfNl1fiSU8ogB6cDQxqeftZUOjeHVixGG2iOq+bAbtT9Up
9+DPl2cfrdAbssw6AO6tZmQ9pbJrsdwK1Soavkig2X4fG1qgO4M4TLzLjrjU/HTKd+0aK3TNKaPw
twU+xeReCDXLOKRsJD8sVT++E5ox7hwAV8IhA2Yt8T1JN+qq26hLUVzEn5U0DpfcLN5lSzZ/jzWz
vZtTI3rSx9q5w1ZRnMxSl+SU0hK/Rmd6C3S4WJW19/h4l1R7es3CoSK35qKJz84nVNQLB0haMNQ8
wt9kRHCfS7Eo3KBtjQx9ZrxX3dJqfGs26h9VqhkntZjNG5zO0kepx/GtUWZi7+67vMz5KANkHIBI
qkdbQmKhaqOSKHUcNtIzfqhqORwKewAQ+vo+vYAsqWvnKX5j24gmKM/g887PozG3difisKcq9Xul
SyyCG1AlXrFY97K3q9vZa8StF8P2kYWU75ZpnvYixetfAdMIDCh8cjg/51/BWvD6yFFQKJrT5ddy
RPAbYFF/7ETeonXYuaSAvQxN8zR9wsEJ7ETiVb++PhRXRpyUwzMQlcIYC/P8GwaHI4tqrxIUqpO9
U1zVOrle1uws/iunFQW8FTsFE4gFtwkx1m0n7HJU8FDsPivd1D4mogjK2po4v7wPr3fpWmMGZAZO
xvUK3B4iRoKcfTZ0SjClGZgdHnsn4gkLBdLSvefU35PtvzaEK1qD48oEwr+N+IWXAhvOezpneIDI
tWw8KImT7ag2X22Fyik83Wc21eYA7kvIx3bfKIHTV7kvURgJ0mjaS9e4TPcmbACeuT5/+Q/Xy+YG
i5Ga7SEoKkEKkeyxk2N3X3ezFw5tZf7uGGN007ruECLev6clc+XoP2t5s0Qor4ilqenf0Fjp23h2
i5PXrqcOpqdoW9XjPbX15OcHdS0mIeXLS417e9Nokhpdm5L5DgACTaE6cOpjNN+Gry/IKxEIi5HC
Bx1kBrdyNMkKJrUaTIi1ws4PU4Onu1V5uo+16J7Q/LWmuMfI5q02cxcA0yFqtHwUjRcIMbif3LFe
7sfYXO4wHJ2Pr/fqAsLOIUqQAyiYjBvvw629u95VarOgsxPYjTEFE9aGAEKiFOWGZFK/G9pY4oOu
Jn/YqZsvhwlKzfcKNQtshdUsdOxsOGLXGb9te0OJfZQyG80HdaQcQJnIR1Fa7nHukbXZ+eorpwPk
cGSJ0c3hObf1F1B52UROlOBXm+XyyczHFtUszWgAcbkFkBcWQC+QMXLU+X2SL0CUPFUk3zOlyt5j
nx69FbOjJ36Hsxx2Mcy79G00eEoQ53Efv339a69MJ+g8Hp4IGenoqazb9UUM3VdZnHpUOINebZr+
6OjKLAgOKu8pcgv79BcaW5ELa0BAZmj9mBeNqSMwp6Zbrd0w5XjDbdHe6vo0PtbTEu3MwtV+vWhq
c+vUmdfbitbj7zaU2smDa466pZKfnAb82f+tV5tAeR7GKMImxA0ELjof4aSrNw7Vmoda9ONOU1eO
6NUPh8HjjOYBuzk8MbS0hmnGSrWzuuWgCHc5eSNcmNc7dL0VzDFWevKKZj+fppzm57Rh7Ejf975X
toovRbknYnLl/Uhf/qeVzbBlrrWo+KPghTXU9Wes8ih9R4r5AKQf45TOwHQIMTzroPbYr/m2De7s
L3STINBaT05KeZvgaHRyDXwo5nxKUyg+Oluzj3CvdfgLrRB6gbZFwx9Q/vlgLouXaUkmWfMannz8
TjCiRbwT/lydMoKD1cWWGvhWNN6dU/wOitINHD2L/TSSGUqz2Ei/3perm4qn9loDWZ9q61e82L89
aRxenBwWSd2bT0Io+edRca2wldFe0m2vqc1RUTVogIOJxO8v64p7NJe9sDPH5ZBOsji+3qsrcQFA
ZZ1yGMB7akibpkwnamynZ1OB3sUdwcnrwzAWEvHAdggNdZKHQS2Kn7+xYXo/39m82Ci6ng+lbg/i
P101BzWGOdal7d00l8nRGzvn9Bf6t/qHQqCggLXFfERlC5l8SJm1cbDu6jlJ7nLgazdQhA0/0d3m
fiiF/PJ6o9cuQYgSQLGwTeTpuzlDBsjR5ZDZQLqHUZ7Wkthp6mJEhR0tniaEGo1k58S/3iIWVhil
Yse7FemUjecM7swWkGlmPxXjaAS6q8iTlffOoyOMPV/UK1tudcYlqFvrTmi1ns/gkFmLVDs2NvpI
5bFPuupoVeOeRcOVXrEkMVEDsogTztY8Dul2dVYHWgETPJzGGP8sY7JgkTma8rH2+r3L7FoSgQZX
DRKECIgkNwFrCtOmGRjkgMsV1+1a0dt3epyUVWD3pftbn3NWmtIo38Yt7jgyWUtrI2Tz+zKL9VuF
2GXnNrpyEmBUBqmJujr+dVuNMkOF149IN3q7VZRAkO6bg6pGdYAs51+ZUkJ0chVIubN69fMpNUFr
Nhmq5IHMmuTdgPaob8aDu5MuvLZwULwlUoefyW22ufhspRrVlssdnDHLs1fT4pj0rfj5ewe6Dfkm
soVrbnKzPON+adMopRWJoHuQOv23BW3MnVPsWlcgSuA1SXb/EjGS4bkic/iSQdKmy8mYES9skGj/
C10hY89/0SO1IdedT4vrLXqS50i0G16DgaGObvjoin5nWq6tM2ApKyeGwJ09fd4KspB5Y4sWWe52
dm9GJdbuIkUU77jSm+Prh+O1poBcgRJay3gQxM+bWpCmQFYFPeHGKe2jHdvJSeElEpRCNXdm6FpT
1HhWIyuQH9Auz5vKhDY4y4RENtAFeVzyrriRmlMcYWHtBXTX8vHUkwjpyHfB+dlqY2laCuAavMf/
5+w8diTHmXZ9Q0eAvNlKmanyXe2neyO0lTeUoczV/4/qbDqViRLq28wMGphmUiSDwYjXwPmxbtNc
gQ1QK0eq1f85So8HaOx8rjxkuUSlEjM6/fvYi59v/7JUf9CvBOgAMmuziNGYRnlOU5DoNVRYJrmU
93KzOrYC1sDrQ13JX9dUCM+uF//3LejHmtw+L5H8OnWNrtzHtaVjR6jzeIo07dFKdUiJYyWOgNPl
e1d0e2IH144e/QbQjjS/qddsokjs9TmMEuSHC8w3fQdR8kASK3eC72UFcdUv4OqhyIU3Ck+y8/1T
Y1c7p1IgEo12vO8W+MlyozrDoxZx4TUISRzbOqs/D6MpT2k1QFfKFrhSr3/ri8nyK4iXwGVAMK0i
see/YhGaPiEqZZ96Vy3vTTst7hDj+vr6INurFsolVXNwMACA11R6GzHhgjWukDKEYVY/duTTQd9X
4mus6fGHitLYXpF4ezZfBlwJK6h8gifcvrMwRMzpaUMVsFvRHbO8iA92L1W/arvu+Prc1t3wb9WN
yh1JGCosoEY5FtsetpdAVdOrRdLDNue/1A5/Lyr2K2Ubi5vcduObaemmH6+PuZ3ey5gu1zCJCwNv
z2LizFWrS76nWbT6YYknNCmS2g2AgM07N8R26SgQkbyvJE8o2Iy3SVosN1Nio7JFGBHhcT1enWVq
Fd8IUHm+YlfeDilie/bX8Sg3g3BBDZZ/bw6fjt5DKeUgwqkyOsRE9eVWxpkgr03z6agl+I7S5rVv
J66Ue9rA+Ou8/m23B+LlB1ADQINvPZXbKxGVzMKNIDKGeG84kMWIvX6pTuUeT/By36DZSPEc6tgL
cX9z8NwBxQbkXprQc9O4CppKl78mW66w+LpKb11tMA4lWMfw9eldbh2GhYyzMna4UbbAHtxpQZnR
NghzWXzHHigL2kZ8WjRnj0dz5TtSzYAUBDcY0No2vTYad1SENtfhRLZ3WwooaHOszDdvng5cghfJ
SJpCEAw24SseVbuRbR0Cyhy/jkak3NKvqA5qpeS76fKaPJwfdaB3xMp1wdAn3zYbKxEZ3lAlZdhU
8AcC6ICpeG8OlByPoFgwyq3Guo+OeTK5sT/KBn6Nxrq+W/t11MGjcfnJwS1kMKvRXB6SUTfDpjGQ
cemLxrlTu7yb/Dypm59W7cS/8wTUIhXDMurvF7tD5Qqf2cEOSjp6vynjpJ/Gsp2QBijno1T19l2e
ja3hK7hKoBlYtFUZjs68xEAwkMe4UZrF+KL23ViHnTW3gUJCeJgjzfguDJ6wgJ6N8tjYQv2RQvf/
o8ymOh+cfpyMwG099WcilFk7Yq8b3Zg464qj3tTlgiGwQ21YN+PaN7EySHfC6+U24pujjMgmgl9B
Z36zwFqOge2cVWGi4EJgOp3mg5LcI9pcRjmXliXc1tVc0dS3cFq1ntUUiGoZiniAMqr1CGPaRjia
Whx0SrSnIHNtUjwcqALSkqeavW60f6o9U9Y2ecXLL8T23QvoBMSnIt91h74yKR4nqDUh4LbKg2zP
hpZnS5lYdTjYOeIRixFkuXnT9WXmj2hFHV4/iVfmxMmickW5h4x4C1qB/OhYZGp12E7q8t7o6/k0
eupb8bbrgwtfn9UvBCoZTLbzL2dGqD5pQqtDjBzNh7HQpi9Gre6JaV8GSUbhrY64AsoYF7GrmCsE
TnoTDsKCuTzUKErciBWHU2nscqovYwqMRoIJdx2Nn23+lamWyHNFrUPZtIOvAgykgT/sKfNcWxx2
N1AJyrGrSfn5Z1MoblvFVMDfGEct0Julh4mg7LUBr204uh2gcFeUHdYS56N4U03obbwqHHPh/pfM
nXYcZs8+5p7Mg9YR0c678tqsKC8iKmrw3gOAfT5eMWhlLvSlCgfMik6uoyRBic3LmxMCSjZrNQH2
IjvuBSL972EdGkwoxqIKa0BHx6orAPTbtbMzypUtt/ZtyLOIQ1SJNisEBDduNcycwmSUyHWZVXlc
+GwgUfs3i+lwiHhIrlo6dKfgLaw52D8zaoo+LZWMq5nqfe+7mQt62fhK5/hnmxR/y0LeJ0P1sZ69
+yZt39i1fRmb3iP686to4Ta9GtuoGCk21KE3xMjrarLxE6fam+K1r0llDJoyjRBqNZsAqxMWu8is
GaVGi6DtCbCIrL9PXWzmXw97l/kqCgzYuvCIcmj2OZtviQGzrcCSqEMAMckpEoPl44A+hFHRZU/G
EutBDfDjBjxo/EEU5p4j2JUjQDrH0ECqKa1tKRp4UTuNGNIaw3dvDlpFt040SN8qArouGgU1SvjE
KvLDzSRhIJaqJaEvJb3VPWeLAvo7xSaIdzhJg1/l6lsdoV9GXL1peBpTM7KM8y2aa2WlIDhYhUU3
i3tEwia/iWvzsdWQfPNJg3QfuIPYsx66eJSv41KdRdWRbcNp3NyZ1hR3lRIlhLAJp+NoSJXPcVvl
d26rm78Q4Ut90j3juU+r9k4nPf8yAP/ZeZKvY2zSTADuJM08Dtafs4bZf45napajNqheGWq9p9xl
U1Y8mirl787qIZZmunwEKrAHPriykQDvrbcDQkwcm82JgQnftyNKUGELpOwGLwkPm7e430nXr47C
owfWEgQ1yHCbqRGtXavUy1DFC+n9kjT9QaHccHz9TK73zPYDriX2da+yjtvtmjhONVTFWIaR6NN3
9dLo7yB/Ik2EXtwhaiBjZiJR/FoM8U40uBJ3VkGkFZONbheUtfP59eWgZ0YryrBsUOhUeZ0itoNq
8qKre3JkFyBAtiosEMQY2Kj0SrZ9IP4UVNHYlKFi2794ZzxYSv/Yp94hK9pnvZc39lh6ZBTurYCd
nivZURjxTdvUX1//2lfWlDI1JVAKkys8bFPc0SsRVz2XFvTqlghYVqXf5/ny9p0Dd5cSy/p8xYZg
E4KMDE5RES8QDk0tJVs2rFNsd3sg4CsZDB+TF8cKfqawsxlFnVqhdSXIZhNHPr+qCuVWAYyGgFTs
44b11j45S7jS69ipZBfcw5tPZ0STNvSNg3Bd2yAULar2mynHZccV80o8WV9QMLm4cT0W6nxTlk48
poaW56Hl5dP3ZNK7I6acrV9PmXdXCKndZTLW9hiiF4r76+SYGYU/BBmABW8mlyxeViWwOUKAqniM
K0NehCU8nhunsPswy+LxGJWz/n7RSu0AU4E2NDahp7Ez7UCx3CKIebDijiWcnRTkohHHL+MqQx9i
rXWQCmxWeVZQ5gT/moe1UUs/UyKHV3eFsrrpPbhm9hRFaXrS1fidk5QPWTU+lcLV/cyafr/55KAO
TmmU7JKsedsez9rKREUV1ppi99rd0HkCle1B7kTDK+dzfWTa9PnWitoW2dLIfhqsSslCU4COK3CZ
uIt669frU7kS+Cjvrku9CqBRST7fY11VuI0521kYLbI5TEmyBF4Hc2rwhp2RrhxR+jur5jVNOEQ+
NrvZmADlLtmchfa05EGcEt86J2b1yPyXr0uM1fjrU7tovrBdIFFhf0Klnv/YtiO6aswLmcKFcxcU
tpHcQ9qujJX049jHVth4U3FQprQ9dIXr+dM8J/ftjHfvYqflzs69tpRo6awsY4tkb4tFWTOlSYvK
LNRU2R6XulQCBZznG+Ul1vmuEtpgYmnAc5Ger6XrJHGR1GoGH7eOT0OJeZoHzOYwm5W6E5ouJwSJ
kSxrval5AG8FxdQ5MUcnAgICM0u5NaPpZzea6u3OAq6R5jwfYBTeAWxNMJwgHs8nNKsiy3rdgMeM
jclX2Xr2N5FZ2I1qSvu+KRPtUStNl/uk1e+cCusNzc3f2i0kreI3UMQCuE9mtz0gvIcKHZVWQqC9
xKizy1XH3ur83nT2cudrH9WhYmYC7GTnbnEGw4iDUoc2fKgLOznWMwYzpJlvf3kAYCPVwWtjpSpt
AfBeY1iV8NoiTPLIuLHKUT4VEMB29uK1uZDcQEYFlQfVY5NQmXHOJ11GqEZN/QnR6DiMolLZ6Tlc
Bi/kTf4ZZJP0J/qcJvnMIHmaVX6XuXnYpHYS0Njdo+JcHWo1N0CMkvfitmlcxctQO60sQhmrHTQm
EZ0iQI7+MM39zqwuAyWzAkpC7F/DxTZYLEBJZtUuWCA8ze66ptcLP6lLNSiGtkn8okJd+fWDdplo
MCJ3DNUF8nvQcufnLIva1GszRsRD2Hh0qPsH1jw6h9at9WCVEDnJzHh74YRBV/TfWj2j9rhJM/I8
o7CGOlxoy3S8k7WR+g40Ai6Fea9lc2UzQoNgwxMTIR3pm/qWO41yqSovD2fM5R+LUrd/5MJR3l4S
hNOxtsFWwxLId5sZOV1ZI4FnMIylj096V3ff+ioud6LilcXiRHGrkezavDc3m54slwsGwkOY1UUc
JI3QbkWqalMA+Vd7HGVqH2TruDtQsquj4qBLWWYV6tqavsHdG+xZzHkYw6E6CdMQgdZP2ZMd5eqp
jtH7RJDQCl/fl9fWjTnSAlq9vi7EMiiH6muVJA/7RpM3qddHvnDSt8poEeFx/uE2W4FHpNmb3c+n
NLWu7vNwXET8MDVRUfq1JeudiLjevpvL7GyYNcL8Ux2Y+8Q2J9ToQqt3s1ubvMsB01v+Qv0kPyHt
b4cFLkhKMJeJe2f00Z5d55UV5PZyjBXWy2Ns23vuKn2OEhFl4VKZ/ZNEiiqYzFgEk8S7UHZme6uU
Zfzl9RW8krLTR0Rak/IEmlfQJs9nnXZzmTVCoLhgyVQcuWi8p7RpHZ5mnfF3dN32l2xV5572nEQp
M5tuEkXRQxsu3qOKLOzOjroSxulIvWAhTbKlLcyoJHbqk9JkIQTsMYAZWBwrtEUPIjGSnXN6ZfMi
NLHqb7B5ea1sgk7pRrNeTDwS2Ni9nyUiP1bZsNdmuzYhZy2WmEAB4dluUiSEQlsVuz3y9zyBd4xM
8KlSMxd99/Gt0jWcE3RSOCnwN3gybEGzTq1GmrAYKhHe99h2qzs1TfbIQdd2KdAImjfcgWhxb94j
w5RAlHD1LDTcKAXaLKZjU83xg5nMSpDEtn0LHnHvpXBtqShZomBDTZjiweYjZlFZDxjLZlDgo9Gn
xjZ+mGQtPr9+Fq7c6/SmuGRXfD3Fyk2cQYArMnVszUPHSsd3eRy3z1UWocIxVFi79pFh7USca9Ni
SyDUQL5H5WWNSP9EnAx3oV7GLQ95rXZDSzG7kzKre/p5V0qv68vGQB521cKlj3g+TKGopTRzmYVe
Icc7NRmn27HU8Fhohvw5jiEWk8gUt3Xfpz+6bqH+g+RzvfPYu3IO+LQogaHj9KIIdv4jIJQBxV1i
4oy7mF88JUt9oSKv0EZyD/J/5bNy2CxOAJNes7TzoYZxGCe3nNOwqtXqh5ea7M7Oqw6v75Zro5CN
0cnB0HkFk56PkukjAOM5R9JE0b6LEtSggWvB28MheB1koW32PoyP7SDo6sV5laThlMdKQJlJoiNu
z36pG/3OfK4tECgAYNIrOvwC+lQuY2W3jZOEWqJ8E/EUHdJRf1ZwwPsfdgL11RXzjpyauy0ic/s1
cnaQT6kdOw7qucMGe0oTH3TeHo3g6hqtRnHaysm7qDqa6IJA/9dRajEF9SjcOU+mErvH13fClcQB
iSRAsRg5IXS+lc/NWkuWeuWmIU0pxA1A9UfpycEtoztCNpiO42xjeBmBxlj8sYB5AJ5DsXZ4LhfB
i7cP7bi1zQBIF6H88+2ILrLTxx3nC73H+l0qsw5GSBr5YKCdA6650VvLxut4wM3XUh98CX0TVHA9
ahFmqrJQOk558tRx8F2zj3f2/8UCkkCSVqL+ucpzoZp0PivTRmaWB3caat74SyiDPKhaG/mvr9/L
bz3L/NZR4A9QhqLuxe11PgrFaUqaqUhDhVpC489pB0BBQZStSDrjg5t6+ZM94gSpm60SOpk2pH7Z
6uWjoyOGF3f4EgeeJrHZ6OLOLwTapK0xQh4BToitiqIc2jSxgkQMixI4hpiflTm1dxK5i+O7zgFo
ADcX7zVeAOdzKNE/bPWeL2Ui1t0dhKhMsmTXLlJ/IqHdCRYvL7LzT2ZQsHtBgnN34cdxPpyZmnkG
Hhv9EF1HiSCeRXZ0I0p2dyq1k+iuc8ba9It2AvceTeJ3u8zxk1ePNfoqqy+nG2nuHdTi6ndiG0pY
z/pU+l1s1Y+4JcinJDfx58VK+LFeRgd06YCjEbzVoDIW87bvMzespNrelKNp3IpI+QHkd4/1fbn3
mOKKIiY7fpHPO59iqqmVRpseyaG6sJ7mvMv83GzSnXP0sjDbL/ki+o++g8o33WxxOzNirUBROYz0
1POHRT+pjf4hET2obO9LN+j3sL2e0YsrfLM0T7yKbz0TH9SoagNE9p+nSn6KJJX2UR1Vvx3bkygG
w58RlamNaaf0cflNqEhRMVr19EmZt4Ql6MmeYtL5OpmVnKVf1WaJX94wKDv76zKaMc76AADNAAVx
W8CPc4QdILu7eFUuxsfUyaqfNWXoksZxUX5YQAPuDHhtYivngE4b0CQcWM4XO++cqR24Gk6RJ5Vb
L+PdZUxJ8daEj+Rrbb171KfoGNibU2N5qStBrcHXaNrxFseO9LDqwf0vcwG4QIK+VgO27wDbqPul
KZlL1s/JY6yK0W/KPN15Pl0GHF41cJyocpBtcU7Ov5jV9YWZgqU/xfgfyUOjFzhAJN1o5H5ftXtA
iWujIRHDCQEyRPFt3TD/pMqJq9cyHyFJ9KIRB1skvnTrPxXYjJ2Pd2XnrbkjZT2Ev9Z++vlAvRH3
NfYr9qmK4/l+FAUPfsPhpSOt8bOY7b0oc308mlQr9G5ly52Pl5pWXwpyulMJ0eX7OCA+iR3V7PeI
UR7HWrO+vH7ZXdnoKycNLCZZAjDiTbhZ8qrX0LqyT67e6/dRYmVHKlTT6fVRri4XiRcQSTzBmdv5
rKCXe0h6rbMyAM4kwDFuOmOefGu29wj61z4gNx9hegV5XdjCGLOLHJ+xwPag1ny3LMJ4JycAusuD
1WbNzqa//HqrpB5KbPSVVzTeZrX61KprI0qNU6vPtp+0LQs1KsbxrV9vbULB1KH0SilkC4yrsdSa
GEY/ucL7udi5FmBS7J1adSh2qobX5rPqkZGLc40DYzxfpx7HS+KPrp9aTykA5luYUcdF9Oawx3zA
fZKGs0zgOM5HmY1YHePY0GnCZpmf5oP2Wem04dObvxqxDnVrKpEUebdq9B6yjEkdjfqpmZEERCUF
d6LGUj92uhXtDHXls4EqQBWLviXX4BZesJgIBNfupJPli9tOmtb9UDp74nhXB2FxAN9jikiYPf9q
k4hUZHsZxC6qmd4CFlTpqOz1tC4LgGvesbZ7KTzS2trW3itZoHtalhomcVX7qU16EBlcLX3yXjF5
Rjxr0dh1fq42OZStqGpUv4FhHN+2cVGk1CXHpKYja8m9wHg5ffYjef96uVAN3QZGNS77MYXLcTJj
O/9TgDek+62KnT7pZfSgSE/KT92HMvYFK8Yr57IrrErlI9PNc90Z6fW4eJCJwJCoLNqdk311OJiN
9GWRf6Wlc76maoZ/KagN9cSBWW6rxtRPqY1eUSzLxJ+wKtqJwxcfkS+3phtr45kawjaSyCg1W7My
rZMpbc8HzV4d1QXr9NdP3sWsGAWlCJgvkN14gWyiCB50iLINGM51c/rblL0TtN1swqDvfymKVe68
dK/NiZII5CnboMizRQ1MTZp1olWt09SYRYAye3OMPaPYifTX5kSHCCEAUMNrOf58pQTMvbRRTPPk
JXYcTh49B1Mu423XOCAmzWRPmvLlI529A1YOKqnNymTHK8jdXMxjMymGpAJ5MgFlzsdFDJrAdazE
HUKVw3TCnG3+TRdESe44cgJi45xpd8Lt8sUviymmtmCm2nToxxrVJtmrngwl3nJ/scjNLd+bHKjx
bdTIe64RgaEZtmHy49Tq6menQ4TzKLX1yVZZmqx8Bc3pnQ/6Iot7MUGyHLbh6jS09ZZOB7pgAyKp
p0xENGabRfYRpiFd0eJKaULQMc2mSaj064i6d0uhW75o4/ELDhxWdkgU1/wssdT8XABp0nw3GXvt
WNQaRnmWKuoeS8Ae0HUxNvNe33BNy7e/nLcgWHUK7PCTNrf+kLFymSbMEzFv+lqBqzjOlWIfjAZ+
IFpJ7sMEmWenKnEZmNkQiEnRqVwBc8AsznfgMLmL6sQ8+eIlKZ7qWXr3HnIb927hyptE4Bvh53Y9
Hqy4UbCC5u84UVutn8w6i35Kwx52XqpXzh21IiBnEKVpLmyVBmIkHaSZQcz3qsR8mpFe8tVi7t6a
KzBr/nJkRihVX8I5qED2+Mr0CGH05vxgjo1NYdDR3x5DaF0g840iEUn3FvToFTgFu3NhnobFyA4z
FhyYK6Z77PIrMQR02BoWV7MSwNbnK5hRQ1LTycW9vetiN0BOTQE5q6gf+2k2HkacOT+8HoivLBFr
A4EKvU4IUFuAypQ7s1YYpKcKXVkfZAenuvfanY935TjgWA9gdKUAcHGu0/7nLTZW5qCKQdVP5irm
7WmMc0RfTcPMlnTFT4n5PjCP/svrk1sD4OYUonPA3lChHvNW33xNm+VCYnMmH9Km2B/mqfiUjZNz
1JrZpT4YDcfajdT3kTv/fX3g9S++HHjtPMHr4NtuagNCc5AqNyRJsj50x16Ww1OOHP3tPNjazhm7
LEVSeCd1xd0WGunamT3/tmnjlcx+0U4r6chv56hvAvTWOmY9NUp+iKhf/krMzDqAxXaPdPyHo505
mRngitofEZBr7wDCLIe+LWcg56K9K+IEpxenR9xXofvoDXV6LzgafjLrGPXMRavuhK4r25AbE/Qt
0QIkxJZL5iHFpbI02smzWvtGmfIsiGhAHV5flqujoBUCqXBF/GxFVrrSVKlG9dpJsdt3bRc5z32U
aTubbt3Lm7WHEUfwhfDOBbDlL9YdheFJHbRTqiyE2lT+9JpSR1tM3s4dVYj/YUpkuw7dVeocW8R3
lRoJpqyNduqxPfHV3nBu8wU7qtdHeaHTbidFosFLiQC4Wimdb7IKJ6AWw1H1pFZWZQVwzdtv2IhR
XqWq5P5U8jL5Uid6lgaTgWgbddlp7E6FpODrx9mgwnd0te6vMKao8VtEPv8YTrf8GKNW5v7k5ql5
hOfQpoHSmlYRtOCn0xB1O26sAoPKBnltz/5hlY3nYVY5I2LGP6Ax18Zql4llKHacKdau38sxcn9j
e5z90Xjdf5KmO36eegX/U2s2zG8YNeSTD1/e+mrGHbwAuC295qtQ8UCt6i5QwMKM1SkoEbb94OZS
dQMMTGgzQdqsPxbpmH+LWzHFgWGWukQzq17aQGvcqVqZMEXv88Nn6/j/3NpxErertJOMisz27Rjw
r6/WbvVzZ2kuthsYUWIrSw8qlj70+cp4btEsgMjUk8b74ahPReNPStpgBzXtqTRd0hzYZchHQIjh
iLoXoUa1hjbvFrGcEp55IuBFu9xSkKi4cMsybW+nNpNKkBtJNhyKIba/YDXS/NTrsbzHlz4agrkY
qTabeVX/evNXWKWnaWSt71HUXc+/wjSJJqvhI0GdFnrgwXQ80IjVfL0Re42My9iOrNFq+wFWifi+
fUxoTRd7rZUspzbSxiPauOZJUd0R7KXc++CX1yZDraUJLrE1p9ucukHtld6trRmNzYgXtSai5r22
mDP0bjNWnhHnwnQnng3Eql7/nJeBkiwEwTaariTfdF7PP6fVW0USmdN8mkdvucvr6K9njepOUnD5
IZGzoF+CSQH0R8z6zgexcQSSrl4wCAVnMtN+QAK0djtKmtYeCfFyQi+p8XofrzJm2wkN1EVGLWvm
U1rLNogH03uXjEnx+62fjcTQQf2ZziOIpG2ao6Vyro25mk6tNB9Rm7Bz3+uIAm9eHaRbePTheIOj
AUqZ5x8umwdFNpo6nlTwlnTHgAVV6rynkXZ5j9E8BeULvozEFwfa81HcBSNovOzGkwcP/7HMkvK5
Lb3iToss4yRq19gB1F95vazdcJpFK9ids7XZ7UsqjMWy4vE0mmi1WzK5L1tZ+poxfVEgq+A1LsxA
IMPjW4vzMS6z95ndPwztW3XsLQcO0IptM9aM5OJ3tL1ceEXqPUyxbLwZG0R3K9Qk3ryIjAK9CfwQ
M+Z1e/55cx3QSWyM/QkQI5jj1ukORYwE6Os78uKMEalJRCgQ8Pqi6rgpEdTOVOARKRGJikb5mBXo
gBIzrLCf0iJ4faiLI4b2Pf0P7vsXisu2/NFPfRMvsihPoscxu02q9Lmb0nHniP3/vtp5KkJsQq0F
DXTI5nThzz9cs2DEPGled4rqMfduhNfPyrE0tSU/GtE8fTctgQiIWsdG7du9Z3+RqZupBM/RRj1D
dFF0SOqp0A7SKjPdR5BbMf20N0Tqa9qoJcfJayz9yGNhMo+JNYlPk7fUSTBG6ZQhNIIszg3uopTw
RelN4hQXHcoUFlLlx6qIZuNmGZMmD6aO7pNPlli0Pu2wLA7SiD7AU1OWeCXNS+FkQWnp8X9ilq4S
NK5M3INXNe4DGODYvLFjAZTfaWvPb/JR/6QOg4h9JDsVXi1RFsujtNsyP0Zxmb63UQEpaXfHbh+8
eD8cokGNVd/QeUv66C+1f5pWi4qDoc124+eRXv4n7Lb4BG+neC/d2P4tokH5CCKYlpxQGu2jIzTt
62AMLuTMpjLKAKs/Ufmiqy0bUoY+PpqFpsPWsCbvXcUpjHwvdzIrmGd23alLRIHouKMs9UOJhBiY
lqWG2CZTZYhBPLhUb0TjeukTxZpSRYvQkR+56nTNxxlD/SykW6RB3hgyR3RoKUt/Sa0y8lMDoaNQ
2E1SQufUo+wAFkP7YI5tahzHQu+amzJphy+GlRg/qJz1yCOtoi1pa8snW1GSwndjbAQ+R2nT3afJ
oi9HYXpjsjJEayPsmWwVuGpuHzJ3Kl3ftGLzr9dGtkVRzZrB9ZpJbOAjOGvv5Eha5ufpqH4xkV1p
T7xbYu/ITmnfF7Uia1w3NAzWtEXvqRLbidf7zpwpN50A/eEj+qpEZIbL/C3vcsFHcxXu9mRQZvz2
mo7CjfQa7v00pZVf1FbSBLhs1zR44uWnjMWcUO9yedmNS949UCVejFPTSeOTlF4x8FpTk578IB69
wNYn3caAb0j+VkZtPujWmD6D1kDIRSnc9LngzfrBjUVRBIXnVPLQC5fOpZppza92GfE3G5yCIDgo
XVQH3LMjlgODIe/qJLd+5gCxgBPQAGE+pbeYxziL579Nm1sf9VHaDpYLOsXJubdnfO0dygEBZsp0
XrDGSkhnandYbkA2dmUQ9bH6LG0FmQobkFSglwlF22lMoskvXXcCbJilzV+9tqLv8I3Ft8qFYex3
o2u87+j6GYHuUWpChkdrHzv7nSPjB5E20aexEcpft5i6PBBy6KoANWbnz2hO7Tf8qXUtbL3CnE+6
NMryvrDNvvfHNGt/QVC0KhwsEzc56UOSp37ryuypgtSQBY45uz8aIeSflDLze75OhMgPW2cKVDSR
/9ReMjgBchNK5Y946/7AlGL4NM+j2oQ1Iur8qePJ/mCUmlEHA+rukb80efaJHgohWgVSoPkVwho/
O4966HHGwNY6DHPEvsgLK/qP/y0FSjuMtp/HY5YEqSWcI1hrm9e7pTgferTOh1sry13f0Lr+uTAa
BPvwEHbYjF2yujqkHmvQVU7S+AYMgHtv1CNxG+EWIE8cJO+dHZsu9oHTDBzJ1Oo29jtbB8eRIobp
+PQHxk+8mhByZwnHjKeWZty7tT1/MMpMDcbMgJg/qrN5JxZPY9NqiTvedfrYwGynUNIH6C3Hpc8E
R1wkHbu7Vyw7fR/Z/VQd8qqwcFqSqvkxSqLyvZ2IzmYJaw2TP7vXbiw6n8+1Z0P+c+gW8xJDL0wc
OxMTEsXrKzDHQ/qwIFP8SeCWs5xsp7HEXYUPpQi6VCK/PXfe4gWpzJOH1deJvWGO9nSqm9KRp2Xq
6yqUQ9ZUVPQrt7rJUY8FqZeWwOynuvuvoJXZBQlAjtCNYpM421TYLZTdaD24Q4skQ6EL7UkFWGoH
Y5khLCg6hP5KHFFDPG4JnhVWm+kdNuZxjwNRMmqhZUtCpUDf6VObZ8WvRFfGOLRSd4pPvcyqNCzG
RaVkwhPYCFNr9HjONgkRKYvT5jsDTPRuEl4y0M897SPWOLn0WSD5W1ii/W6ORiv9yVTmPEgKp/jP
sHtbCdtBOuoNFtB64lusZM7ipI0eTF45Wb4xRG7tQ3Hu/yvdVEWuJFORtaocc/kP/3osEJey19+7
el7cGgM4Kz8dRT35hoEKxzFz4rS7iYjD6kGPB0fx4TWSy+EMAMRxspVvKKCUza3jNIqKd4BZFL6e
VcWfIh1ak0JBGn8DaNTe12g5R0BctZZ+TuPwbJ+XZn6OvEWReEVVJeG7jazJd7IM+YRMMSuWGrH/
22KKLL+meBAOwlGDJSaFHJLuWY6KpZ4Wnn6Zr+MG2JEoNZJPgOoLpoDxamALFmd4NtMpznxAtvG3
zlLKIbBaCe+I3nx2pw5W87umDE+9xxqszM9MlQc5z2alORRZxaM5mmeh+XFj1+lhnh3lYSiR/KX8
aiXfDLO3H5dZjGlItDSmQ6PoXGWJlvGhpFnaQd8KLb+NRDY9W0PWfSvrqKgDo3bSmYBqoYpOJaOJ
DgvwuNyvx9GSBw5N4R3jUvY/FvqwIXLzs0tHKM1vRMv9ccgc3rQ/ciu3l2Oaj7F2m1RK8t1Rpdkc
jMTSs0OvxbbfTKW2Zo71qUsbpNNMIxdaUM1N+cC3zCjbpHVXB+mixE2g9676tBSwzn+a81Q3wZD3
9qemtYw/iWdDdLe7YlSPRe/iFVEx2cHPNG5qX3VbQkRf2927vG3Fn15w24UIjAKUNbpophZE6O3+
xOPgcjWp9G6qSJ2/8k4o/8hF00kMRDubn3KpjL/69ndSnLSsXH7j0u5+m4qlIpdr6BJNUQ8oTge9
5fqKdGxxYN0scCC4xr4Xg9v/H3tn0lw3rm3pv3Ijx4V8JNhXvLwRxeYc9ZZsy01OGG5kggQbAARI
kL++1vHNRmKmUs8c1aAGHjikg0OB2Gg21v7WF23a6f0A+FybSpTuv6ttNH1FOgMbOxG6Yk4XOmJj
54Mc2r457UzumFkIO04tAxY2gTXelKKQCmVwKtBmzgDCsSxb7YrSRiepp7dK0ei9iAP9gcf1aG6A
+ei/AADAwywe3UilXUnUTWTH+luge/qBer7A8dUvy2+Y3LA+j9RHlhYWy12Vop3+tfF79547XfRm
kosD/WFHmMkggWplbjHVkRzR2Cbn2ECFtuCDa8/DFcMJxQun0cNRnQXiEEPheFzp6A7WerxNLRMM
RdSgE945Q+tV+Ux0/1GUPHjgwOlh+9xMyT0JKPNA8gi6h7FMyKteLf11M7u2qCeXL0Xvqu5kalKb
T103yC+L1KiE7cpSrG9nFAK7F5GdxfsG2+qzwRubjzbx/Kuo4m4EW1MA/9KpxEUl/hi+ABDQD/we
PceniwmYpHdsIHWLgrKBiBuc31ySTw7uNPIIk79IkerG6tTwOoiOwnVx1QHIShXgyKVpjQTH2DWv
nDlchvuxxuyRjcrz15xbB1JzTAn6jlmpRNYn0aLTDmP2plfKuVtaEsJ/xpkxz2Ef1i+pwOUJzqwM
TsppbJpkSXkCAGoKWUJQndEE5o8whbSqTiFxEabgOq7ewVY6+Trg1h2q5ciyNdXQHr/hMoRXlg4d
8msHn6IVu+mWvZ4pltS0rpHBtsov15Qy3HykdqiGISUl3ivisq/6i0C7lsFIZvJuOtwf0OMYmvqb
1b1BRo7yMk8a20UosbWn40fjuTqDjYwwmQJwl1zMcKmrQWiJ2dsmaicfE+FC7Dv4fC/TWYLswFJ0
yB7BNNUJJSQ6cCLGmpNQEuDSIzTiEJZr3Z9J1FNdUaX1knOvwQ3T2ib8UNZ0GIHy9IJvJy92bEzn
Pg7OBzPYrxC6R+Ki871KpSOJSqR0adVlHGVeHzxvQEhxHWFFGZSx4ysKZ+/urFKmTTI1BzXPXbva
d72nzacSEvAq42ZiY0ZnLT7VSa2qDArx6EvfrDBHNn2/huD94v1lNczug9QnWr3XDuQCkKp28ad2
MACeAgeJPHXXBdUVrBkkKRwduk3hjYLB/hHLtJdalOVUeRs2TpWTtZrQPWt9IqRWfO2OE+1QMQb7
vaaGexG4PscQDgyYa0KDi5qqGbz5BhCZfr6dxii8JxE4UhldulXlwp/pJ2jwZu9tJJD1Q3dbcibp
ot8i81/5mVN77ZuYzFh7kXsOccdaxkiKgz8NsijK+BbI+pFmz4Jqks6ZHFuPfmxhOmRuyDiKOAPa
rL9mSyWH84Qv7KbD3iKEd0Hv9ylOrPojUF36VrlRFaR2HYImSwg2sBlmAlQVrwE1ZdaHGkCklkKB
k8ZyabDVb1r+BpS21kvN1Cdw2B3NOKchYO191sXJOB81RkV8rBP45WRxxZDwob2XLJfYTcGRJRJu
fN5K4UA03IPLnLVNpN60Ljffeo4ZNJ/5Il/Pjh/cdYbjoNBUOEleNuXYYq5B8Rf8/sSg2RURRFlo
H5SYYDbbcZD1a4vAtGweVApil/8JBImR5TwMxK218Co6I9g2HDmHgqUYJqf8deF4IbnCdpBnsZbO
nTASG01vdoammMxE1KlrInOH660hyTU3ekzjNZFe2vQeOk57tBLYgzqDwZ7HYrwhhQz9EDTKgXvJ
a8xPF2xSesCOpRLvI+Lo+pyjvvJj7ABOkq9rpda8S/pygn5gAZAWOy591AaXK4CPl3Dq1UtkHzog
Ti7GKcA5d1phwJeihBfALkfIrsSsFncTrgiH6npEaf1tzER4R0mMKd6VVecUSyxLmk4hdty4pWl4
hJRKzRJ8l+EiS1iciJSus/MlnhSQjFRY/VU2qMU9QyFveRjsmpR52I/9FzN6ysn/l8emQcCLcD7w
09l54BSbTUms85IBzV+venFjDhoaUHZIDbnb0nMktfxuRL4OSbsWdzgTVp6w+WLLCSd/8hFVetDE
vyTE/0tyDXAuJz5VGKLSCvevmzxsa+DkqJ0AKby+4ZnbNSSPoOrLAMH+4XLG6PQ1uLIAQA9a3O2f
R9cxWMtALwcfLjRpjZ3TcYVc54Vs4V9SeN+/BeUxKGrBvfX3DO2ja/q26frZ+BL3DYKsBZbzNV3d
4YfBXKdvwb+TbTrkKlsFadVFc+TqfsG1iQ3TAAfrQ63h3riO5Ddi9n99sf+7ehhu/5MWHP/93/j/
l0EsCr67evPff78SD/0brR4e9PUn8d+nj/7xq08/+O/r+gu874ZvevtbTz6E9n/7/vyT/vTkPwV8
d/VyZx7U8voB9VP6+xfgSU+/+T/94b8evrfydhEPv/z0BZWi+tRaVQ/9T7/96PzrLz+dVOb/9bj5
335286nDx/Khq/v6y6ftJx4+jfqXn0jo/gxR/Enh54ZQR4CG8tO/5offf4TiHLDuTuCtE3oLWfh+
wO76l5/c4GfcdmEr4iOVDMr6SdUwDua3H53UHbgcDKFGwNhJfvr92Z68pD9f2r96090Oda/HX376
rqV5nOLFhAEnPCjpIT9EseRWC46rjYbp2pU51UgNrk2MuvbWpyQtCcqvs854uGKOBKimqQ8wYZKC
kjPmgVuGueRdJNJZO/ED75sLf1qIREZL3Lq9pcfIDrGfLt0Qn0N8k+RwbnDg/cVxNEi562GKRB7W
PfaNdl41NWSLKWsq/0rFs7lq4ml5LwbsnQrmT9270Lj0vpedOcJebr1IZG0vSysGifQqdt4wXI1E
MfTdrXC1NIfvr/OHBvazw/XJEP/H4f//4MA+Faw+P7CP6qH/9PXJuD594M9xjcpa2BFC/Qw5LGQv
j8c1tsG4BzkZSZxKULCA/D6u6c8AYIB5hGkVWKDvoMnfx7X7M4YByqyBLQEuCHVFPzKut+sF7rZQ
SIELtdM1FzQumyufBVfrvYhkk3sNabLRl2FB3Gk8C6yO8ke98ltIPQ6hv1Tbnb4LdZD0O6MBma3N
d7kDUEoW3NNcBgm5brFDScvSD/NkXH6l/LQh5i0rTlpx+C2KW2VnfZxRVJ721kXZWFA1GdfyOJsV
uzJsBU/6hxE3tcQc5244dNPQ5PAPSnAERmqjj/mYrqsPVHeLY3HIRIegG9brvtXe3T//aduVHn8Z
1ibcSKJyFlrHrRAv6qsw4SW+fiVue9CY3TLXjkNBAyVTD/rbtDVJmK6mC/4TdE8Wk8edul0e//PN
SKOchtjp6vXpzRMgZ5DGoYA1d92+KlDCi22Z47/kSP79lvjJ7AccwncTIKhHMaVu6zLrKYSWQSUo
9Kqm5qtQlOA2NCali0Tr2gIrKWoBUHlVfoF6qfq4gKMl52aJMpeT8A1uXC6ihdMjLpqQGgjawfvG
5ri+wy2W7lOYAHp+7pIqyRLFTSGo0R5sJHCTBPk59sO4jvEuiV6Q5PQTHCP+/7yll9OCfELVPT9v
/R9VnZb1/snMdfrIbzNX4P0MOhQKeFAW7YegcmDU/7YiR97PUIGcqt5PG00QCjDsfpu5CHV/Ppn5
oRQDIhHwlk73u79NXSQIfj4B52HLfFKrArD4Q3PX07GPL/JBPIHeYLPH9aUZyqFkbVG15v2aLJ9L
8+5RR/zNVPVMy9tqjTaoHO0btIwoSJvapquK/zPa/ocB+8dDb+HnNfL/vrQeB5smunU8ctu63o9J
ZP5se6NSECaiPegsvHBmb70GZd8ipduGL8zfz3UKNmaPhbIwVYrGto554U4HZwjAVHypnuS5lk+L
06O9/QB9pV1ilxcryn8v1t6BRIsvyZt9L/P0rY9apyXuCPtoaAsxqyir4Y6Uh8R/v6/xjRIlgofY
7IeWF6bj4RkIt59mh7+EZHiuXzaT+gqTXh8XAS2SOTItq/UKKaKzfc+NcH/cKeheIXD7wgsU+dOb
MejNF6+pIS7c1/wmNCM5Q9LQ9m3RxMZeDo1xr8uYvFDt9Ey3bPcqgcaRXy14dka/SIGkGXIYux57
C60qw7BEYQltC9yHpKGIsdsg3Uv4u+ceexOd9QTfFn+IeFEL+aqkU3UWCOv80D7gj9D3N8EJw65B
jK5oC7Us7ZdVddX52NDkfF+/bALUb31uh2lsi+DDKjJP7OzuTWSWKPfGPTWanUdcXypXNtB9u8W+
Z95EZg+ylIx6jBLYXh1ReUPTbsJRal/jm8icuKuFrFVbQNcCSIaty2yOjdzZ3ZvgZNDqrNWMmTZO
2mMyxnWGo+1LDPvnhuEmNCFXWecKBUkF7ju7HFLSPl0irfc9+nYHHFJjIEZG66K5Gs3bQfwQsuGP
8b3lSsD5EllxsrRFDa59B9lyqnrxQ8U6f7a9CczQg6gHuhAgP4DfGHjXfWJD4P26a6RsJbkyjMfR
zkiBNmHIf1Uh0vUQXqp+X9xvE1Zr54D04odNUY71ASQJ/2xxiT3ue/ZNfLbDYtzKQcfQth3yMuj5
2RSiHnJf65sAbVATqfumK3OlROr4c0anr/ta3kQnzt6yYbVuitH4Iy6H/K8eUtP72t7EZq/XhrQs
rosYKPbOil9xA/5jJvN/DsRNaEK9GsECDOwZQDdwcalwAxl1It/14Fs3Fz1FGtIjPDhu0S86DwIA
JNHv9rV9Ohc/2mJNMczpaYAHb9AsRPf3KMG+3df0Jjh76yEl2KNpFenoHDUkF46yLzkSPTMXbkXR
vAVYWo1ovGMNBCW58nc+9WbBtKM/qg7rWYGqgoxBfpeGIC3tG4J0E5YjTuAg9jIME0n8bGQOMiDJ
cr+vvzdR2ZZE9Nx0DeqwWr894p5yCT5GQB2Jfbu3LWorigYtUJbfFGzVWUzeM/VS8fFzb3MTmhCs
4PLKQ8sDWS50Jdy0G9e3+7plE5pQwDTQHq2saLr5MyHmqgzEj12k/BH2W7n14ETGWhBBi8mz4evG
sffIcdEfYmP82fgmNMte1jXsCOuictk1CopwiHDmcd+qvOVm0cp3gX1Ess6B8iv3+v4jDkQ/Vkb2
55NvtrSl4DhJ6YAVteZ9EZMxSYdO7VvztyiBniDPUbtoXNQfEyYKxl7CyT8zCrckIeIIeFZ4PkOH
AxemhJvguOkOO1/nJjxhvoM0J8FYsdUnrBUcCCm+t8M3yyaktu5sutPbbOlQQGPzDuVE8b4D59Yg
FqDojlIYBhSRDuCRcQQBad90uC0zNAHFlhba02JuNKCSzpzCyPDHfI/+GIRbOjoAPT6UUujvLpZO
2nQglFcJmfftlrclEE1j4a9GKCvogmoSYGWaTEAJtW/7ti3RCiZc/sMGA2x/Z75p+fwgVxLu6/Qt
aBkM93KirGOFAskgRUFQwdfxJbbmMyHkbFZPv4rnSTKYEoQS+j4gjzVusCXbF0LbIg2qKlM5wF5j
ShHZKm5D8WHXGrGtSlIdlEdVFbHCqwnklXMy3U1zHO9sfROd1QAFDpcDViDc0izqrF1fMhR7rrs3
6ybKspNZJmi5IwNLmffZGqQ/9vXJZt3EZT50aKcVgs/KzdkCtbqxP+Z38ntwgvP6dNuJ+kmvHYYR
A9wkFpqSKZ+SmO56cjjkPW2cjW0Il0iJxvVVvRy7adeaGWydqyOKa2vIX1gB69Mr0bbX6485+fzZ
HZsF01HxauNE44mhmYEMftdSibLLpx3R+7MZ2aiwDscQZLr60itZvmd0/AWllUjdxwziqgLEswt4
JUBm/kIh59+PaVB4nz50u3jObH0sCpI1zWvmjffweuO7ZhDIAJ42bmHazoEIOnW0/0bF10KWu4Ic
1XGbllH3p5WP5cZf3lam6NnOQbcJQ7f1iVIjwhAwmy+LC+3M6u1LKKEo+Okzo4yt0rrDsIOXAQwt
oXzLvDmp9oXhFiQEfhsfHXsa1AOBlxEdyjw2JNs1/uLN4dLrIrjuyR6NV734FMXCvWLB+oNOHX8E
ZLwJyDYJ1dSAL1MYucbpxOxRVwD87Hv2TViKCjoSiQqlIuBKvl/LATUbXmQCuy+Cti4tlePAC7AS
WOHb5o67Nm3il1zZnwnOeBOcwxSxdhoRPwC1nTGoZLK64/tSs3/BHw8ynCI1n4KzO0b+8mqx4oVq
4OceexOcS+MFNcpMMVv18RnvV3lECdRLzj/PNb6JUN7xZgw9zLKLpqgFj1B5N0JvCR3xvkDawh4V
BIE47+ALFPHXS96ar42kP4bs+WOkb8nWRqzCo7ODect9G0QoC7T7bh1xafx0djFlS2fw2rBFZknG
vHLMwqT7McTLn4+9CdBIDjWxFo2jfPAM5hIrqXftvaGMfPrYLXikyINh2uLxeNvGxD2EbHlJSfPM
WNkSaaIFlSRlb6JiSvR0ZRynv5K4iCh2TSxbUmPoCBQFaCBIUWBY5cAF9OfLLIOdrW/WTt6jYEgp
DdDuBE/SROn1HFWVy85u34QoarO0dXWNmRA15ZkXVUvBwsbufPZtjJJ4BXRChQcO08IzVQFsZHEY
3zehb50EHBiWJaqXYNka0d0kQbXm7dLofc++JeUKlF7JoULPaMOhBfYDVE3DLfqwa8xs+QhJNRFn
dZvwEPIa1hG0DM+VF/Pbfa1vwlSUTQ8RCoiMJZwVitaJq8saLnz7JsYtpGpYGLXzMqDiMQn7O+lL
75yjEGRn66cYfpQaD0FiccoSrTsydF7DFgq7o6kPd/bMZiWtIRAE86MPDyg4C0F11vGHzjdm34K3
1bqqbmWWmxb06IU2Z4TD0XqSWt/te6vbWO26RFONMQPlPbR9Du+uZxqQfduXrTiI9MSTToSeQUUr
yiNFKNdrRwdk38NvFUIObOPJQtA8iETDQZLYzTsU7+8bNFuRUOQucQxgJ16rZHcoSeiuxBS/5N/5
zOrxnaf1aESimA+lHjXeKlKTVUE4inI5neJ9/b6l2QSOi0KQCrNY4ANPEQw9/caGOtrZMcHTaDKj
gXG0xQycJC3NywFlBlFSt/vmyK31CUHBnhKo6Tx4jJOrDpiEzG3rl2oMnuv3TazaZmFzHVThYdWl
W0DuFKYEuJl9M3BAn/ZM02npxaIMDp2j2UHOOBjwNgz2nR+3KEYfaqxGoQL4oBtOD8A4aJSwd3uH
+2ZdtbBQK9XAEKvKX452ddqzqPKmz7vmma1caIKweQ2GGa3DVeYEJgCxAZVQ+b7WN2mikEs5NlGH
8R5M9AwbyDhbUUi0762eKh4erx4JVSOc6pzw4C7E3FjtEGA7AvJ637Nv1lWJTQHAZFibgMsLXjU9
/0ztSnbltoOt6YWs3KQf2yg4Dfc+92Y6FYE/tPs2eluiT2Awt0szYZMa+Lc0UvV1EM7hvtHubyKV
TMkMBPgYHtgYLnkr6rUQK1x09vX6NlJd6RLwhDG5Q6p95dQuOXPWwdsnMwu2Nu4LoF5aThjuKA0O
sqkEW3nwXZ3ue/hNqE6ugSj7VEi7wDDvIfEH/zggB/sSXe6ZOXIrH6ocLqEpRiYDKVK3kIDanM/u
JF5YtL9fNv0pY//jvLdVEaFQNaEtR9ePZk4KdwB3pPEccxaVPoo6WeClbTCOQKGqy8Tt6BFsC/qW
Y4u/c6bzNvE847ggyIC1t1xN82EAyuFb688vebY+13ubeDb+zDrTucHB9CO/UCyoIL2EI/c/v/rT
M/5d523W3hbQpHEE7vgAkGJ/rh0D5FTjdH2NolHZ5nxaVN7qudq3+fROf+SjbUobcINTFiZW5pOw
8EdaF9Cs0n2HrS26fgpQrh9B2nBwYzpmTjD62ezD6/ufu+q5F7EJcVAxWTiuOGwlpShfYX/bZ7oZ
vX0TyJbiyk6y+qhuo8MCAxKc4kh8hsqjfbdBKFh92u+uLucahCQcWHQnvloxhpdz1S9vd/XMX1RI
oEVOgIAEKI6htAA1JjlTuo72bT637g+TA4w4rptCeAVNS5sTVGU/iGqg+zRUqMx62jc2ClHHv6D9
cVkomPVrFB3LySd23+y61SPBKpb3OOrioFsJ/T52RqCB2mE6++e+fyaAt8hp6BDh1nwalaPHpypr
McdmSTIkrzpAtvMS+NTU4L6u2hcEW5nShDR9QyMeHTwqmnz0lbgZALrcd/KlmzUaygQ4fJTIUlWt
lADx+Ax1R7iG/ueueiaAtyKl0IKw5Ajsuxbcnd/3tUXxUbf6b/a1vjn5Bhgwi2+xvxidebrE1Rp4
jkrvE1jB1OrpIIVbuOK2CnC+a9o4SlUCZEQBrhrbOTNv9Uoubp7bClPPQXZ0fWfg8vBNJbHd92K/
Gy88mvd9KH7EBD+iAwTQSRFT8aEO2pd8sZ55r1vBEu+9eZqCCI1P1r6Zet995cMh5YUAe671zfrb
ndglEYHb1khdfTuRxc0inCL3nQW2kqXYCQgj/RgdEphilOdl7A5vNKKA7BvzfxEuoZJFALqXHAJl
krREsQ/8e/to3576O7/50WttpG9iXwzJAXQHUF/azrlKRh7tuzfd0gF8HsQ9AwLiEI8oHiImSu4r
JeZ9W5GtdmkEPS52jZccIl8252IB37ESdto54Dfx2pfDamISJtgTAsbjBF73BRTH4WHXXLMVMC2Q
hCewXEe/h2R5B2GU7tJmqrrX+5rfHn8jxpM6WpID4VTqPFjbkGdJmSz7xAdbDZPirLNjBQesQTUq
dQBPu40gZdp3kb9VMXVeaZtJ9eVhcRXN63CcIGUSY76vbzYb5sEJm3AEPw/5EtjeJEi8p7Pn/Zhx
wB9nma2MaagDeIShAvPgAdWZms4hZ0K3yc73ulleK456UChgSiTFe/VaNBG7MZrsK8lDRfHTJapr
Ua9UcVUemMC2PnR87wbsJ3+nZmBrf1mzMuliNpVAQTtOQTzSfOr6Tn/e91o38aq8cakM7cmhniHa
C6eGHoIJ94d7Wgfk+WnXRBbEvcYfyYElnXsP98s2FzMbv+5rfROuoHd6Dvb15FB2iy0M8m7HWRN3
1xwPn6mnzw6/AtWMSVseqhGsVqIWfht53Puy79k3qytAfWCe4ZLs0HotvWYukW/h7P5jqOjfwwn0
l6fPvjqs0yEwYodJTvYDBRrrooycdVcyzE9OO4ZHq58fNYJyg2msX2GJO4vmpi67fQklf6t1KrsZ
xM5hLg9RQEThLrYE8ImxXdsCfyt2KkFcglXLRA7+FIhCE6c5zlTtu3zzt4InWnrIZ64BOei+rdZz
2Qr5xgMp7iUTyr/fksFL8WnHV532xrbyyMGNuAfBxjwLN4MdibMvoLbipwY4IVcicXBKu4e578Xl
e8+v630BtRU/8cD0dgTw8mAWJS8ZDCfP/cq+dB58pm+26ieX+QkD27M8TFjDLyiKpd7F8fyiRPgU
l3/NFwES8LTrhcAhcxlmcoiZCaqsNNY5osTJHLg8gYrDIYzWbNfUsLXYgAQtbjvfksMCp25gLT1w
cNZh3Nn6JnjhaQzP9mrFlOxZ78LxKz9VSC/s2lz6WzFUDS1UQrqqOgLIO/sXwGyF9/CBi9WuYwMg
M09fA0uGRdvYkeCxueUh8IL5rBHjztkh3hxlNaE+EmnDeBx41eZmAa8vXYd6/bbvxW7C1zcBq11U
Nh+jxKpcs2DMO8abfVPbVhLVsIWENYWNmW+wd2VDOx9lE+wr68FW7GnHlywhJfGC8hgsPWC9tCHh
gz+paleu6zsZ6PGS4kDaz0auqzNOidPnAGev1/DLsjtHfbQJ32mUw1DGAA5EwnfSiU7mSgte7RuV
W33U6iVRDQcWdTYa7ZNctJUAloF1++piAQh52vncwBaAm1iezTxQIGfhrfYgP+wcOJvdsQR21SlB
pT1DiiU5Qgkg7rin951KYFL49NkHbjAJ1wBp1lK8X+agf2ijefy4K6JOoLTHw+aEh5+7GhzryfPb
X+EEKb4K3b8kvjwNjr+Z88NNt6sIeJOqsfN5EhE5HyYkn+zZCDOib4OjXZ5z1HG8sFEOg9PW7G++
LNpMDtw4dPGpEeds0V51GSCnVrrHSAPr118tlBkCunY3Ns6lgOWVf83nmcSgV3tL+TDD1hZOXW3f
qBr+CuMgTJMyshJ9TUABnfqMcDilH6KQsOaz7OcFyE7qwOkwJUsX0gs2ADvZZd4Kb/BDU08e/0ys
BwZbuvrh7H6MTh+x2KvWcn0d2kW1F30JKvt1xKIGBNwqFtVH0xswPlMxjFa9caQ0rcj4orXfAEoe
lNVnQmH+VcKvmA7NVwK08bwCdm5sdV9CTSAnmC0RhvE9LAr3DK7fWDha2DVU2ehOsc5dv+PlazEB
hnA9OGu8kryBvLR5HUnDYfMwWxiKRbCMXAL1rlWqZUeUJ/TiPInhgJtWsAecBtCK2xYuFxEzqzxf
lZ+gvsAhTH6govX6m3hwQZjLZuXD8waSDCq7bJ5tHH/tfOHKG1ysSedDB6I1dfLJ7UCaTwdr40hl
PWUViOWejvlizie0KWU+yth3P6+tEzB4xsYSlgpwrbelA1RxYGkEG4oYlQPgo8KZD3a55VwON80C
47Q7VQUjWogDQgDIawOA1ZaiirHqvWrGnjc3CYUPzFmCY5DAH1T6w3LQoxu3l2sc1+0dsMNipjn2
EsN6ZMESjNej8XD1BR9IXPC/AbGU6jbTSQQPlDSwayXOmOMG5CMYussIozcIECOWwrO9twOSOTaY
51THAoTZHNJHT80ZauwWz7sEhHZCftBxFwADS9tHQXMECqgFm18CNxnAa6GPy7DOgBnzxafJG+f5
3tQ0ZveyDOSkUIEOrkqdwcMHkLaMeJXHzkMDD5Rf65G2zTd9sjhpDtCcr7QHOZXgY1nIpsaeATzt
te5x6UCkJWmDKnwXNjR9hO8tAMStSsTEPJj4mzNWzANCGS63KDaUsLMgH8iqwY/PFFu99YsLhgf5
CnvjtstRcKFlxhrYPhaegKVEf9kv/BRgkdRMFqhbHhKbs36YEnvp13DIU4cGzsi6L0jCtOdkgfEY
5AJRXHfzA0Vqw7zWDqTRH6VchfMwqJq2B1rCVS/VM1C+lSLje9NgazkRfziPB2wTQm5hJKOCybIc
+xOEuaNgAZ4rGdX6izuiJ0GGHamo0MWdu1z0yCtFVyipHunrWErQfVMcZNu7Lgzri9nlzm1C4b/x
VRoxXihoMq48arzMA1j+IEKwKNzaxf6hrsvmjc/dufpawZzNP1ZRwqI1rWCUIctr28Lv+GrWfPFn
k1m/THj1wcDLbODX/soSwL77RXUInhDAbPVuxGTiD4VqbFSzHJLKebhoYV0yybwZmqqROQCT4fw+
JM64PhCvrNT9OEUiaVLNkJl3UgNo/3rH3BIbhbzFmgXziBb+yXC8wGRDYMI3QEtZi8Pk807RM1D1
QTE6otQxHMu0AwxHwm+5FwuMEgEK0QLidPBC4hRmtjGF9Mo0jfwIkGZ5coXFNhOga4BtOMxlxj4x
VZKuxJeOTJ0FGKMPwCIuyWtF+zn86C1EVzRNJkh+8GzzNPvfWq284a5mYyw/2KE7WfL41hfmpoTT
uP00AzkHAU+zOAL2EmUwKdCLpKhNmzqGdbV7mKswshNmUOVxesUn15lceCaC4D/lKi692gIDTUb3
gzXz4hSRz0P/myE4Hrbn41AlQ3uIYNvAD65DR3Ujp8b0MH+r7bTC4hwYsjcMwADnM16rmcs0tnFQ
dylWkjm5hcOKH5y8hfTUfl0bK8mvIJdqGMtUVJ5w1cDnW2qOXAoN7Ke/irB6FTKPnEiiweqcw4BD
Y3WJQlgepVg8y68Lbyd2x+FtY14NpQQmHV1T+V/a2O9cFBjGQVzdYwdiGp62Me+qKWUjMLnnsfRX
aSGUj2cHrgtY4zFNaNiD0DmLDNwP73EQH/SZo+g4f4DXgd+TTAY14zNMD6zUcyZm60x3sE4Imuux
Ye0JFwOpSuZG8B/Kq3ZN4IM2DoN7FzFfm7Rvl5o2sBKfbfuelCZchzscOhrc3Cj4+DXiconEGhWz
Owp7idtTOFqklPajOUIH7oJUCBfNro0BXh+W7nMAg6s6SPuEzTM8saTyRZMaBk4NGNekYq+ayChM
8GVp/U/gVrV9l69To905RVGPgs1yT9HG+zGOkvFVx3kDlxQGGyUeH3t3UrFTuBVcOC/p0Dvj8mqO
p9MlPQiUtFqvvXXFu0qlq1tVI6u6OKWTD2AdNl3ehzyCC5MUp1N/qlePiDuh4zFq0nJZFyqLdUb2
sU+1Cqo+ftXKufpYEthHdalVmtoHF3/7WqaRR5vpqz/PCbRjdnT7OW2J7fUZTCRnL6uIU87yZBcz
x68d40IdWyUwhEmATVyQa/hWl+u0yAMs4NbkHvOlQ+t08uuEHABwNCY8qlBMvAGgnNHl84LpU12W
lC/ORSOjdX7bt+s4XfvOMmjn5FtQB/CCwCtyQJMXCMeV3cMnFQMko6OOXJV5gadBfl8s7eB6t+qG
/GqiJaJV2tCujI5Vk3jsoUnaXr1VsfGG6ugPHoxnMtmGMrkKHAkzr8wASTuNQNrDz/kMhoS1k+QJ
bG1AQJcEk9PrmUQTpmbfl35/60HVZc7LxOrwbnW4M8FdIQLQv4GJh656mLn9X/bObDlu5OrWr9Lh
eyiQmDPi/OcCQFWRxVmiJEo3CFJNAYl5np7+fKAkt1Ttblm+8x8nwnZIplgDgMzce6211+KakJEh
YtPdOuiSKIssicmO8Mlow3xelhUHv09Ald1/1OZpjJ/rNMKqGsVxMQ2LP6JwSD/gs4t/ia9NeWq+
F6NMzS2/Cgve0o/If9IqLNlxNhK7bi3rjPW2UD7a/kgqU3pBGk7rvIbwNuUbtdoNUasjYT4N6LDT
qBJcjpjrxHcIZqmPnhXZ6bt8Hezyk2uQXrP4VmnObBS5bIXzCYloNc6+oZxcvScgKyLRKPY0KiV/
BqxpzosuSSPlc64lxrsuJ4c+89WoJ6TLNFjd82hFi3Jf0ngq1wgUzoxYj+SjrQkGRnAmGai3Wvp1
XxV5HZ0nydBxBbNlFpdUKJb3zszZGvf1iq0+ASYrxmUPhEdm2X5ujKnNfKuDOflQrLLq7vgoNjFi
0ZAX3QWW851x6xQWyWxkHjnCd4tyqAJNZr3IgxRHuOh1RXpne44DbG7sV4v7Q3k+VvJt7yZzyyxl
Fy8fotXFAdRfEs0seiIr9Mq6IrlA0+/0JSUQwq8buWak3sSOnSvmpPIeKXCDe3xKTsI8lgUpJpOl
LIL3ZBe7z1tIgqj9Wif0TvlFCml9ZhccUu/XJXLd45wSZvoQC/aTT2vFBbvL2t4eb5KqMMfrWaN+
OUZ56TLHR18/ece+7Nr+syDyb9zp+E/bgz8OIqnOCLVIh4esxhnjjdlYxGIQ32MO5AEzAb28y1SX
NWfQ0MkkfEx/3eodGUza8vtaeKIUO3KPZmfyDbjR6T6TjUH5Ty5SbZ8vTTop96yI05yJVpVoA2Ee
UT3Yz2LIUpvjNYuLdxObCNcHqFDZXIOZ2A2xreemuZjXIl8f9bpO7xZ6QPvSHbb0gbEf9Nu5Gphm
MVWr5FulyEwpSMqyWvtKy2SWfTDwPEpvMtARcsNT1uFj3DWsySCzI2kz7iWkyXCmsJ7JQdHk3YJB
wEyrNWm6fVbq2Mecw717/X2VG33ytEhsq4XPVp8tN+5U5gWrLV/68irWFpI4jDiZygdz3oJV6hon
2vO0juvmstWT2TyMg8qye9smZy/zx4zc77O8ttAgatR27waJSe3NEI1jduhSzNsbf9RLT7tP6iY2
njMkasOBk6+Z/VIYi/A5Fl2eSpEaXagTXqVfttYQyXdlXebkOrWeXYdCDV79diYrPj/nKq8sgm51
e+YWBoeKjGy1qQcTHzIseHej3ZBtPnpEM7/W4m42ju0YW+5Zuk55zrTDLPNrM18zsqmKld2HEMdl
toOqbIeK0yaO8Ct20m640PUpcV7jLlcQkUGyUN7H6Ma9wXqd9bpTjOFETla6t1aykQ91V3juTidj
L+5Cpp6taYdDQ1JeUnW649H1YuHsim6I431qsjaPxVo6EZpcPMwPhoul+WU0ZqSLsJYrlV2owppy
lDViyvpzfekHLzToi/PrcbXr7nxIVkhlJ8kr4n0GPptzhv2xcq5nLIrNy4JwjTy0HS2t98SSMC9N
qIy36hdR62TVp9gpvO5hcNHC3ojctBYaPaaenJu47rJ213Z9O146k+HU51bU9Oz2Yhj1c2W1Yr5k
KBXrCeI6ekt+zCpVz3tPrWN5n7F+8XNIV9EcWpPm58YZO6umqPIgMMkXw7e5uMozMuuuR4dLXObB
QOCDkZ7bS2xpazg6Eeb1QaQtrsQF0nA00/+PcJfT6S67QPVbpVZ8zhRNmeLrLj0i0SDKP/5nr3+C
NjZGxIoa24QQMb25QE+gXxNlnf1n/NXpfBfZKYNLhbSe21XS+VMnmvuFaYOf6HL/gohwTqBG117b
huTH6bxxlDgaSZ6+32rln3z2F33bv8CJTge8UtvMqlhLsvMqiWwn3lnOuvVsVhud2yi7dJ8JqjQO
e8fQeOwJtrGJku/Vs5IZTVZaxfa14kHqwXAputY5sGrZLr5mtQs5rspjojG0hsLjH3S1FUcHo6kI
I0mz2nD9iDjf+NojNGc8xqMSCY91B02XDmr5qQPOX13AEzxybjJTG7ulOx8xR9OO5OpKzQ4xONKr
EKtzMBTfjlbLDoECNG8IYH62mHo6JM0GzyKozGcDn7qdsHuNqNA86tozWWDhfumMEXGXdcmM3LCz
+kyTKKWbNi+7a1pxh/qo72sCyfCnJbGnvUETOTGpUEcJtTxa9Oa4SegqRg6jjB53p1JtyOxdPlep
GxptspDJOLEZGIfMiY35QFSRmO4LsjCE5ufOWCSzH+VRrmf0lnTTy6ExbQGK0qxxlwR6tDRVaJA8
VeyKWCPZ9mh5sxyvC8+Jh+w6m7qpVOHLGvv/CQf/kCy9v3YKPwyPvz+TKlU/fx/esf3OHyEH+H0b
0iGRANNvc9Nh/RHeQTVjkFTw1UacZ/dbyIHzCkU0CTLEc0h7+7V/OoWT6+GZmLtLymWdcHRGMX4h
vONHVNrGTgO0x3HJdCcRBE+QE+zbqQkHWcxxCAkLfB+1xspkRK/CaSbwlwTLn+3028v9sd98eTsa
aZPsaZzynVN+tbWQdhWZAfBEugFzarbX7wzyfD/GxTIc16lrJnaPlFbFxjXo92pY6vKsbk1xrmdr
r/uOUHriK3cwPrQ4cJ6pMtJepxSyui8xzbMG8pr6olEfXYW95eCNY5ASj+QctMzKOdHM9kAulr7P
owZXHHxCj+tC+Bp1t3Gf2EVdB3NPsCiAbe/PhX6+LCvskWNH/RAuWFHuY2dJthplIQt1oTi4m9DY
kXQox/RnO/+G1Z9eK8c1CY7HDp4gipMjQKORF+W6XSuZNx/Ltqjf0vnZYge6RWpuwxCX78wj2O9S
ah/5kxXvDSsnk1Ere0nebJrQBq2pGZbuzKbkZg4xXBJU521aFwSJZUp1QZ8rNm6KTzr3XNcJcbZ6
/U2cLCSfVY74vRvHNN0PZDQcpyZdiPhK7cbvS+dsZnYUwNhJvQtdEeQ8LaZ2WY3FsF/dNdvSZrvq
GZ3gPXKJuA+20K01Unr7Zef5S9f4F/XryXVyYUA8EpBcwzRPFWvr2ua1cCSV6rxZioy5IH8hRtOn
xZ43+gtYz6XddNpBELrbi4FYtN7cVV6e0eRPun0gHo2obsw3fKr4d3Yf5X7kVIQgd/PPxihPxmxe
FoCEFGFW1SKGitgcbvp3qpc8RlGaGXkflmVE2tzqRWfjLB9UG9GdWzbWrMTD+uasJ2Gp1n5PR2kf
8qwdf0Ktv7zRyVUDkbdtpqHENlq1nZvffRBQyoYrkPZhFsfEMdvtHHozflR5bHVB15vzmYR23/GN
CCJe4+iYYZ4d2JUTMwAaVb/EGn69LIS9ELxLBoJ16tXd5/aqMjvuw7Xn3thaZAal6H5mDvGiB/7x
S28RSSbfdsucMU+1ziSSl5hNVV0IRtFcGlVenyMrBQJMNk4iSqbijtgV0jjI3jWPKRGAfVQ96cNq
h2ML+L9P0XQk/jSW0dU0tM34EznFn3dj04CbcLdLy/54qjceSgPVLimWYRTpD7EzXfbOpB8H74ay
X/9CEv7Sif3fljYkNgO5vz6Mzx5Vr74/h1/+/deD2BWvHJoZ4yXwilSYfx7DrvXKctloXdaD7nKq
yn8ew4b+iqUqUXjpJscWd+SPY9h7pRs4CUiIN5KACAb4lWOYt/hhr+fklRb1gQCg5kOcGjauXmuC
oCTurhxHnkRVqeqgMk+eV4uyIvByWV3NkRH3Pg/Echi9RmY/2Ud/pIzZCF4+gkVBwR+5TNvPv9sQ
jLTJKvKF3V1Mj7RvG9MMrAT0hezRXxIuf3knh3Lak4bBe9knJLXdtFpUEN+6K4h2DXVGkeG/4Mq+
u/W3X1b19/E/f76kfCObxCFb2CZqh5PjM/FyvTIGxl80qoObtlp0WMSqAr5L9V639kaR92dNU2rX
zjzY7wkGN9T+7z/Cj1NF2xfFy45Kx7EMwzS8U+GqZB6XQGvD2iFV63a10zlXOc6CIUlPxWF2MP4z
9Uj7CflvvIgbv9/lIA90naPFxQaS+3kqEJdAz02ut/ZOL+sUXhlgTD/XrJzg9jUxarmTs2jj856u
Yg0S2ZS0ZLq9KF/WWXUT95r1tl71CRyYyfDLEjrP9vXRaR4z1WNilldxrPy0leZFI1aicet0zcjn
XOEXSFFeZ7DXhDGkYFlK+C4+qegPrZdY97pHIDDR5xDWfuumyvo9TTqYH6/WymmPJCJ6m5gqfeBm
QceDgTx5WZON+0UXsj8rsEfPA2Bz53W8SPVxdWfbuWM2Ji/eEsZAcinMdpOeMWTlfGAYJ7KAlKCl
3mbWkoO7p+u498pMGIFwiEH2Ef2O712CtcudmC1ZXwPYGm/gy4DQQYvTt6uzDuIgiXqwWHYJFH8F
n7/uSiMaHknRFZ+ICtVDYKfJvKhGNdOWzYRlBys27kTeQ7XVgSVG9wq4vFt2NpRBDDALv+kPaW/D
Eng58oaCh8Lcl6lWVyESQeivsZ+HAhIM3ysSnnC8CPuqjs/LdvWanVMUZhrgr1TsFYIBQaO9rDAl
0WBfe4ma72PisqUvClgQnwBt79IF2myDVijvU5HPdhZYnt0WgaGEFa5SpAddZeRVLc66QJGxUEgN
y+tnje7hzZoZKSzKjHcnrEdRfG6kshI/XuZZ+VzO8bZsx6cqVeBVeVoxNAw6SIlMy9l8ivqoCDCP
E2etNo3uLqK3uMtBtRl0ceRDG4/J89SqoiMJTJc9oNRqPuTm2ADd5T1eZZp3UWSLO16kmrQ+NLWW
3xqNWdU+dL51JDYWLtmdTeNqnqWHPGAV8g4Yy4XxVjNxqmKOyesFECsgq9xuF/WMKgZTqVtrMHrW
dD2LZIB6LOZSAAsMSvm2oSXvEGomd3We5dpOAW0MZ3GE+0iQI5zdkXk/p++KkYtW+rGirD4SSU+a
Wb1CzxxnK43WS5nNMGM1s0OvlSsb8AWybNOg6rL1gLJFG4kLRoEVDlEJKLgO2rqGXVI51RkQY/xE
ECJ296XMUxJcSXUmSn7sLR9L0vRT7RLIEJCpqBe72h4J8jUKQLmb1Jz6KFgwdex3GRFr16lV9jM+
ctH6ehmW6oPXr8anuGdMwoeLje6WKvVukA66ji/sOn7bMCOUY9Iqume38spbqXRLD8hqBByHzY93
aaTnbWioIu326Ensd5amFx9bYy4/y7Inl102+fixo6h9IiRhRvcgRUI1PpVO43cQ6voZ/aYd3Yw5
du2+IclCDnQ3HgZ4kGoWPnt57gW6Pk+xDx3DOhFuKm8dAnL70BhLWtQC0UUgygGCJS7siuxvVRrX
ep+ixXA8yvswG5aePzfklYaJQZXmm8IWxl7pVW1tuIhrBaOS64dGQ8kEX9WXjxBMc0k2d1+l+7IY
CDqVpmaY+2okL4/F6m2zMJ6ZJGFEzo5AJNFJzW81pv5uzLpLu8DMitELHWQtxWEYzTqBONPLJqiT
RiMMWakp2fO8VxENSQNg2MNi8OeotWYffnt+nIdWc8Oscmt9pxNMWQS9a2orraUVx7smbc0pnEcM
5Y5WRK0MHZ2aW6qyVz7CgBe3K08vpFOTGKZvthVAL2Y8Isi9Mfokhzq1trcfPuQwRveNZucRK8Jz
dX/GnI7oEN0AdeqgxePQsPBNDYwSsVco2zaT4dSVNgBU2rtnZWWmLZQv/NRxGnqezDlrnbeDkOQc
1LAKRRA5XSZ+cqqdVsYIMTjQtpBRlEngBifVyVpNa+V0qb1TWNDcgm2t4SZd249mbl0laf/89yf3
v3w7EBtb0IxQMZ7AIh50I0KH3N5pzWDf5d1dhUz7mK55/dpyuTV//24vs7Pfn9gO4a7Uknw3zEa3
KvTH2qtty7VlC7F24xoPd0RplJgO24M7B3or18G3SaVugwnf1mmXaotevjV6IgbDfuTB3/WSlPCw
sZx6Cfums650zA7sTfMdRwFbcvncjqZYDqYkcjuEN5uXgM2nd3xKUmijJRmSn7lVvFSsP34lQAvQ
LUHq41ZUnoDvYD8DMcGxt8uRbsaB1blSPFnJiGX9vGbSuaBsmo3zJi1od2ahd62/rJuLBsGszvCl
FvylXud/Z/4q8N13z9oWXPxDsvDxsXg8CRZ++Y1vPZHzSngUp8heKFQdfRvC+ZZj6L0CF2SpS2IJ
QVa+64qERwIro0ww9OQV2i+Q5tcYQ+G+IqDYYoE6xO16oJS/0hWBC572RR41rG27IANkUNMY/bgw
jB61m4Q33q9CR9oJ/aUePWVRveGAaW0y0bLe0AspYCv1bPBFVzZjuGbaiJIVjVUfWPo4m0FRILLx
dU2w3cLTRUSdJu4lceBmQUw7/NhuhosNBifXzjCSGErIt3F5W0q5iQfqZjCCpRuz93XvxuXOFu4x
iZLi9YI2og6a3nUW34m9HOB+0+kAEFrUqnk0L5wqaOzi3UpCM1HgsW2+K1oAmbA0LfMyj4zqgQkf
CU0SOXxAw4xuvLwqR5/SygKbcgaZHhq7E7fdpBfyLDGRmjiellecrv3a+E2mD0VQYG+lURVRKxHQ
5l1XscjmcDTE/IzrECFfqinmt4Js5rNZZHkR4E2YnfNX4Dp2evE+zhrjifyrqvfpKNTjYDjt5DcG
BGJgxzYzif1gzASsrIP+bhlIC8w6VaizicX85Cq4dHQ7trtTbomHvF7nmOww35JMe7dyoicNfSia
ycrJHmjDrem8TBdBwTbAXged6aUPNUrLFXkDnbaPG1u3iY2iaPHdnkxzhFtC+ygZTRV+pCLb2sfr
6O1as3UfK81AW1Roqn8wCjP5tAXnen7lYDNiTJVQaD+M1gyTVfYfBW2tCZVseDw7rmWtl+OUpQ8M
qMug4xgeQyWylGqt6u05VKOmPrYWFhS+Vmx+KAyYms9jM5BqjcQNNeuo2pTxbVs9jMxt5Tsn1oxA
sxbT8WnXp3IPPVQYFApyijAewmt2Hw2jded05lwckj6Zjhbaxx55W7HO9U/OlT+19B7oBP8FUzAt
4tu31fVdS59WnaPzumpPNny5IyB7q24tY99zVv/krf7cbRNq6roCugB4DYPFH98qH1QOS7WJP+3m
VnPXNESgrwX0GdquS+R2MKnxkiEbeStS/esU+i/t7/9tWJaxjfj+NZZ1Syx9X/32Wn2qvke0Xn7r
G7VkvzKQ5lOjGAjNgDmoYr5RS+4rAiZIgDUBm7+yTt+oJXZvAexLbefoNkuBk/mP3ZtAbSLj8RRG
Ecd9/JXd+8XN5IcSgLOFU8U0hWd6nntqu1WqMR7ztCt2VeRo2IUNU4hMylW+4SI4GsqEooVc++Ni
uG88fXijTEJtajNN4GOQ6maWo9iLqd+T3gPYTzXv0slRylTtcEyShhVbNhcIfWaU6KO8ieHLjptk
Zvfddf8XQNIpiuPZDo6VHI7gVZZA7PXjoz3VllCRUMUur6I20JaBgatI3doULoHWMO88pGgs//49
T1cuSxYkWDjCoDOxHLHVp9+tXPzstL4EPtlFNdpSU+afDbf8KJHnfamM/pI92dbl9/fo9I1OKk9C
IlblRXS1nFcf2zQuAq+Q93//Zf7Ve/Bt9C2Jm23o1JiuH0zq2Z4zEKMv4n+gn0Otb+uf3KY/USt8
FbZfQSgzzy5b0MlXcZJar9a60NA1DxI9bn5RFfI9WryDHNqHsR3etp3Yucju9shh7oqf2rOcNg0v
H4DEBgfgDThZP8E1nWoUsk6VFsqsusyrKbtae6Pxs7EXIaiu/MmW+6cS++X9PBY+IfUUcac+4Eg+
TaSXEWLgoVmCqlFPSRGjM0dUhD7AvSklfFJrW3f2kH4Gv3vz97fVfklvOXl4pHQ2jNUU7P6nk75m
OeObTje6U7I+svFf54xVoCVJP8dDvd5ljn2nsqkkKATBUevmT5aZfjZVflljcusnBbYS2aLIsNLX
BIPR1bodLO+6UfYdIX+XCHau1zRj3sK6LglZDqsFjG+ZsJaqBoSpAqHdsZBdcotfa+2D3v8+5poK
Wp3/AVG7IwvKRKup3tii+ZhFzn3nWXdVa6PC5p0tFx7UnEAU7fTJpfrwm7WFROTdwFFKf/sYnnQ6
Py7d+6mqkN3N4s4a4idin8EaB/2Dt6TSH7cf2Zlhv9Gjud85Rt76pCG2Zw4yt23yA7apKwECFyML
6d3WO6utvFB1vHQ9FpcqNe7Sjgrm5Zvh2nTFOMNyYTXbnqe0bFdq03zU3Sa7Uln3sCmYUG+l83pV
rgwVzZMXaphV7qTtXDfmBN5mOx80tyvf9xQd4dJ3MqgQlFFhJMCG2WjyjTp5MKIKJXRTPDm5ez2P
3rWd9tVZ1lUrcrBB4qTm3TtbTcoevl55tTUGbpLUgW3Gal+qcgw5ea6FXZq+scjSnzWXUHDXvKuz
4olBsXeGMoxQut1DVBAbXoDnMhRSLm+3+xq55SVogkdObJ7cDDIiXtgVwVB7HRxjwUxUbWk7iyA8
3+pWGczbRX65jLMFWpF6jRcmeKS/dWMGmxFTeiHCI7kvRSkPS6LLwFPutWSO+GAT/3toFkrCOlFP
VqlSsJq+RhLOBY7lZOw6LVn3U2euZ1Vl32FFaF9UHo/CvM72xcRlSJxi3bcZ75SSqX4VxZC1jWZm
oU3RHABJAfyWHHFNk3/2pvrBSNzzl88O3Vse9NI9L4t1DKp5fZxG47MTaffNPNT7JGW5wpCbPtlO
n50lXvdZPBGn1S0yoCcbn5FI9QCOS3OWjdvwDbQQ8zxIhjAP3TGivmKn1z2saamHdupkVK+k/uT5
1IUCUyFfJirem2m5HMpu0/yV/cNq8wBotvqsxVZ5YEjugemsbDd7Di2PBhrtYm/il+3M8SqZMsul
uJMCk0E18sm0tOG3o/JyWzT6yAtPA/+IBsn0t+U+JBl9/Iiym9mjzrcSktfnAQp5KbLP9sgiy9fi
SbXOdTKJKyOabhpd3hcDk4ZAltlVY/LAr+zbBxUZnT9M1t0ajTJoutkLIdWvy1JMuzLHPbkv5bVY
zLscRxnfcOInU3JhlkrwHlH7YBvVJZX7g6ZxpRZXvae9GEJ94oYJYJzAYND/PlXOcpW4CXrzLFIB
drUsUXf9BFwCruV59/q6ZiEGG/e6wdO9/T9mXH3uu/ypjFmyruXed9hu7LbNt+/dLGy69iEtjLsW
CeZRN1gc6EBNX48SwOg22gGTzkFvTHbYVFrpmxZbBsLu+Virfj4yaueFG5jrr7GOyNu1kmuzH9Yo
sGJup9txa+yOD6lrWnqlw4D4U+6xROv8CTyHb1AkI73eGu81RieDdqyKT1iWn2cWicmyZsV3afvQ
usnTaA4PbdE+oG3i2luEuOHkx6bs8pyQXWr6lZd8zpnUxDiQdarV7j0eNesBLFSB/g8yaKsWba43
sipim+s28pB4o3Y/LxkPlyaPMsvrvYeg+fVopfm70Y2WDHVauhxyGT3rdI6hMZvaTrP4rUg37vKs
MAFGm+gRpA8J0Fb2RUSd+kuDEN90K035WWGLA+Nqzc6w3emGeRQSy+JhvvVMNkHA62wHM2WeWxv3
RLp9tkMs2y1MvRraWaxaL8xb7XGZ4+TW9AoDg/iqOhvIjvAzu3pwFCPRvvQccWlFXb0X8Wq8Fqti
+A9Bensxugs7rZlpBQNlms4kVIKkPBODdlYw6+QL/FIOsb7wIZaRnb4w71q89P11Hsagz2oMriPi
vd8zVZrcZBpp8HZrP0rJHLAlii6ciLYOjcTUH2bLsi+6uan3UaPXH3A/mA+4+y1XWg57EzK389TF
WvZa6dqjaLJBBSrd7l+q5wWAxartjEkYO1Tu1u+QStWZEiZzYDGLZcxdVjiyj928IPCGd/P2bjPq
D1OaP80zx/O2OdUVT7DJgY0sBGR3bB9ejkXqVqTyrbErAYuDTt/OxSxqL4qt2Cg8+5rcKhWULsuA
sVGGgUHFjcJuLzDc1YKum26gLNTHqmQHf9kjMuVc64Sdv9HK9Clm+uJYx5AG/UbHssVvZ0p+n48E
eKWOG4fbfjyvwDGQOp+H2ritzeGqrdxPVpJ/KN3sIlsA9deVKqGbE2qLEvu2dNSNoFUsOFT79X5Q
8ULRkTu+rbDdALpfLuZGzy6X2aVRYcQ/rHTQGhbduZGNb9JuLPZGjo1aP9vzrTFxhnRTNx+x0eZU
zPoHr9y+JqgFb8p6zLNm/Tgoeb/UyZOKuX6MfH6uwSwC0WyLdiswXsqFUrQPi5M9NSlXEx96xC8g
6z+pFLcO5cc6TRoIHEzwWLpC9zS+xCxo9Ur8b3a5x17luNr9xDuxaaafJ9UawapcAA3dVD95X2eD
5354Y3yqXEu3machPBSVxI9tDOhXN3QiRunqMjei3LBnZsS0xrsoY2yxFmVOLaJ0hlFzpjmrK6fX
3gm3ecC68uDi++kXFuf5apmUbORX6m2zYzx8n7brmxjchiEgQwQJ9sRRr39CS6j5ZqS9p9t9YzPa
1Qiv3jezfUy0+K3oSPcx8jMRu5CTPNZjHn2uW/IxmZM8MrpMmZaP87WN5f2xWFjLZcTGDQJ6Pm21
O3MmLHSeOTuFVy7ZdVIGNndFzg7Z9dkN2m8n91vFuYlkk6oxlyzJqVuDyWPOraizOdDq1dwNmvET
K5w/NajOxvYb1CsoxBz3T+YItYu0QHla6CDO3415QZEmnPPVjT9jdUxl1mWf/770fzHqOLmxhisc
5sWQy1hEsP14Y42BIJ8myrWw3K4UN8c6lxalrZmQn9B164fBc8H2OVWK3DqMkXe9lZMGE+V+gbgy
6HsaAIEcMNhqJn2iBNrucksxsJjZ05xwlDK0+DCW3vmixhA/+fa8MvLPTd0+mDWVzrDS16Tm3eyx
z2ObWAdKET++HftGQvzB2Ft3hkXpuJWb2krlUFCEdzqrUxkcEjC5i4+PfE/VRtPyUtMRdSCxqvfu
vY4lonE+ZVmrnYmJuw0Ddl3jVLWjkXqYU9HdV9JgPLCbNlFlzJm8Mt9z/HIy0nPFDN75jNRqO4KM
l5eAewj0qWZjLTiLEZzOvpSLthV2XUir8jQ4E2O/lFv4IzxkztrvKJ6jI+Nb65eBiF+Cy+6rgv/8
n+13PlX10qo46V90xH/87d9jTA7P1fVj8dydvtQPr9z935cfx8/VRlH88BdKHtUvd8Bdy+vnbsi/
fIqv//Lf/eFX0oP99Pl//vGpguLeXg20uvwePNvc1/4acUPKXZz+6y9IGya5r2ifJBCq/YKZsY99
Adq2nzjAXLrH9ghY80/lmDBfOaxzgtiB4ZBZbr7I31A285UBhwm/xc8wH7KMX0HZkHt/v8cCdjgv
DM324RAM8so/LsUYjTjcbVzcTHbd33vU0mdRa6ZPTL60NDgk67xXjpvIM3DC/HxaqZzcajbjnUxT
u+coIjhVGVdqSap51/RZ/LqQUntt6ou6SQtpvF9mTd0Lu4s+EriKcLae/HposmtR6cu4n+OSsbjM
esukwXDRa6P2WkOiEao5gm+IegbrvdnMLpPWRQ+iM5cEHnKn5gyFsNFaiEIMa6wSeJPVOxZGPXdE
L2gMYk5Tc2mj6PvqM/9LD/+/92T/9yHKf/t8v3nEduC3C9X33W+P5e+/XT+Pqvv+gadf56+PXf8/
/9Ac45VtojnfpMEeXN7mNf8NWzZeoV4WwnGg+aDlt/PmG7bsvrKEpwNSW5C+pr4ZnH176mEGpc0P
X1wBNq7xV576F9vvHw8gcCcPSMoyNxHhiwHOdwBpWqsFOVOsh6nWp1dOZWWvzZJnllMjNm7TOcsP
iVclR7tSIt4Jp+T0XnhsP4ol6fZFP83PWMfMlMqTYD9J1F6HF3un0KxVPnOvy7XRi5Yd3FiZWZ4s
2R5bl2aDCQTdqcMyaTKMSqz22RLWV7b6LzHZF+Pfky8Hg8KVNTlgBczsj0taYnYhy2leQxysooem
cu2bgVY1R1/R/s7Yz5T4UjM3EKoU55pjmW+wHpCCMioqn6zae6wYvZy/FHO/tG7+61bENizw1zv+
lxVxOXxSjz+sg+23vq0D/RViE1S+EmnwywDPH+tAvNIRLTDZY0iKW5bEH+vAegUgim+o7nA0wE1y
B7+tA/OVi9rDRaPpQDOyXH5lHbykf3z/qFBj8BrbMcKyI8n9ZPdvF8YVahxrQrWYe4cJZ7nr8Mzf
6zz7ktr3U+HYzRvEi/1lLnDq9xfMHw/ZUl0o28VFi6yYCorVXe4I7/Qs3y6s9bH34uSyn6bycnX0
FHla1TRo4aNkuDHm9tIspHWbaYZ8LCOlbuMFgZmmcMLAVShprrrNDLrxgCMY/u20u6jpko+iWPR9
AStf7nqcet7hVA82rA8AAnlUnM3910ip/92P65b98NeP6/3QZl+27gBRR9X9dt7lbOQ/7uHbS3x9
dlG8C5gQi8qEjO8vwvave7hr/D/2zqu5bWxN139lau7hQg63JEBSJGUr0uEGZbtt5Jzx6+dZ6vZu
EVKLx3PqVJ09NRddu3fb0gIWVvjCG96xZEwOaohfBv2Kv89wVXnnmPxtRyZw4QgXPm5/rV3+iGUG
GJ7a6J+3wu+s3WVWCjaaQw7YA7+KUGipQzphFueHLaUqFTr1acqQwFKos7tmqkMlb6OffR2XJ00p
2Lz/mrRX+nnL3trTuOxaWVcFCn2ZDStdpVCVYNy+0eq7mBoLZQmpoDcOLPNCU2rZ+hJjGdwIuk0v
z+I1Fye5Knd930/BJkXcmdYa5djGVGf37Tfii5yl2WIUeDNkWGSCqKAtGk9No+O2pTAKF3bmtU0G
6MJXkh1VtHw/hHjlSYVPnLWtm4vGOoQIy7FBmxsosLCSLOuFud3QBbOdMvZoGJqH8s0RVCTCal20
UetI8WpkCP68if7xfnzlA3J4ggnCZlxwIBfXIypwdCrkNNgMPhprfi5rTG88r43KCC9QFV6ZWZML
GIwUL0egzzZ53od1nLCsB0miRtmU0Y3qj7LrzHl05RtUmqRm+mIk8sEW+mlpC4Tk7c/6RPd5frjz
UdmBbDhUIgA/Lr2ZTKlJGNuQPAecuEvOAzJ0otKe9aG9Q+K4djV1tkBhTx3OtDMVnbaXXMUeVgaa
cjv0O+iSyJFxYVJem38afiBcWNiqsdTPn/FMRuaIwi09Y/QOKgSnAWCVYKGpzfz+FIBFEAAHHZ4N
DLHzD6AIgY9Uj8JNjxYVIHvf+BZC3fuS95XxSM2ydx0TaSY5zq+65ChVmbzWOj/2omqsNnOP1lei
+Ji7v/1YL8JPvgzoUMhqdHr5NEvrhqar9QAiTbCZh6IO13VqIWUkT3bhRiU6Ulx/qf1AhUF5r/Wz
FqzKYQrXGXCm906hDftBHaSPnTnyU5OShm4DrWAd5Dl6HmqnbqZcswB3ZoHb1LZ+jALpW5aAkwrD
kDAWBQz1CrhR/tGUMwRf3n61Jw7c+aKzZbB2ghFMnVx/QnU8i6wTC9dBGDWSV1OEQcZ97g6Wg2Yk
0lbyKK/9IpR/jri3ruwJo2gXPTV/XDtTr666MS8hdlDuuM5GyWjXZV86H0He4RhXBQHy26idXWIO
asuuO7GZwdEH5A5ksE0+eL5CkCLqNDQMfG9IcuOQj76WoxuCvhFF5+wQh4Vy16ShUqwrVQ/glxDP
hKhq7fNgtiZgcXJ3SuMWwFY8QetfKZUPqVXXWo33UQFmDUkDiHBI+Q+t6sBWGVWpl1e2HtyX6Ajc
8BvC25r6UbSSitE6IBlm3FAGTO+i1AA9n2+CSEZqz+9afQvyW92DYzDuItO3x7XSjNOFD/jyyqEe
IJOxidqDbCxLc1pv9Eag6b6HuFv/mJaTvM3tyrhw5bw+ik1VGbAQ7LfFrJczgktY9vmeE9i0LdTp
R1Ga9oUD8GWEIEobvIsCrZICx2LzS3TV5soYfE8ZTIw04tn6VKsaTiNBTsCLvfeqK4d6PdW5evX2
LlgIYwjqliNCH4X0UsB+lrNYh2aEyqnmeEldBPUqN+gSrkcw6J7axAnWFbUhuRmSn5skGjKiWBr7
u4L+nbEerN66Cds2ewgTefojbvxjNdDbUSF0t6skT+sHH+XjQx9a2sMsBahumiiS3UlJnn0Hf6rD
KHDimxHlnO3bb/XKfAJN0AXjyuEyeyHu3LQOknSN4/WGhkAeZcl1OCSALrHUXAXW4xDU4Umyc+vC
d3x5i1KaMoByaTJFARCJ51t0LLUKnzrZ8cLS6Tf6YDv3oEXukGrmSLfGbsMCe09jKdw60phcGPy1
T6nAq6RyZ8uaRYn8fPQEKK6kg6P3iqTstm2NLZYv5Qit0tPcxknVf0ilDDvkCbSEFBdcqoqRbNBa
1W4y1Z+8KrdPieULuTN/dnV1hqmN1eauLHTTc+hErrMagdRSLn8EmgFbJKu/plHpv29V7ZKAwguQ
k6BmoqoIqE5HVhCE/fnLBOOo9GFvWR7CTdbdnGhw93QnOmDVoJCiDVa5m+gQuFHr625qVM4VwMzi
JkX06fHtxfTqoyDlD1tZwMcBEp4/ypinmhYlBaupTtDblbv6a98h4GRqXXNlz4r0wQqB8VV6QDrY
1P0KItdR0er27sKDqAx0fmORBXPYQbc07ZddJoevCeIh5EGq+ph36tU8G/KVopkR/GlYZSnVqHWq
BcepkfQddB1ni8UrJiKRalxYbK+sdBQIOD4ojimESIs5CbF5zyQCBg/3Ce0xQFsRAfJoOKBlWEE6
DyzkJ5SvDgXxAxCd6rd0z58OLY0vwmnJ2QWPfLHSi8pvrbhi9NHx/Wu/ceyNlul/+VL8Vmb9P7SA
Kq6xf6WSL8gUf5aLTlH+/QeFVFFCbcMf/7Gtf+Rf/4jyH81ZDUn8ql81JPJwELcAAlmeQBSfcc9N
5R2LD+wepdanXJt79lctVXtHOENeDKJadWxRgP1VQqI2C6IWRRnO8qfGw++k4S9guuJ6o8xIdspV
DlB3caT4joT4x4wcrtLnoAOGLKdyYzp9U6xLp0HnOW4S9VEyx+SjExJDrcIitG/6Nm0e5bYiHFWR
OwNA4m9I9Zt4G+Plez11xg7hN8ftyJRkt2zD8luOcCnQoyk8TW2RTV5nqfYubtQLzlXqsussXoja
BgU5KsTk+YvrBr1PbgGsm1263I0bTHZ2o5dDgaazFtKraJqV3zQAd5xWd9H6TK+1utFvUbNLtiFn
JyxGB7ZsEF0XifEIImDaQGxV112oPCLIZHg+ZN4dYtvN7tlqeqUwsUyleW6aRQprASoYgbd2fqDa
NVQYaUoSoGxZtkHXfPSCAflC9BRhcVbFqvWRHn17TEV83eeHpxj06dikj6txiC8mK8byVStsNUZw
NFYfk3g6lQPaKZgaAxu0iEWMoPRGtdFQS3aGTdnlzoVT6wnMvHwE3FhFkmsi+bNU5bAqsiOr5xHK
HPkBUwuj1aQr+Scsybt1SuR1LTdAMsLRnLeKFEse+oYi5WjBMiDHc8APg0Z9mXwvswHlbqjEFybp
6dhePKEpzlQKOJQ5SHrPv8wMpyVD0I9J0k5Rf92B0KgBmADsRSqxE6qo6zT+QBN+PcvjHjruMdX+
AF6/iqVsnfiGO6lbKci2BBrrGdVAzcL+2/k82cir6h/L0eKCxDzLua87/UI6sEyP+L7A11GooIBA
t2bppYLqYZ5nID1cSlzwVscaJnROLOskcMZ7aS6vLiwosUrP58qEjaADRiBuB2ewXMVGrzsdpHIi
JXbOgI58lFffB2UOdkU/gKJHfv8aAMG3ro3BgKAI4HWpgq1lY5rb1u/TCw/0cgJ4HpYVdThb0VHV
Ov92nWPXIHd4HqdGCBtrADAJ4VDuOGALFwv5v6ztfut6/Lfrkxis6H+++B7v/+MUceDlr1acxc/+
uun0d4apk3MS5CPlQ3/7726JgZQKKRxVE5Oc6qxXbtM11Oik0MawoQ2KJsevq856Z1JgEdJkmH7A
Z/m9XvliaQKYp++oQX7hIuZplvkk1QN8m1UfgH6/UaNpi2O792xiXjnDRYj1fPUvh1isNmIyoRrI
EGOoX9PN3kYlp1Tv3L89zHJR/zkMEYDMnIj64Pmips2eBK0s+66fDptCz45FMbmJ4Zykoruwf14c
z2Is9LOgdoHxx6eNr3NWAzWQhZGRBHZRUzuESgs4WkAeZbfyAVbnyTrS+kMxIW0dJvsom963k76b
Am0nZtcZpq0smRdeX8zicpYFT1q0kzlilsQ2JdaVtJhHKOyhdFdq6S4cAg8U5iEQH7a2H4N0fP/2
jF8aUhREnpXFdDWYqIOTImZy8DGfGLaN1mPerfMuBhYdrIzRuRDIiF/51lsuwnkMQEyjrnjLEl5p
DPE/1JPd22/1IokTH5f0jX4O/A1AKYuFFFtTXyCWxsf1i5tZzr/gtb2TGIsC07WZ6de92R0a1Gad
triRdf3S+OLmXL4jFR5RHUDCioP6fFpr3ehUQFa+a/ZfSr3+MLeZOzXpLsmdo+1H+ymI9rHh3A1O
uqsy+zFs2gvV7Cdb7BePoCMs4NBth8MoHvHZl3X8yQYlk0GVyOigzPFntc6OJcUlWg+PIDzdIgpW
cjd4uInsdQVYuo0vhQ17DfcwLwdmHUCnjNl4LIVj6nSHBJh2Lye7HqiM0RU3b38zsd9ePi/fjLBN
VKgWn6yqy9zUw4JPNpnXbROvUwn6ltqttcG5l5rmQLH0Ggn/b28P+9rJhhCCBhiEvONF5QE5ezbc
kLMa8+GbU2c3ZdF7tRnevT2MyGtevB6xFvVLCHBcC4sVgSSy4tdt7LuJ/EDF5ibXbYDFACfLttjI
MSoMvb6nnLyRE+kojpi4CD2AdEdYKEd0s2/LfN5SAVhJ0eyOVnBrYuGQtcaqlVD40yCDyBNQ6hiI
fIHtTVl9AJfrIn3jEveiIYidndJ7DD4Z4fbtd4O1/trLkQhCjIRhSSHufK3NoW0nUms5GN84D6GV
3ahjfwgM5xp3ETf1TZdeSLJStX4zR+3VaCL63yZfuwa0VhbvUaKnxhx9HkfkfqjwltTYh/FDxfKD
ibUugWOhpI/S4oQQCFIRVp3tcqvfpLXGCWnu5jm+m2rWZV2soMjDhevWDcIQ8DF3o9pDgZ/doAm2
eWYgodh7YiZlsM6+ysnasCGa4ZvVDN5YGTuk4JEl6w6hM7w3quqDn30B2fw+1JorHIPwmsKhcQzv
pgEaiOHMrl9kHVS4GAh6dnSs3vMbY+1U8WcAnJ4YUM+KG3b5sZuCtQUJKxhT9IfTz9XUHjLL/mPA
sbJpxm0VoSwVxvsZEXGYKCvkh11ZU3eiCWbI9VdVj/ZRnN/0EWRGwr0PMCyv7QDRNDPcGkN2KABA
WIGPcVH1VSqROSvr8b06sG3R+c+U6A5A94eoSg23nJOHfiqLVZ2nN7Gj75Bi8bDa8Lqg/WDbEi2n
6A8bEDOX0bYIIi8tewjw6sco5oua9ikW94JBtXhyPPyIzC72jK2hXScg83oOD3GQFObPkLkV566Y
63IqN1ru6dUXDm5ArTn/STP+GAN9BxgoW3Ht7SyzvFPi7Fj7qZvN1r00DIc0kjZ1Lh3F7yr6eRvM
zQcnCfdW6HtNmx7HPthnQwvYw5i20PcfAIR6fRDuheSqIL9k0vyIMvO1abDwpPmK7sF1G3Sw2SEE
OOM2V51jjOwncja34tSRInkbKNq1jUEW9BsUaoxdgIOC3oV3Q47fDVXsfF0P47cJg9rY7sU/K5S+
uDab7gqXuHvKaI/0ZrwRtBIHJgtkULJjXKHcjkpnZrFvleaqQbFJ9nUyrHCP29cGz6q9aQQedfaD
VoCobya39Nsr7BwglyKj1DKxwLajoLvz9XhtV0gw8+EKfXK1KXWDCsuSgZ8JWITW0K4B+XxvcoTz
UWUGHFxfdY2+F586TPn/NK8SWzpJfXuFtrwH12InB/06rbCnLLCADcYNlXx71YB8zvvuqh2CO4Lj
fTLN9Ir9pzUAFmY/6cHPCfUnZMm9NJxdXELuTXpiesrtwsVqqg84qkPVi/eIOXsB01qLTwNuQKmj
zw2dPz0boFjouz7LdobiP2aIQ799Qr12yIP+INOVoY5TD1qcT3VlpjZtLlez6w8WghhBPm47Q71w
7avLqoMIO0RNC1kRimLKC/1xX8fVFsE8CC/JT9ytVrWJpUdKodqY3EbR92iO7zpRiJqKzquk/CbJ
g0/iTpUN/2OIUMOqGbM7BJ8+WhBWkK9bx+Pkvj0ZL3F4T09JBYnqBIH2kzrJs8ighYqeZ77tuJIy
GdAV5HQ1OfP3wdB3sartR/5XcpQ9pJ9vMxpkEIC2GNklq6C4JK/wQq71acJQjn0KlMCaLYIUnHsG
3ANMx52G8C5q7Qc9n791ybRts8w1LVSUtfaQD9XXyGrXlcVhAX/y7el4dW08e4RFYj/2mZQ1CMK4
hja+tyo86sKi/BpTSXt7nNcWB5UKnc4iBAPWyGIR9vi3SGqrOS7mEJ9LWb+GsQLpyti1s/O0R/Le
9yxrcjuOoUoLP031Bx2TH41TyPHrK0nuN7XjHHFG22cd2zbsLpWsxD29iMG4v0FXAQpx+JfFXGBw
Qcu/VihvFkh3TL0X1hw84ETiZFiZab8RXD/MFh9x0gpXGdfb23P0Sv4nVB0M0EWix7ssmUmYLIfV
iE1QpnzBDtmzffV7RByU5pfSv1fyHvCKwD2QpiIsWzZCpRK9qyStHBdHiKzTPDNW3di33VJFUKrU
OZEvuDXQunltctn8oIs5gahJnx9CqVmPWRsxJJxjL+Hi6Axjje3qRgS6tYLrj1VB0+IPRdYpyI6d
ZpcgeZOdWBEo4K31ythP2uBNeo+EsrozpnRnmukRNeV9M9dXTRt8mqMRkpu87bLeq4bei03s+viZ
bOw9iyioDoJr28yOWSSdkBW4H5PQi6vmgzLFaAc6xyjh8guNfVtTng0MBJKjfZOBiqnj2yweVlZv
7Coz/oJc1xeIZSc5xa2FhxY/346oWsah15baruW2AXG80uzOG3TuuDH8JKKxjvHgTx2MKvTKtL3q
8+B6jOO10rUf9Mn3eqLAadb3CqxMmzRb7BLEgrgP6w8yJ6aT6jsRLA1Y63X46uHmAVNcUFDjPZ2p
n72d7DRyZb0b77AOusFYG9GNuN+YJSFi1FwpxMEi0rK4bNu+53ZLd34oeaEs3dkJbkpKsOW2Q8Fm
/K6r7WEOxvfi/J5qfe+rX6LKv5vL1CPiPTTI1ZY+CkwiFPF7+6jFAbYc12aYf1G6YOtD2a8K/yQ3
hOCmfaQMsZ564BN8B39u103JKnCi24DosyLqtQpoRq1znCx9ldbhfkDbVMxh31Yf5Cy4wz1mjSj/
VvxcNBMYcqPKo7FDCupacvhnkO6HKvo5Mn9F3B0y+wH/ajI9Y031ctOigw7zGvLfBK0nuU3oFtKn
uZstx6tb4ifgWEKHVwQyeuyccJ9TV6avXTfSCBnIwopUOvpO+8HKp/d91B/0hAs/5puy1gJsmeQk
g9wA2yz7MFvxXVwTdDdfwN2sgQrciJqR7RNWGcNWKbX9kPVX5QRzjluo1WdsFZPbeYrW8DEOOclp
YSS3OQlrjIy7K9VMGz+MqSVBchnei1qIWCM4rm4Djql+4HhiDYorFvmEq8mC+NjMW13OWK+D5+jt
lcnp2vqsTyDBaj1v69BYi29TSx36oyZKANK9VTBBEmlnlO6MMdkpNZHc8MCWfnz7sHt5+UG6oeNN
5wwsBt2RRYfKUeS4490xRQuke5EPqHp3mIkqxTLIY30XJcG9Zc3bSJ+2jU8YqDkX0tIXBy6PQNES
DIGBlIkti6z1WShQyBWGmdrouEIBtM9bCFzoWxnpbsra9duvS6a7PABFMQZozZNOPIX0xfuiYSDl
Odp5rm7EewnJAaAabY26V3hnybOrzYTxyGneSkboVZzDcaWcqnD8UlXhXTlVHS14de+X0hFHrQ2J
zAqTt2+mHq3tEbc5vSDl5GzA2CyEq0+kjg7mMU6ifT+n2CfYIswRk0uSVpbBtouMnTKRFEQwI9Rh
O5jdWhS7ZjQg0fIbt2aJDMCATDXWDjvf7w7gyvaFpdE/0/aGRv3Iiu7IP+4atg5YifcOjZwauAXC
PsMKSVuC/0m/LtIgd6PQXKERNNNtCz7G9oxFnDm/z5UJUQ6RgWLls9LUFi5+zik4Z0e9Nq+HNvyU
a9GtlBQ3bY3PmT36Xm2QVJScl11mccayVnMSR9W/qxX/XoaInQ+Sxzn89PYtfp5pLt3jzYW1Qhbe
dSpWnJOc7nS9/SbV4Y9pNJE4sLWdmZc3NgZ8PdtXohQBC/suiRMTArx/X5jGWtH4AkElHbMk+Nhq
ZIRkjthElTDRe4+TYB9E2RYO8d5HZLU1SOpAru5DkjU1Jwcu+k1Q9eO6CYK7qsVJud9gS+MVrX0E
c3+PLNyektkt3KqNPKfHStb2gLmvbfLpVHI8sS8a4HtariP1Nrkss/1Esq+ZbFHyjM7oN20Z7st4
2CR1cCeOWeRPHpUBPYO2W0Mbq1d6KblPv9yJd9GYYu4HwdwCDYeT365VuRRnIXDCH3RNsgbsf6+W
QF98NEQp7/9hmeD5cUu+UsIGX4mw0rBwNOwV2iWQBH52qVWuGjBkK91H7ElKkB0Z32v25BqtAUcz
/5ok9n1Udwg4p7c0nndWWxxF4h1zKM8kUqXcfgtrvDGlDFuJRJqnfTmlt0gwnNA6u2tU+67icPac
LuPAogEcNP6jSLHDOE3WI3Rnqe42CieaOgZryUxgfQeemXJTFsa6GwachMmtC8kD0nglkycj+PLF
hF0h4m3aVXTIOTMR7/APhaLtKfnvUwuFmYbopJrH9wni1KvCsvI1ihkpdzt+iljeI8aRuR0tkoO4
6es8uBA7v3JyCJgVbRZiQuQcF7X6lvJWNjWy5dKrJTpiMrl4AeQcGj0/JlQn3j6qXg4nxKmI+YEj
AXZZOnjJkYl8H0IcrpR2BxGfhGTNdp5/FSu9HIcLw71yEehUH9GERIFBFyoM56fwhNYdfIfBcrEN
26Uk2HWE3mEyy7DF2zXSfV/kKbwf7OQYhdkuavAUdv7yZfmt/t7/Gfzl/4ZiKx7nX0zc/z/YszSQ
n62OF+gYlBS+RvWPMxCM+IlfrUH7HbpyTyKetMD+FA39RSik/ydafPBowW2cS42q756wKc8YJ/9q
DaoYMJAcstIFTJ4f/h0UzHIlA7/RuNqh7IqsDrD/+cqq02BWDF9V3KavcACcMPJrAyHrHgTVlRUX
rZdJRrZ9NkE3f+aLzy0KXmQ6jIrHExtVgcsAQ2QZVUxqDGg8U9wS+N7H0ETU00KtvnGd2JGOuI0V
H/w5ydB2mtdOnVYnHly+r3Xdv2oi0z4YTlWu4N1/8gcdtZcqwchMVhof8pCshELolIb7kCowGA0t
3DS9NCB9PXfenMstMXtiPnZdgILqgN7P5yTN7esg080floMZhdu1uB61raJcj4nNLTuZ5mayEVad
uizc8EEQNxuKwf9sNcp8/zQ1/w922b9dr114bP1zr/2hyIOvZ5tI/P2/NhGM0HdCWQ4lPSJimF2E
qX9tImBD71DeFURFejQYiZDI/4Ukk7AME3+b4Bnc7zkZHbP3d2A0uJSFJdGTBvDvbKMlZQWmjIUg
HQo0GOHxfMtygZVEsRFGI7gpu3COels0V5AH0ImIzeAOadx+pyZy/qBHmqhTJw569/joXU21VAvD
hJpFNytAzJR6vnB5LCJ4oVYMEV4DSwciDFeMxdWYjaWMb4XUPvpyWLt+24PbMSvlpjJ77E6ocm+e
fbZXNrfYu89KRH+Ox+egOAQlC7Du+YkS9vrQYy7WPwZN3nnpUPZ47DbKhULQEr/1NAyZLOhXBCoF
cWMxjF9CcMnD/rG0EqEVB79kVYe2tPXpzNxhPGGjQWe3RzBAmttaDRCYqu5u3n7XRcWG8ihBAHxC
siNCAZbn+UNESaw3CDUVp5zC+o4wP/g8VZTa7czuPkp6qbh54fu3mEDKt7Xua+7bw7+cBNqFAEuo
6gPQgkm4GF/SjWZWMLg+YXw2QFHJsnWnjvaNJrfK+8KwemCIsXrQKsLMeNQ/dQmSPG8/w4vPTT8W
MjzlOBiNiEEsjvIcG8iZ3LA91arqr50MYaW2xlnh7VHEi5wtKjEKYhL0RonbwcqcT/Q4xkOlhGN7
qkytvlJRV1zJYWds6xjRo7eHWgZbfFR0p2ABsYt1YV+zCLbmsh8UeibTSTPSGUx1IG0pH2k48dnO
vleNMFwVZah8clrpkznUeOxFLdKEMGHUDExIav6ezM3T8+jAmwWOVgijLsqCcBwRi+/q4WRq2Kw7
hupBd9/Fo3E7ptIqjErtQiL+crKpQRKWQOTibISqej7Zqj3rvVmm06kY45bSGqXvAIQ9wpUoGb09
2S+GcjCJ5MZ0EPExgOstVk9bAUs10qI/pV2G5UukWxiz9NRT9Ea98FaLgi4lFJkPChBQkCIIu8Q5
+aySAccsLkN/6E6dlGeb0XKkvd+Z9dqvDeOuAOTiKVZt0WfONO/3X1IDeEV/CaSF9SQq9GzkuO3C
Uk/q8ZQBBd0pbYdiUVOkGx1I8IWhXhz2vKQBRxTgH2gFeMbnL4m6W47DhzqefN0/Wpi1Kz0ud+R9
2ipstG9vv5dYB2ebksG4OwWsjWuWST0fzCrpn/e9352SsSQxRFw5X+Oq0uzKKSuPcyRlhy6HGvjb
o1KT17jxOblRyF98xxplwgkgp3wiQPS/IbP6XViVb7UInTtQjZprTZL28+0xxbQt3hTqH/NqK7ws
aeb5m/IUet87lXzqA1qgyIsm65lfcKE7+MooqFkRjCAiYhHgL27OvB+g/LX+fDIFqSM0mnZla6O/
eftdlrg2sRGYNwChRCqUF43F+eZPhdbjn2Oe4tK+zlBBLAN5LbflTRp1x76GrPi5tXC0indhehpl
7G/kaTe2Quif0GE8vf04r5wAIkogCSIWoy8qtu2zzUEbC3OjIjNPWMGtmgjjzmJ01Tn/77w13Uyu
SeqOiFQs3npKrGHup9Y84WWjRlcDtYlDdG3fD7qn3TIJWHJ8n6dV8AcYJv8So/m1l3w++GKnFIqV
OlndmKfcuda7o2W9D8ILrbmXQ2BngecIuuhkmfqT1cqzeey1PJdTKW4/aqOcbtO5zjYZZu+rODUu
gederlMWKRufmBIWMP92/smkIdOBPHbOqRoomydCIdSsiksi/ppY7uebjswbpKNYGUTvS1oAovo1
Pl8yXQaUAWHtpUX7IxjS3F/7MZmpiw4nzpyjkSdXJfp6Pys7gFQa4PBdIQqt65/xh8DXSfHNEA1l
Sc//yIy8jFZ5q8zo3+hhFaB1irfbNjRSVA/nKkmHNXKaiBCXVX9Td2Y+rWwYmBGdncIdOqmQkdKs
WCYN7F8Ksn3o/LQx2bp0xr0yw9DeiS0Fo4MbcjHDhpJUwawN1ilv0sIr8X5a1yUtoLe33svwUZD7
mV1FFlR/MvHzD4lukFqrduOcJp9zEys07Df8trDUvepEw5WGth8kSd3wO68b5Pkm9lGv8pQmzS6A
TM0Xn/pJLExIGmk0wJc5yizZVjNGUnAyBtW5GkfA6SoOPTtpKHIvCZPfzlFopggABrBHoI/Aos9f
vNARN1LqNjnJdZC4Fr51azODgPL2/L7IDsQo/HoTqhN8YeF78PxoU0fFH2O1SU4hdzUwD600Nkga
+7tk6I2bPOjrA9x3/0qrRmruQVBeOBJeHV8kpXSvBfF18ZZo5OgpFI7kBDAyej9mU7mS5MDcRQVx
jplJoFDG0QIbWEifqlAJLgRcS4wtF42gtYCuFUIsiJ0s3n9MB1sKQzM+paG+GmRpyw1bH6xArkDc
TeVDHOKnaE5+fOwghuBwOIN1nRT9wuJ6uZngsKh43wqWPA3UxWP4lVK0ms9nsMEA0sHubE8p5+nC
BfPqKFAgwSYIusnS83KYA6eqLJZUUbUZKosj0sZyfInj9eooHLlARGgLorByvqTSIbNyw06SE4qh
ymoYwtKFydRc+HJPcMzzo1eEcwrgaJkWChvlfJjO7yGk9HJ8Qs05RWVaiZMfrZTI8Sp9MhgX1ozX
aeZkj3hAyt9lBwYQie5I88X/aVlj/9OSO6lajYPlsOjmfPqpIJy01UFaJugb15OX4uX2pfETZe33
CtW83956glFB05Q3EBn6+QvQ3ACF5XfYFc5Vuu3Qal2PPvWVRlKUVTep+lryi29Zrt6W/dRd2Pcv
M0hWu7CdgapMyRcA1fnoRdbAgybVPsF5N7wO38DVaPbW3vEFsANbp+2kjdYO57r8Oi58dYu+x3Q3
+nKEZ6Mf/jfWP2QJzBIQ3kKwZjEXJsUeB3JjfHJS2bpq5KjYDCEa6G/PuPgtL5YMIcHTOFTVFiFy
71hj3fZzhMLVkKz9ZAzhdQXZVZRlJNEFELG3x3tlkmELQgmH3I6i0QsZJdrINUu0bk7O0H8uLaPG
8FU1QFKa09U8auYnpe0/9XoTuH0xxFdKJ+P5J/fNAZPA5HdvUiE9QeBFdGlTp4TofP7FwwiZ/3jK
21OAHFWFxHHb7MmPMkAPTbhl1Tcfmbh8Y+JYiCpKGJxC9DMuLPoXRUjxFIINTs2CFInte/4UIFSR
ZNCsVlQK7HWXVu1HotLgapABEw5yV62ynGqGTqsYm4Mk/dYCL3jwJfVH7mQ3xdTeTUbtXKiRLbHf
nP+ihCEkRKmpEGosdoOCSUGe2X7/yeKKP+KQEX8ym4YOuE9fAo8oy85ANdZQxbGCmIxr7MSqT2Y1
6QjBxzO249hfpO+rvPO/hEorA6u2UuC6FpDrFZiOBtcxMzVLpON75SHTx6kFmRYWH1pzToH9po78
SQ2cDkHtdsgfsBJV5JVEbecGKWvllgob/qSRFukPalNq40ozKllC5D2ovgRRGn6nm6g/pJhAajQ4
m5ytTHY2rbBvjhEeMPzqrh8k+CNZrZxo1NH+hPoAlVPXfHwnFDMOv6pyO4PHDRPnUIxmjmx3HXzv
My3naEW495s2T8VDoYTaH60l4dMV4531TettzGtVc9S/KU5Q3eqzDBaizI1AXiEqQSA7s5aOUYv1
V+lYWUZjn5hcM7q5xzDVqR+kpphGiq+lg0ZUOEvhugjL+LMMtvPPzPV/uxb/+URl+OeuxRpxh+9f
z52qxAb4u/nHPS1Ks+JcQFiOEO1X88+h/6AilyDQLjLFU4Lvv/oWCs0/0dCiskv0KDoYf/MCEamj
2CKYFAKRysX8pF2MavDNn4cxLdN/1BN7inyendn8ZpIMjizo1zwhwi/n58WEzy0WIKbq4sQAtCYb
anyCzAB9hr6sZRSaVdMt8IXelKVurvNZ/jzDmD70DdUzFO4rf14FZuUi/wSPNWp67TaCLr+elRIL
PX1o8nCtl019Hyh9vdFz3wlxsyqsnRI6UJ0wadV+coRHVxC9fcMrbLqA1Bi9PiacvG7D6JDgY4Dj
SDR/tvUKQyzDGRrLk5vZTWat3DkNiOFdoNV+7MZAU0Owc8Alx9bvLtRgF7cbM0Uzg44rigWko6Ln
eh7KByU22HmhuoXfA9zwb4axwXwbo1LMu7rN09X2v7uJ3cTE/fNuuv/67etZC1D89V9bCfVoqg1s
Iy4F7jlRRf21lYSwNLkcfFC+DVxZaiO/thI8WkNmL6EKgqIvLam/txJ/JHjRMlemkP36PdO3ZVWN
SjnaaJDN8RmA0s9qOV8hSlya1uzb7KXW4Yqdop0WpJNrggFCMX/43gTKlU9Jwxut9BZq6Qc2X+6F
VXOd5r16rQkxP0nTr4328++vpn+7XrHopL2xTiJ0SLyuab+2Udecrxh+8NeKUfECRBoWiAFFdwAH
ZyuGZoDMekJDmeRYFBz+XjEkDgJt87Q6iN+frxisBVkwCn/DJr1Vfuf0fYq7n5++ArJDm5ReMQk6
KimLMwV49ZTEuQIIovKt9WRhdjN+Dcag3eUOrimNEbuwZ7Q6+kjaJzBu5r1qCJdqbKJiuGZAZvVP
eJjEG3+2cBBBZ6FOmxtlkFdtV0hugYzFKuuswLOC4r+4+7LlxpFky1/pxxmzQRn25XEiABAkxUUr
Jb3AUlIK+77jj+53zI/NCWZmFwmxCNN9mmnrNqtFlQpEhIeHh/vxc24hJE3rMBzof751HZ/NV6zr
yBdOfpS1/3/+K/6ZDKcGdvyzfxsYCPhUpOphXKfkNiAK10BDjVTzv3/0t3XBS4G6/g+lPh4Kf7f8
w6ZEVFGRBkMBDsXcyV1+7W7/2k6KTlUQMeFNwqqmyMGc+yO39kokN8HPJY6KSNsQUXFfc4HZho9S
AXEuT1wUtfbTCN0HNUhigs4DUB9CySFTsoYEjXLnmp3H8/suFDUzNaRlOoQCCZv6qeZzj8aZt1Nq
koWCuPKyCn0ShacRwUe/fOvH60IdOZDF1T99I4AKFl+gVgvJS7VVfouIf+u2/P/NvyHDietmzsNt
fsAGf6an5vf7D/4xQOkv+CJcXyhOIVREeHJ6JwrQaEElGxELQkUVEc0fG9T/QpMbOORBiKcf/9jf
Nogf8XCXPN5pvy7Sb5jgpSsRbKEo6sgSaBS+cHQXbh7KUaZIkItDRyTYyNCgmdpRBz1krm5p6ApW
lLWvNeSciJulD006dGYeejKN4iCmQxNXi5HT4AojMA+eLOfvWPgMgsZe5Ofel4UMDBiEOhgSj5PY
t4vRRpQqrWTmUdeRumpTRyn5dRMPb36BPgTQc79yAIGh7jDu87xEI57WEDnOnoaRH5YaemljUCGW
uf4oCCVPOvS8AwexMTxgkzUvRnWgASIfL9/9OLqVqXUaRK+itqAlVCps04sglG3oY06AfMsoNJsW
IuS6VD1KIDo2DiCZ5deACsfmf77DZphe2O+cy97guICr5X/Y5Q9Qlf3Ps3Pz6zf8OTeIDBDH4/HF
AzkDP4lf/ncsyQ4TYn1AegCdYpRIf58bgRW+gGyCtsixHvXHdePYIDLQkeZA8vcYm37j3FywTBZC
qujPZrlDZWKZUR9VdY/wxcRjysfTS0Dze9qv07w09T4RF1Ia9DOn4WvroQrEAEYE2QmDM09rwpIy
GkIfGpIZVmPnaJWFaiVU6iJfplLWU68DZWzaeiEtVSMFqxkaM/rY1iH7RNCvJy/qz4D30KgYjYap
y+DR4gPflMv0BiRoyq/n0T8/W1lZanp0wacJJwXkExLhbAFPSp2izuBc2EOzyrQnL0JGuW/1+EbX
/U1mdKTPQVNb4Fyq7IBqhcPzQ7oIe2jZJZXOE4WDIFzeRAIpJP0tCooHDXBqmkOmLdGQlOuVRjJF
PSzMcOTMCM0cdo+mqIXnayvAwnsCeUUc5S6FZCFE1MQcfHGC/JGoZXtbpMpS58N1CeIpKQg+EhdM
BvgoaJwV7kpxM8X6zz/OzLKRFAEkEyweLPZlyeJ/PtzbrPzM4ug3B9Ppqb74i36dcWh0/YWMqgxI
kYwXI47znyN+/Ak6rxGCKUwnnv3k9wnnRB1/iHVkIC2KprOj+svvM44Wk78YCQhCdpAyQQPsW6kX
OJgTEwYCgxW0WVIUOewjdO7chMGKr8tgcfcPzWqAbC6BlulMxmJS3P06BJ44p6ekFqS6FEYMYYIW
6Ef7HO9aDSN1ZjrHCo4X0bXJTBGfsYZOWUPHSJlVOvv41wvjH4/75YkcSbkB9WTQn/OJeGmTRrLf
+YcOUoak2Y4H1+Yf8m0w41eYYsTXeZwMNHmQyUKvh7nY+4cUXs+3kpFodikQ4823ly1BS9eqXuVr
d9+YIWmWg1luJfSJEtXU7WiJTJkNxUVB+3XA/3n6F1f35KvYz0+8XRyid22MB/9Q6g46QiPHzn4a
Fno1rc4sf/RP7WsvQ51nbtXZLfO3k/1tPifDMgs+GdYvXVEuNAzLrwSzfOiX400I1r5D9diuhZVL
qj0gtSECnNVqrhFeuDRlABJY8MqQZVMHzxVcqMph7R+EdyASdFR2XjPavOjom3oowbSxi+xAhAcm
0duJY9n/mt5pVHh+9f6a9OnAk6vXAByi5AVmagMezRCuJePTe+ZcH2RSufo6yuRkVoCNIGRu/YNa
Ei0g+QtfELQqQJETA0KWBnQ9AUdbaeaSl8QLW4rIAq9SPAtBecV+frKlbZCFOvh3/IOcWGVa1bbn
DaPV6SjR5kiIIGMrQUVAU28TJUT43S8llMtIUqr1WhO4mDaBVhCvbUrK+322iVGpN2qgJqJeuw+5
8pVjhNGJHloJpKFJIDDuFO4zGzTf0TLNIELLBXYviWaUVodxGCtLGPPf+jf/fF7YKZ0a7uksJ+4i
FXxt6HnRP4B6clfv0Tt+F1Bh65H2aXgTXiDwOwOzODqgayNO/EaK1HPbiqN/kO5lnUIFgSOyhdIf
0XeouejPuji3k3NznPgEd4jLtgQg+lBYyY/Cca0B5T6rt+MbHhxCFIzj7X4kaOSzIM07UCk2GZOS
TtvICXzSgdzf8RfxsnLiBf452nGmuJ5jBLzkQMAgw2JolrKdYphGveV9QK3gt27GtbFNzHCGMIE9
Yb/sNAJx1tQAzCuKwOf2DDLdQpLLIDhATYKqCzBtb6K77K78qFEMJAXlrHe8NYtH/WVc++awqw9A
AHBW8Fqvh2ZT67a6HPbiPbJpJKfDwTNdqw+B4ybakrOF+36P0BE04z9BAvcCQrOPUjYjwboFAeC+
+Yj2LglJtx4IcMsi8fY/OjLHfiJdcoSnM5zYcuwXAg+9Zf+gkMbyl62Z7jgy2sC3xQTsT1Z3x8sk
Wvn3+lImxWCP1CWimdjym0pK6r/yxMVfi3swNxFwdszdEZcuzNPPmxj+MAxjKguuf0Ar9s2w4n1a
PYGLYtE6dWaicqPXi34lrPgbtPDvjRtoBFz3pEc48/TknX7A5Bykbd7xLbS4DhHJb+SV/wLNLgcc
tetuH9EHzQnNfq2bET2UK/SWUWYUxaqg9ara+Ha57m/Tt/2P9/42tgI7piF9RhuwKb3oCVbL70m4
yQ7iXbVGRjXfdOtm5hgfMZlfPh8YFcSh0PEA/PXcgH0xCrgeqq2H2qzNdFmKprow3hUbbSN2aEMh
0iC5pd6PVrMLPmpaP3rm5/UVvOi7UKFHBgTfAM7tyQqKvscNuhoGh+BJfBJ/cnfyByru9SpNLFA3
yGjRlsCMPTPxCTLs1w14OuokuBgrL1KkNAkOoZ3vFIcj++oGMMxVt547QrNDTR6LZa7lIMrHUNE2
rUmygUdw7WCZWu4WjnNOlUW85JlPZzaJIArJyKAkkwYHeeGuejMy3a1La7O/6U04pG3/xlnDC7+s
TISPpFtW94AfmsFhZlcvHsyTXZ1EGNqQAPiXYNI4lItukTvjIn7zd/6bsfVWigVOwU0bwrzdLQ/f
ubg++oRY8vfuIimJ1DjedtAoODfrNE57IXGxBui3NGMz3EG0ZA31GZOjAc0/u5fCbEyX5Ctx7Zll
bW50ynszJvYLhfzlcDH2ClZJR0fEJAE+NIYHpQqswfPyLSEBeb7fvD3ZwbYgqQmLqyjIW8nbcvOm
kXVFEJ2YCbVEYq0WOfHJfinThO5EytNklZBndfFakdBOFg/wIb59Z0XUufFNG3I7+H3LvSVjfi15
e/Ls+4Ts0KeKP2mvKZjgzIpIZONhiIq83m40e50tXm8jshvxZxVia0Qx5QVPbnsTdHX2ZteanVVR
16QxoYvB3P+09y9379awA222aI12QDY7nipEpBlZt6a62m1k6/XBpxL5jDDTzdOrWZCHpwJ//16a
A91tRiIvE+Jk5CEmGJ8ItkSebXcJIe/jAgi2Sn0TvxWIFLjJn7tXDR93m5kJud8O5GPzOmIK5poz
rbsdKclNTPHZS9O+XT1lpCMbzOcDTB32o/Ph2To+LqY5cR4b6tKPZ9d6enWXAcnoXsH1FdN7cM7R
jO6wlsw6+vUb9gNcgCTBnDPKkaVCbjf3ZmtuljV5WPTkdVi8rukHdJfwr157TIqnI7wm7nIDX14t
dq94qSHmMqid0MWIGUabmtyp2NVhr+K3JFQ2ce5s/P6aWDKBJA37m3dLsayFTmi/kii9t1ZblUSL
5d7uyYvziE+V6KKly4rsAemB3d4ctvfrmG7J/maEOd84K4NytDCt1c3KurvRycownwuydhpyX1pL
xbrBIBSRFqGQoiOfP3SzoohIR6zP4kUmMixuD56hlU7g3jcN2abEchTEEhm2oqHbe5E4lk8+RlvB
gkqrd99cdDa3klZEtH+Q7SN4+h488gqdrYWKhbPu8JecrDy2dyF5MgjKNySlPv7lzU+NWqt84a6t
lUDZl/3MqG1C3cpsqbrb3mAgfCfN6WYXmNanZa4WP1mgY20/Ng1dgViCPMKhId29t1Jr8XOkoVNY
m2Z1O9BNa7Z2awp2bToRcTaQZaPi6gmne4BZbXYPrWkPdLBK8/Fps1PIs6PhRLSmvuAXllObGnna
rG/x5ZGJiMzKKfBgZN1Yu6fIJJn5KZH75w9YMjtGGvlMTMt5fKLWfjXAALeLFyxfQj6fnOeOYHUH
M9z+uCmJTrYvHn0Z7N5aWfXtYOpktFqLW2SmT8K1S3C343+LlCCIsx0sdr7yiWfit7Lf11Dwvpkc
+6BH6xFfV1srl97fPr91ZN2bFRYEjXFUsitSLh+eeOyYutCxhLeaGT/yJHbybblK6WpONGGqf31M
IQGg+2//NgHvi5yuBnIB/6bBvTxz6+fRfNtUsJon7BQO7NKnG5mKWPqMvj0s0Mi/fEfaoFgedHLD
Ylewf9kSvf/vRYWA1+IhDQgxGkTO3X+Ouo7CcShb86t0yVsepAoX+dIDl8p9aEN42+x2qqNnJLUk
CgTEjOMX2K//4vdPhp/cwIZv+KqcViwmFG9fs22/1OAHF4ElbV1H3al2vop2xcyb/tKFC/QlmlRR
6oJk32TOvB8FrS51waEqg9yKdfCRBt67LowhGYImBXYKWeIUHJpIpYfqTBh8MYgzkLUEnovVDKZq
jUmiZ53AYfTOGpf8p/4pv3TP4jOeJflG23MPv/XJvlVy/d+AXzA9px/pv0hT/vzR/Cv7/Nc9Q2RA
ovS9Osre/5vI45fw/b//8f8NXg/W9fHPWWfqB/HP02Qz+8//1I9URtxxTB6flP2BIvkLITTQdKzj
gQGR/k4sCxAIP9ok8r1slxjg5E9iWVH/wn/MSL7QPYDOTSABv1E9On8yopaF1LXAM/ygAWkB1ITP
T5+kxVLICf24rpAFkUbSufLQvIppkgmPvhdmbyeLciFjdm74kPBBFQaRHsjN8MY39Gn7njzkSTEa
kb4a7d3OoIttiafT9SGOv+PvE/11jEk064o+iNAySBdGLurD2UJLGpKOvq2KKJ6K6OCVEtPQHUO7
F8CzxANNzPUKhTg0RT2KSPIqSgwo5s3B/GemfqypnaTTioFXWjfGZyXs8n2oyVbENTszdxYrX5n7
lDh7UP+sb2XdPm8e9qG5H+kL+Apn3ObcZMRzs4GOpZyrCvYxIs+vCCdwQ8wVJM7Ldl+2cfosADmG
l7ge1ksjO4/cHW6294gaZ9aLRfXX1mvypC7kMh6UAfNYs4j+wTcxEdAez2zL+SsPAktQaAJlD4CF
YK8BhmDytsg9d+wTQ6sXgFh1VtgX+rLwOG1/fTKTo3wcBSA0MD6hWC3hWJ/vSc65Yh8bRb2QRq15
6YegfuqMriZ1VMy1DrAH98myoV0UBVXUwkGxwODFUy2AaJDDEaoLIEKshMoe+U6FlG5TmokopqtE
1IKZN+IEnoS6HAZkq4j+HOQeUFE7n5vLQa8NjBEYMEG6WywhKSinpUpB6aiZUgdKtLYFv0Mdsk7o
utDWilLmTgW4G42AhkefTN39AAy+zCmIevDMyFGOjYOgR4Uo6EeT693wjlMT8FMribHRXE+FQGGQ
OR4QG4u8b2sGWNaWsiEkaw5qiBaghJIpNUVhh12kbNVIEgDKS2Irb5PZEvZ0ubGpQBIoLHHJNGHY
qT9xHVmd4HWOB6ot5T5vG3Ec21kGesrr9jO1UgicA/HKOpCAHpXRlXY+ysApkhvxY2EPaiLSTnFB
D8w15cwoUyuFxhKPuUB4DIgUJq95PspYcpGoQMXcrmujfMr1lFvFEC+9b0DWMxNlXRgKek4SQN2M
MuILP6QYuYnmR65sDx6EpCKM/AgaysYCYUVzd33tLg2FqxxVWigowVIns4JMG/p6gei3wcqjWEUJ
MKY8pr7ti/5cc/iXbQKuHJTGCBuwXdDLmxyFUERw6IL/0Qbdl2KNet6ZdTxLa3IeFqP5EZ1ZgLwC
vwhTQLA4iVDdqkHg1hmNA4V08TPNhZHJN8vBZ+wa8GFjpeX3RtUav/FG/1iPYQt16lkQKGFosHtA
QufYnHRuHijE8EUtt+7C87wMhco2Lp/Rkt5FdsojcVsrWvkSIKYqSCxUIGC/vo1TvwY/w/S40NqA
RmrgxyfXWpKIft7KaDYQIh7t3qOXCYrTAzfSUa2M+DuxNbw5aqLpSsuIhBQcPER6COqgMXg+Yz2B
1lidcuqiLbLAgcP1nnO1S2hVatJ61McMT6KsnjkaXwZVcCbQEKICDSgC9TA1oqzotdFPc6fuMw1Z
x7rVfJtv21GHcEOJ8rDketyLV4CF65t3oYyRQQEjAzskM/YBtgUnvkxJ3DFBGjBzknQAgRWvZJsC
/U+b6xs5PY/HUZj+Cq5dzHQ6P3DIeQOOfuYUdZWskV7MQDeu1DYINLmZCX0dSoOv1zAr1nkPyojz
CTV65vYRqFadjpeRjQKB3FqXkgCCR138rdZM3AE4FbgFwA3D2nyAODsfamy4OvMVdXB41y23ihuX
Cx6aEzOR19TBsFFY1xBksZkOHAO8nO4Qh4ytpyXQbhSSgbPrLigdrkjfrm/QhUEAfAMVlIFOa8Yx
cj5INzadq8dR5wCyD8mLLhugBaQI9cf1Yb7aOWMugQHAZQJsNWUKyPS+LyCC1Tno4BN3FRAbFtem
rV1AQwQcwPpI8e4Z3q8PyrbhzIcxNnYeERi7UXHvTExcUOLca4asBweu7EFXBwKMghSVJEySwiyM
LjLrvBYtPXSRaJSCbGb/LhgkWhQQlsGDs9tvMnzEaDh8se2cSgFG280DLiCdz/ckBofb4/WpXthG
aA9gEEwUDRLTqi0eNQn6UYTO8dIgAh9ybIjU8PhgDoxwaU4oeLEeDFa8nS6pm1cSZEkNEMsMMmhv
aw60QTqyNsIiw2DZ8vqsJlUgHDTYJOBgR+wmbvNpMaAKmjrQpJhzWpBb6rYfq4W+5zkPzG0ex23H
MU2qlzAx9AdYsX6XlpmkW4XPo1SeNbERznizCTSafQ/AZYB+oRNABNRzGgB6vRrKYceDTgTr0BIx
6FtjwWmpFtsAEsilWdSDUlmBiMjUhGnwSGf7aptTORSh3h1BUT21Y0WDGCf0a0IUV8KaexK8AAXt
PpVC89vrh5cB5NNxr+FCRVf7+enuVS1sErSpOqEmaB+py/EdJHrGhKKVxtt0ohfaRqJXG4ETi5ve
rf3bLOjybS1rvXX9U744gOMbBfEM+tmZ7Uy+RKubXJGTYnAGqUCxOwVhvtC14H9KkvLZbeXgJsUy
zNjPpUHRZw7NCzg41v5zPv0K2mNaV8BaDaXBAwMPiZSESOw5BqZpgTClB6O27M2pXXw5JJjr6bCT
Z8LYjHUvphyYBcWwfqqKUAcUN6oyFyJKaTV+995jo4FpE62OQAfhyj6fZN5FfdmqygDO7qAF96tW
BQS9oBoVfZGfOwAXp4boGq2sCFYQBJ0P5guSP4LzZQAJArqaC+DcmwW0T9y9FOidDNW/FDzHLdDP
WnTgvS7fyb1qeakUAZlXSgSEmsFGwFsjphzIB+d0er6EjVgKBBsArzDfhOTW+ddxgcbFHR/yDprQ
Feqn1fAQNx7XEXQElGuJj+eeG5cMDCEUsvkIdDAuW66TIAqNgYHOdwnvKLEa0ygBT1QhVdljLhee
1ZRAWGedys0Aly4OCk4UMKciMuCnVzYfSy2Y9MXRKSCyA174UC4tpRWL+wSycnu/rYfPMM8kjVw/
wRe2HrkG5E2w+8gf6hOr7gsQdKl1wDtBZ+To9UAzMGfFEMf4gARyebg+2IU54gXMYOLgGAQxOLvv
ThaWgyJ8HGna4PgRz8GI6jgmSqA2286vUjQ71w1x86b6blwHQAWom0BLAV/BmobPR1VbKYulUh0d
Hlm1nJSCXBSU70L04l2f3pfr+jgQuHV4JP6B4Jg4Jt33JSlGttdJQr4B8l6KHCgFzAFVLo2CvgD0
ybA3lGBMRuHRn9gLdSZAiKjMWlOBHCJv4pYF58D16UwqGcd7kekfwjCAjmZxyPnCpWpscG7ECY4o
NVpjSQL0HE2QzYDBoHID8OlqSRc8ZkYw6GY31lBmyEuxApO9X0Lbue7AcAJmBiUKnEAPQAly/fMu
rQPeBkiUMeoz3NznX+caLvjDklxwwljPDZCxR0plQ5NynEsJXDoipwNNLjm8L2N3kDCQkvapR8a0
4FCm7Iv4TigLJPWvT4t99ll4Cz+M9BAw6eANwd0+OSNFgXbRLkrhfDhOo54vcQc1rMVl1ffJfaJU
2i4ALtYELbcUzAzNJjIdmlXNQMpnoBVt6oIGaBcNoBSCo02M9EHRx5qnZWH0d7gWZI/EtcHfeJw7
rCCaBYxeG+ff4689WpysIOkCalUW3B+pyk8chCZmTWGoFe+oSQi6ENhb1a3QdZx/T9X2OBBrw2NE
KHhVHpvUTz1ROsRjlEa1BhU9RTbjOEf1eKgT5/peXri58FZBFg4O9sicd26ildR0tdG7muMqHODF
RtJBu6XtguQdjsiPaDW68vP1IS8YK8jUkA3HZQ6BadapdToxMQKrSOHHmpNxUCgoPXQPQY6BX9V1
5c68hH4J5E0MhjHVicy9IkjhJ54VeWMl4cdQdRK+jj5EI+MOUY9L2a6FurgFvZmsQvSnlNKFruR1
uAgao4RQRi8q77UHjjZbjGoVWll4MyqWGujRU+j5RWZW8KTZMghFtGPUUFbSwUIh1eB1hhoHDQJX
DEyvlQGL5tMRcieiEB8ELki2QEJXxTNYrSA1akRCv0tUjXX7VEiUmC1SI+rC96AAZXNxCMnNQeTk
bu1HRa3TUS7ljhrtoEE8BGT4H2XZ1p9xzRXZjS8qXEXjToyeCs5P0Eqb1JpmBXGV3SlNK2skrDh+
JHlVQa0mE2v5vTUghkUDUA8lpEgFLEk3cMZzYyRgqVDkPirNSGk53e5hIR3l2rAvKeiC3B0KGW12
F6IjzjU1qTVG0MQpmQLNjqKKiYxnkUCSQod+I+Ce/asARGq9C4Om3LSdIkVE9ZXyNcwRMNJYE7gf
lZvx+nJIgg4gN0MZnuo2bx7yOgV5jgTC6gcpCLmfQynK7z6eQeVCiLnxVjXiXKRRH+YSGV3RGEw3
wlsHcXavSLexoJZgcoKOzW0Z8NxAoFOp3rm5EvJESD33HVjjXgO9iItXB++2kL5ps/YxaxrF3amN
By+qqCGY5+KsTLZNKuQVTZDm6WkpdVxpdUqavHagmJcWUqXHj30HEkYI13TNh8y3g+dALwAKh9Dl
9AWqQHfxXfcEYAmlIk/TtZ/UfEohFFwAOgLZuBi3QiMGxG3wQXaVeHph47kUxrf82KG9OkkLAcJZ
LaRaqB5LPIBYSTi0tBb5TiS+1EaAQyW+6EQlU2rrYecuzcQELI1e0fGs4S2S3jPFUwwokgudRiOt
bJOVjs60H33S9O8IpUamcAXIWCqI0L1VxKKU7BIKQW+ezmdvslQngp2VTQzIuMtzKWRTdO6Z83i1
MqMqLm9zXKe4TRsenwE7g8AJXwMJi/a5roKF9CgPdXGfyJaHy+Lzf7VRD1KUEJI3MF32qwe1NIg3
BPlcR9AFH4cXA+TsUQtQlC/FKrxTdCGuQaVcJHX9CrWhdC8B49maRpHkkNTMtLKZeQBeuCJxNTAS
bhZNoi3z3MeFUm4UnFvJDnokSp+U0LSLrKjv/efS6zvIHill6pSc5CGcBHfe7Pt7UtZk+QIwDSAA
w2sErZrTByj4QvJBEKCFm4hjodnVMIoQxyqSaF8KfrEeuzS/8wqv+ZRrCXBddQyE26yN1e8Rkx4v
MdCLIY5G1x5qMMderZPbMpGgPNzxuejUoBbelkgEmkkc++b1G+VC0I5CEutOR40I6d5JFNgPTS1l
UiI6YsW12UAQI+D218HnypSHohStKFKsvaHRo8o+rw99ybZAy8EDPYFEqTjNlcrQtUS4oInOEIcF
oJ0BVIMriR/vlFzXoHunvlwf7+tUAeFCPQbRNfgcIXFxblhu7qac4HeKM7pJDZLbloMEX9EJUCYL
ZDmAK66UsbfB3uXNvfe/Do0cN3grdDw70YQ4RQ1BO1oICq4Pl3lUqSNtBWFIwO/QuuggyDRoNzQA
fHRE9H1j7uV5tJPzaxw5OEQp0PNATkme1mXqARitQQ2TpQopJc9pVd0vaBqkWUEkD2G2VctIRZGS
CyrJGfRG6tZ9PYKdTebTNPp24gMBE1DCPPKrqMhOEx8RFxRSDz7KZVFWKBgbVWmsh0pQVi0IiH9c
3++v9oWxsN3ILsDGQER9vt+5pxRpxsfRMtUltHRIQWShPtxAQKozbEVv/Zm5XdhkVlVkmUZkr9H0
ej5el6hF4qI8BqlANaBlWrpOBxJ8K6+1fiGFg7AIKnRCX5/k14gQhEqM1Az/Zy2Ek0lKfA/YBOi+
HdxV8RahS0XGQR0tDxyMM/P7+iRj9CuM9lBVkaphcKzT4LP0fFWrlcpwMiUXbU5uolUdDnM17gu7
hl8NcvZfxEDTVRTcEc+EvAHGiA85XJoud1/5kE4NOr7D2RTmKDsnnSHMz0ImAD3+KK4zknvGg3U6
rbAH+3OP9xryw2IWI+cFtXWKTIZUrPuukG6zIu3UZVdHVUI7wXXdRegL/q7qSm0fcDK0UPSuRzku
dEvuwR0g62oKlZTEm1CUU4W4UjA2iypX6tuQr1t3C71O+aV2B+MRchezHfuX7IERAetILOKZOT1g
jVJFUASPdEfMpRJw7UyWU1vHw3lfjFL9uyX+HyvOF0bT8ToA3STaABmXw/naBYOI0B08+g66AHsB
8BD0WVvAymkaSJYh2DlzWV0cDmz9Ii5GFQQQk+G4Cv2TIxe5Tl40OvjC0xRauEhOlw8yWCO5maN1
wd6hYAGrEJBXQv1kYhigRy45zRdcp04qhO9eq740alLOII8ujgJrP7JkaMj4nC+hUWKEOB5cJ1M5
H8FeJIXNI9/Doc8M9DWu0mAWAg8BH9RbkXY+HyjS5LZQ5dx1Ri3QRhPPERHRtV7RsmogHl26IJjP
9d6/CYYRZAvfdlOwSBQSGQsjHCQ79SfBTIwfcW0lug7P1cEDMgy1+ByFUvoocqWcP3x/MCAggHQC
DAIkT5ON8yrd64y+hUZFWXOkLUIjJFlR8MsWoor29bEuuCsQ4SGfgcIvLHPqrsZ+RMe8MHCOB9kB
M27r2gTfU2eDd/ltwPGY8cEX7hiUriGXYwgs1Tr1wQpf172RCJwjAx2zE/miNNURotMVhNVImrfc
shQSdcZyvmaOgFRDlR5xBFAW4AE+37y69eseQQIHn5KoPPES3ndpVAgVCJdVsOmYYKZWDSIFafeD
E10d7DrVIH87gw4dKhYPQvoIXHLThY7SXk0UteEcJEgTwfEhEyTQ1lO6zpbiduAhZuN5FdXdoby/
vsWXTiieArjbke0B+/HEnHAU/baB6rYTF6O6TsBUQj2kC2bmd2kUxMKoUgKDiLHY8T05IRWIiJRS
z7Cz0eBrpEPhTzLTxqi0mYEuWSzAIyiBABMBrNIkYlBbQ44UaGw7EBNFXd2oc2oE7YcMHWxaeskc
TPSSzwaGBIAIADhxv06Gq40gjHNJN4BZqWRTlrIKtIy1Soaw/W8cDla1Zzw+2KUjzevpEuoKSupi
E7tOE9WAjjV62NzyfiIXZpQ0QOinco7phSDs/b4TQDgLJAYCWrRiTClLxwymX4+YY+PWtYOyLVqG
hVF9jFvkv5DUTa3rFnlhTVnGHgydqEWgGDGxSCVG8h7SOboTC0pPRFcIzcHXQdIzVNWM475gluAT
g6dhdPtAzjFrOjFLgAdSSYgLw8lDCBvEYuqvGrUNF9cndOmRgkgdr26GzwEWcHKzq1wLtRGlNpwq
Hms069WgiqaN6MujNbh8ydk++kqLZV+kcrtMvKrNLB9yzAWSdf0Qz3zNpeXF+x8ZVoAscUQmR9ED
NKLLUJx3vCju13oFZS6vELyfhqek5szEmflPXmeGiGQujgga+L/E75xkgCqiDA1H5/h8JSObZveQ
7AR7r5Hk67h2webmNYASVm1LciBmDqU0egstLOZYbC7EBwissMXQgUER74ijONnpGBmspOxZIFLl
EQqjepYvsqZsVx4SphSKIejcLlUEurhZi5lluLTiqPMwCkccXNxt51YWAGmmNQnGRnGpDG86tQcc
TMdea0uV6yGgfX3VLw8HyiIUY4BsOrLTnEwVDOR5k0oKwlbOyJe+2kvQQZfVbt/lgzLXHjvpkjo+
MFCHQCgJ7ULwA8oTcwo7uZJDXXadKoScDzWQcylWkde4BzmKII2OanQEobmsRJLZj0PdtQJJz/ml
OqjNs5/rWU2KJlbBcdEHoQAfLSTJgq8bbTWg1tORxu2gJ3t9hS5cEuwVgQgKpxHSi5NcSeeOkGdt
YZajBny60PccQbwI5T2AZcC9xxszO3JpPI3XEGYDbsKUeM8NIHUDr+dH33WMsCx/5oYUvECUJnsB
RA/MvmnYKuKMyX01d2DMAAfX0VgAN3rctRMb0HC0FF9IdHBjA4azQCtR8OCCYp43Jb2ucxMv6zy1
AAGS78eqMuZ4Rb76VaBNfgEscRljiPMJ+wDqNrWna07hefqC8+N02dTyHNncV0PHKAAkopSMdzty
bOejgCSxVKOswiiRH9vC2MpmUgJaDYTinEjExQmx2jgiJegoMSL104vCH7LGB6xYc2IXOBYDcH4n
F9u5jseLEwJ/L3JpyOHxU9kFIFP5sRpUzfG1MjUrQwDHY8tLS40rvx+4YO0QkSHmBOsJBL/OJyRK
nhL0eYfqBi4gqqf8YOWG/385O6/luI02TF8RqpDDKTBDDkiRysE6QUmyjUaOjXT1+4D/bq0GRA1K
PjVt93SjwxfegOT6XB0pQO3OihKvu2q0rZrn10MhXEmjXlOxKRHTV82MRnDTY3fvZvV40NV7fc5g
vq1waQK/1Y9q85wnFlDDxcYQZTaqPky00r1Ti2wMJq/U4W4ZRwWCnfFgrJmge1lLKqCb1CESho67
PeWIsrLVh0qN0JjPUSMqDSStNHv883sEjRIEcFhGbC4pq25WMisFr2fvXuj0qe8kXe73pFJN9yYq
BuuXGlWpfpAc7Xw7VCyBGALaW59O/XrEeOzbTCq1exGKnP2kGhH3Z+1Pcz3XB1fW3lCU6EnEiP6A
5G5KBU5f9b0CWvKylIv7IKy+O9H1mk6lWQ4HQ+2cZsqGMDLWYIDEb3OaM68x7J6352IMlGn7VaFy
anH2/tNXxr0aZZ3wb3ewoaWAeefOvaASCALT02fanPPwaXaT/jIVtn3+D+PRykbmjJI2L/r1eCOB
zEwDm29VLaVvlpX3frZXI7upKu9MM1X/vOzBBFe9T2SByYFe1Nd+m6DiDg5Fvsq9OEOENnjnyTsb
KB6NvemI/PE6Sadjxjlbm1c83FuwJubDHXFByVq2qh70NY2xzGRHZsWCgyZyY5caUy6/odx1stJW
//v20m6U1tYoh/GhJyFEAluXasj12vbVkgnDZm1HJzXrS6LF2T9es0iEnBLXyQPMobvq3dxk7Xjv
trrTEAgZ3cfC1rsH3E3XBvso0uJ0+2ftvPKwdMks1tiL6Hjzxct2TmU7GQ6lIAtPNrp02lPaRs4P
KZtuDOi0e53vGoP8V2ssut63R1/nfB3cE/CtICs2Acw7b3P7FVCG7cYjirJbpTtNOW0BOL5KeHuU
vWuBOG2Fp61R5rZOKWLHxO1nYZNlzfzcyjI9pwOgLXeqf90eaSdNQ8jZ+J8BNmXfbb23N0xroebi
XkB5DG/HkhZpoFmxawdTmdt/oQWQVj5eVGOoquS/njbS4MbN7ODe2FlXyNArOg6gnMuOu95r0kgM
WCmzh3q/yJ5lhu/5MJd/jM+H3b8C5gn/+HQgfK5HaW0z07Fp8S5RmSbRS8FiDMTs9vlB8Ltug802
QaeeJgSqAuv7v7nXRRGvUJKYdpFQq+iUd4rRnNq8zb7keWQnD2OaN08GfkxH9fSd15kGM/hbMiGQ
t+5mYDz6SO+rnP2ZZ9qbntV+wKQwfjLjtg9KxKoOEuvd/YNSPhxG1J4pcm2Oo1PpxIiZRuECUca/
MjeqnzDgdWmSUM4XI652VkKMCjHVu++ytLgbtf5o8+xNmuIp5REcOanqb37DZPbL0iW0sWRrZX9N
KYL697ZTpAiAlZgPnPkHy5Fp2c4RJQSnXIswwfogbBaa3H80Co+HDj1lGbQLnlVG5dV3aTsfyWLt
3HggR4HZ8Xqj2ayuZ+e3J0dVx6m0ZhILWwoV7z0C47/kknfhBIyj9MUSa++AnLgOWslRPl1u3xB7
E/199PXvv41uWLMspSV4YYFxfM4Tz/yn42mwMDS34ubg3OxdA2SMYFNA41KD3xxQneajCXzavSj6
WD0nZja+AayvH4TMe1Mih6K0t/JISD2up6RmpmrXcuZ6na32bBoJVrazbeInU0f/YUI008iAudw0
+lzXQ5kiXhY1J+rCTrEJs2hJTm5pVP9hlFUXY3XjAYq5Bdj0fTrih5PZeE4X4h5r7+q0JE19vr0T
dng3K9tmLdeDeKczvTln1JSnerEL+1I1eQ3rTus+zIbi+RzwmGcws4M6msV9rU/Jqaux+FVAA78B
L0cf0cS3XVVGzXecpn0u0rjyoyW1Dr7s5qjYJowo7gHOJOgX6sWb5dY8pe6wpScP6mQfSEXzgs7S
qlCmmnLnYG73MJFXv29y7Q/DEkZ+cSLj7UIQf31Prz+0nc4UBVVtxrIxp8AQ0aHy/l3mTor7LEOC
+CSKtinO1pCJMjBzXAtOt7/O5sn5vz+An0En8EVY5PoHNLHoVeEocxhR3VM/NXLRmyfAsvZ9Arvv
2cnG7u1cV/G328Nu7t51WK5/oH0cVlqr28pq0qEUsmTGEsa4DQeqkyUn1ZzoduAKfTeP9h/m8Ot4
MHRX5MsKbUJt/3qa0BFE48LHCIUJBSEpMutMePxPP8ijVGZnQX8faQsumhBvSKzaUMMefDcMJQ+0
YTM0dzyvyR24nuLOmubm4D3dXID/mx5ni8SC/Jo843p6oC9gewump0dCBCNlw4cB8Gl4+6PtjMLK
ESIQ2NPi39bmm2pY5lFoTtg3JUb1rRE/Lmp5JPGyjQ3WycCq4GNQdqHRts1u+9JJowJ+bYiZ5BSW
OJK/k0QofzWDV9W+oaOy7g9DLp/0rAMJq7dNdd/1cjyY7cbZE1Y3LCmotYS3L0T+bdhH0cWiZZW4
YdQnPFmJKdw7s9DNH2Yz2x8zcza+15aVP7UALJ6SJHbvuli3R99pLfE9HsopOo9rZc8vW1P7cftT
7JwfhLqJ1YhKVxDb5sZS7ER3J6lQFY+iJkBJur6bPA/DCrWdH9WhPFJ93fn0wD/X4pfFLU4yc73B
7JyGb2VMTojHhAi0Tsse50KPD+7h9f/yW/z7suI6DULcwVl3osPrUSSWMb0XscGU3MBFniw3mgI9
HY1nArLsS9uI8tG06uFNPjXxR4n78UFes3N4Xxi4vPAuXmTbYmwf96Xa13zytGnV960zIUjbm0Z+
iUTfCZCJtvdpriL55fbX3EQWL/PmqectXhU9cDu7njc2eqneg3sLF93uT8DYR7+Op+njhBf75fZQ
exsH3VmalFQ/UHrfxGVqk9qgiHWWmJjAj1QYPJ2FrbWad94zVdXl4H3ZnRqVPxpK4D4otlxPzY3r
ZlJi0wkdEjMf/Hjz4A5m9aHyhqOizt4e5SQQZmBzQY9lM7UKAZxMNzv0ZaDTBPDrtGeLKtKH2wv4
eosYSBARnFGKomm0zXyj2dabAdeC0IIM8JimsXJnLsJhFXuCG0+tglFn194e9PUqoiYDopDjB2mG
R/N6Fe3FLZJsGNxQLwTy/83SnAlpwJTVg3b+L0NRWVzp99Ry1g30W+DepzjjqWPrhtWciLsqngxf
mAByizQSd7eHeilIXJ/3dVp0I7hiVyTHZt8vcdE5LQiuEL5I/+TiXI50X1107ztd4bchJzbjnqaq
vd74VV/V412hZqURZiV4eN+IVHREasVefphOVqO7Hc+x4XfYo9FLSxM4Ga27lIkv6KjlZzdL2wcg
mIoXUDNInhpPT2bfymT7lz1wGcV4ALhyOAH9aNRz15TeLxd+y0NXOo0BoLIyVZ/ir4KUqZ3WxtlY
Sg9SQD16B5fQ6328hv0cTjr3K151/ftvX8Ds6kTYMbdBI5yIjt+0PNVm3ry9vfivLwJGIehdaxtU
Nbbf2XE6ZV5JLWFeWIN6pkcV5+CALecxt7Es8Fl6PApuj7m3jWnrEoSt3FB6Ktcza23hVY6ReqE+
TTzik06pEvvZWQmsxGoO4C2vHxNODNBHMiiydToB14MpXTM2yZxYYb/01ffGjGJxGRsQ5n47xtjr
TTR730/2NEkgigIajjbUWnGwxXe+JQCCVZ0QFhquk5tviSK0AgesNYkGteVM17YIplibTrfXVX/x
itqcJMADiCatFwTjbVa2LOaRPrBlh+2QluMXYxjd5Psim3z64dRpWjyq4MTG+4x/Sff7pC1mnMCj
tKK6FKG1ZKIC1IQxyGgznFDGQpzfnnsUvXjks/uqKkjcqTvVCAYJ3sNgkXWdPqZeTskmtrNaovNV
z8mpVhHzCju26/AOiPeiB3bsDn/XZmTZZ9zXez3QRIRLoZVrWI/309zSjcyjMruPUToYHmZtNuQ7
RTiZ9pa2v5g+efWofLaTtIblAwAifrQG4J6+F43xv5HtoFxm1g7mxI1Msg+RaQOdXMakl8GSlkl6
T4Oyfk7tKcnP+RCry52eJ/Zb0y4KTGSMvvxVZQhOmVaEK3lTOO9afvCjPnqaOMUCXo4ftWPbnZaF
0sNJkWnavGnjyFJ9Ly2SL1qvuVkg9KillJ/3+vPYIz/6rVs4vz6uzlQIK5DAnu9VRVt/B4fktj/7
vIrMNYL1xKMVl+X8vKhK+qWfZxGdGqrR1Z0lTO9+0Euj/+UZQ/Ixl0WR3dt2N40XN56W6p1akb/8
KlMHSZRlVDCH1AWMSq7JRf84tR3yUt0oU5TUplpW79ImkkugTpab/NC7vNIfOreF2aGwMEagFa2O
irNVDmC6TTVKQrrISxssCOU/mFW92jZkrTY/DI3qukEJ70t5m/eDPQZSLTMqzA4ohr/sOrUf+l43
65MCMl5DBlKk3xSr7QYK7lo2fcqXGrkpt3Ni422U0B44V7IsssCZq8T9MsaOHN8sjRztL7YBJe9H
nMFL9nWn7S9Gq7P9vEZ1ICSkehS/Ufooxnlsklzdi6gj87FdEjO9xEXVTmHdQVb08zFStJNeznbi
W8vSdHfzpJVpkLstZDc1tYz669AlzviVKKjTUXfR9R9xY4jusUpKlW3ZCbMJJpJh+LKNIqcAL2EG
9GDLvEVgiJwVFIuj3gmnUqu7ypbD+6noGnHiQ5TtqRe2l3QcJ81Mz30LKNFP+yV/UKuiWIKFyP37
kCVR6rdLmmonM+/n95kZraiXWPV+eksWgSuP7empKrIZHXUE0WSQwdb8iXyR3eBkiNn8Y+l6099A
BJPinI41n92KzMl4rIVjKaHTryyTPE1EcrfYFDvOuXDQ5qPKlXdBbyl6HnSD2yNYBZrsZ2uNqnJu
NKiXfhR1HmrsRL/FKdZbNTmVExTMi1ZIDepbioWkn9Re+qWaKvloW7R5g8iN4NxZsJVQ57Fq7cEy
Cf4eak9LujtncaKQhDgb3xIRJE80KNTqPh/tHmT1XHKweA+kc57EXMRvVK0fjUueq+PHPI7ELySv
elzO86lFMR0QqDiN4xDXBA1wVE+R3cqMoKHOrXtPFcvT3LrNI6vGouMxqQ1+o2sK4vuuWmrnJfXa
5mSjHyS/TGrfOn+DR5H22e2kKXyS9IgmWatTCJkt6C9pR9Jymggwy7/B19rar0lXhy9T0pfvtFzX
Pluii2KsXfIkhJNXaKe56hvjsZFN297zvzDCwU3YYhW6dhjjqJH+5y86qT9hOwwjSllbMFO0wGSc
YP6EpujTOytfxjt1NERgTdV0brE1eXf71dl526hY0RmhfqOu2h3XD2yhttNgjqMTZlVdPC8IiwSD
dNyDnHAn3kbTDfIxJTqg8VuXRC83eMYHzwm51L2/qr6LPR8UTyCXzr1zk0G7JK0Y/kOkQrmIQg4Q
UofndJu2cGvmrTTtMIdgeZfUShzOc4wVgAdL+fYy7gRitGp1UI/r7MwXy+rfwj3YeGPplaoXetBU
PX9UsuxfxVCm53xx1bCWrvXm9oA7BZaXxjfJHziFtfR4/eGmuGERaZyFPKjxk1wy52/Fy4yvHHnv
04QM4gnOPFeI6UZBZC/Nt3Ru0vogMnpRj9uELCuSHLohoTwtxE2ynyJUGi8wPAk4OuuXsNyS06i4
C+D8AkWJbPTmzHfcTv1HVZzsXVoMQ+9zaydvVYRTf+jaYi2fCpGlEdTLAqNJ+ObL9FwlRVVg8TWn
XdB5cRKfPGXodV+NlQSZ/F7D87vVUhUddBl7XDRFaiBOD3PqTQcUxj3VMtewlbVzBcdNe3bHYJiT
MXsz5LzztBdH1brUcax9ApjrjRdNQSb5nMeD8QGoTvS1tavkQ9+WOZZbiQXImVBG9PdzrnfvFw1Y
it+Po5b5PbkedlFzYyKln0Wd5g+JOX20MwnZOatNdTqBD9TeepNiu75pFfmHoRSFDdLDLj8NUjj0
kN2ap6iPFAwyLVj3ddBOBZZMDi7T3akYvLoIekVWtt/HWtyT7CjJB6lqAzZBtWilLyRAWoKTqXxv
oR9YnzSIzA0Yp3zS35WpXZUnYRolLhyZOz+Udt/8W8DY+FfGlR7Wsxen5zGWxfcsqzMPE8+8w4LD
SORPWujGp7ZIip/Ud6O/ZBu3v9w80eeHVKbLZ63qtfLkMtXWj4V032TSwu00RQLoLheZVfiQ0TXT
j7Wszv28ADX5uVAcWxzU+HauMI8MARQITArwCpscQVaOmyut8EKAxMXZkNV8p1XVH6K0Ke8gDc5d
Qt+PY87vvj5vvQrPFOaQE3q1lJ/wYib61g3QH4SpzRHKdCfH4qpc6yBAkLie1+vmt+tkVKTttYln
hWVp4T6Pq7Pj10lJMNfk+h+qmKwzo3oPWcHhmqL/vrlJ0jo2+1jN7VAh1g0kiNZvw7Jm8W4v5ncm
1dImYKeqbxIDicKDbHLn44GbBLQLw4dseVuJMdQhNjIb+b/G0btTPNt4i8zWUZFibxSK6qsOj0H1
e9upLoYiQhoxdUNXdvl5zibjsiLXD+ay99XgeFMfI2WlFbPZIpWnRnY8Uc9NRBEFU4+RV0994W3a
zEfIv90J0QQByQ/XkfLL9QZJJqdEbJPygp134pyZ6XBa0KU4UGPandBvo2wKxmShaWOaGcumJ5BQ
iRDu4ikaPqWiHA4O8c4DutaPKNeuTtAE0tcTmjOhGQvYk3Cmxf3ENd0Qx2vd8NNrOorv3iRPtx/Q
ncqCg4z0iohed/62eWVrTtW2ThU/VHbtYNfjpOPjgmQGVnGaXXwRtEm8gHZBJgJPL+PB57KrjxBl
62faPp+rUhp1PhpptL2vZ21aQrRi8pTQ9ZYknIbJfleN8RQMydxiONhMPklMxy6qnYOXe2e9EUVe
L0xwowALNp/WEaDLaAUoYa+pC6IgqlLMgZsp87/ItHAyhC2qg5LYyzd8NdsVpIHsIvf0toes9gmV
D9VUQgvZacJ9B5cY26rvMw0zWDXrnpZZ7bG/jL8gbKadnH4wsL5MlSBqo/cA279HVmoebIOdLc4V
i6/yqqhO0XkT/84SwRlNSiU0quSr7BLR0rnO1TNE2+Qg1N4bij2OGDVoldV95vpjN7hZg23TOU1N
K99TslGenWGpwyT+U3Wz9UqnA4PLM80lBJW3LZBsovumu8INe9LdSyb7+RmGlhHcPkI7lxDw5pei
9qrttS1oE5whYKItbjjM2hQqzjA85bCkD77Qzk6FjOyo4EIQAHglXGtXsDuq0cGocdCUb3VhqE90
WvLa15D0F6epclFWuz2xvS/F2QC6TVeOB3/zpVwxak0CzzwcO205ZUMxnUw5/jKgdhxce/sj0VNZ
Ga7rl7reEyjAD7i+IfpDSgpLx2vye/LxJAAddqQBv/u1UP/8f0NtdrppK7ltC76Wk2rpxVCS/GTX
0Z83sXlgOcS8S+BGAdpcT0iWjZsNwvNIAKR17igi/90pTvrzjz8QxErOyoq2oMWxef70aMjqtudh
QpUiOqVWr4CzGyY/MrUjH8SdKxq0EEROEkmcZszNFR3bJfezPlNip3SrBB36oTQpkAcyfIJScAgl
r5rwoZ4ZzxptjPe3Z7qz+4mLAByj3g1Yc3tpCMOJKNzSqZrHqfAV8FF1MIraDKmYzJ8604gvtwfc
SdX5cDRp0aohkd1W3BewfFpKSTgURYVbhrTsFqEiVHPfKvkw4Zfrqs/d0Eb/IXhaCd6rrQWtP7DH
1xtnsZUykWshwk3H5WGdtHs3R7r+loKzeUQX2jkLVCMwJwCgC9xiK6Lccc6iBWtlwEGxfW4Nr3h2
C/0IxP36cNMFZwXXaj5fbhvTDIZcENrpotCj2Arl0u582Ynq7eSgR3T7q+28rdQ3IJWgZQmf4JX2
OlGORo1MRGHZ0DM7ka7PmPvRgUuIHgz3MyFMC941duzx1CGBMAVVEXVYgtdmGev+mMsm8Zsa0PxJ
ETjSq9ZSHUHVXm+t9Tfy/KngobgltjEHog6Z3SRKiLbeDI4mRW6KMUFOIVvb9XiuzXGLQrfSGsn5
9vq8PsUMjVWshrwfYZ+9/v23hGpyq0pLVA0vRXTNikDQJB/8NlmF95W4qx6HUTW+VrqRRyeKU4cv
5d7MVzzM+oSRf2w7SHpciXlIKdYIRaUc07vDKekhUA+pqZwWJYk/mfVUHkkFr0fmOt4iDqBvBhEJ
CsGr9W7bpgGUUEWhatRJMJh9ofo2G/5+lkYZSCDIZ0uDg6jX7vguFfiaS3OsP9xe+b1DgMwAbqYc
79fy9nyVAcJdq4RiGpHx86bsLsr78qyXjnXwbL8+1Ws8S44HdAAcxhZP46DGFMPYUehM5ir9BWJ5
Ry+M/7CVeAnYx3ReOUebJ9tZeolynbuuajrfqdCp72lBpecpw8ZZRkN+QszfOCXOdMT/29tFlDHJ
keBl0CbcXJFCAmiIFjMK68SyyU1sWPFtPd7H+bTAO1W4oktlOqpF7K0q8qbsWmrS7OHNA5jOFKyi
LPZAsCaudq4QjIUApjbyyJhxq2FL1AotDoc37iqUbAFGXR/SzOxQBYY2Hi4uFVbqZUWmf1/qPG4+
WAPg07uykOVXp++Nz0tbt3HAQa2S86KiLXhekiIOh7qw3iNKUB5hN7aEmP/9NgDDkGj5da+4lxh8
LTmeSYCK8GAp7oYxyz6qdqq7vi2N5gvadtV4V3dW+V1VvNj0jT4u3xuJg/zrKJ10CRql1o4Q/+uC
bA44eBI+DoE+Gey2WdBlDq5EreOEaaJ+mGXxpgLEc594nfUwx1p+LkX9t3T15RTnTf7t9rne2Ywk
TatOAjArdMg228IudQhCWHmFsWY/yTI7ZaINaMDkz3klaPcNiL7fHnHnJkFyAoA4SSJz3nLzKpl2
Spw1HuV8CwlYTx2o+Hrxz3QezYOwfGfPMxRAU/jdK3hwEyvLeta7WmOoxMEAylBaeWp0xGD+w4TQ
zPu/D4O5Tvi3RymDud5LSt8h7cmYTq+T9YGqV+M7CF5kA38+GDwuMlyKbDYktuvB4hX0GE1kn7FN
bk3PvTw5ZWT5th4dZWw7vQkOKpsCaSjotlQVr8cy4yRxO4WD3BRID973A7/KjyYjpYYt0qkKVDvR
8CAY3PhjP0v7n7xN46+zJ9PPtyf9OnpefwhZ9Vq0BSWw/v23FaaK6xLm8UNUV1lOboIABbpZzaly
hhyR2HH2b4+3t2/QbwQes54MjKOuxxPJpGvzmqvKzhqf6LiZ2KYlR0iRvVmhEgfPBEA0VYvNCzQP
Cm07MqMwnj0IRVasVR+LxODmV2snkmcKg38OvYb1thp0mmhNkURuhhyz3u30mEfAGY1/dLVr39TF
Ej3RC8n7gzXcO+YOZw7oJg1wuu7Xazgr+LuN7NZwqtXxPOhddtfSFQpU0cb3tz/XzlCAvUBDw5+A
OLxNA3B4E44x20YoHEDd52WkUUnTwlL+rUWXFefbo73oXmyua9S6aSJQ/4JfuY1PhsR1Aa7pQN94
5M0gKuL8L2UQufXg2GlbvTfacZnDDKM9IkNvVIdTlultGtTdUnZnyhzFkQHuzn5FLZ7KDdnQipPe
3HNp1DdZES9WmJtK+3VR46+TVSofbs97ZxCKDrybxKI8oK8oNwJtJ9Q67VCr9TjQeLJDZV6yA6TY
60OxwqjxY1g5RKvU6vW26aJGk4gtkdIhdfJesaWHpFySIHfRLOmPZI7Ngwv1dUrBgDBRqVbTKkDg
/3rALKVu1GmpE3ZAP973tlnAeUi7r+AxKGSK4dvSFWXgpVZ30EzfnakDTYCi29oBWF/m3y61Tot6
I1URU3HAN9wD8Kxp+hp2oBuZBDFgpHd/+v1eyuREPYQayLCtp+i38ebMs0Fq4tQZRcN0X02RdmkH
lBRuj/L6LFKEpZIDf4VZsVOuR5H6QiuWtlPYxpTZZ9WI35Tt8tPThyNXqJ31Yy4EEOumhz++ftjf
5mM6coAKCno6Lhb9WZceiJC+G/22VTQcPAEb3p7Z60hpLZJqzuqBBa5jK/PeOkMq7NSgsiErGaR2
0p6n2hqCQYmmB60ZvTO95fQ/LCfqS2TZ+NJQnN28RABsPX3parAPrWefkipuTuAW6jN0yerz7fm9
Pt8EgaB/6WCAH8HR7no9wUZKemET+jt2It4P3diGbq2Nfyjzw8Ktw/C2vsh7EodfDzMbvV3bsYGi
kWsqdaBoWnXSAZLJk6pnR/YgO7uRWh9VdGNtR1F+ux5M1yqTm7GILrNq5/edRFpdtZvoIiCWH9wj
LwDpq2fBQCAeADVSfAgPEg1ej6WVVucWdiseFIiekS/mDsF6VWZ65rez2f+ai3qcTpXVNbavtnkF
xtnqyx/l4qXlOXas0vQXzN2+llZV/DOWJHF3csF1jfpGXv0UBEHUWsDRRoFpSbj76dLATZgMV3He
GjHfTPfj2AQDli8p+viVksg8qJD4wCtAt4b6tMgsjk40ceevWEc1/4xzltZ+Aw5WBkZBK5CLfcZZ
enBFFxilovDHpRwpjUp6OEE9Rs1bS1morxVLLEAlL0bxlX/BzfylLYd/lzRuL+DDLe0kSk+TYHtl
DtYNxeoP0+KCAPzDDbsuOJaPHAsgxSRz1wveUGgtAZHFD4AtnaBPFu8yNOKoRftqCwH85gRShyDp
Wntt16PAeOqsNp+UsBSm8oFXDywIOcWXjLbFwRZ6dQJfhsKrcN2qVAg2E3JFLRbLGgEJtl1yNoZW
f8SXbfrTd2AdhexrlU+FbLqNAZdcSju2FlplY+7dazOWeiXQ3YO5vLotcY/6X+yMBSkqasb1stWL
16YDhgohrTn9HDk9zhGTogSeLCmzp66enprJW77c3hI7H4udsIrDUtV5bWZCAwsl7zqJH4asUoK2
U537iPjbF2I4zI5evT/MkPIG3QtaGMRem69VabOOQR5N30ifhWCIdoyCvont91PNLYFXhcxHkN1o
0/udsPuH0mriD6meTh/0clI/TpbRCx+2tyL9qtJT98zBLX+C+mmPujm7y8IhQcF55RptuR0SmwDc
uQ0lHG1FvleADX0Taqud2ilpzre/wEtOfX0NkqtBnoKaTS8MvejrD4/CiIItowew1FUSQFAC2Vce
ZoMEY27BCl+yYXIXHzcjJQ7mOEIRNgY01V90rXd/FIlniPcGpoTDqVAG65slahCjAj0A44J9TDv7
tPB654ywdhU/DhkeFoElrFa813AttQIOjJ36PY4g1j1xVVdyWaWj8LV4cT965tyl5zKDq3i2HInV
tUBwrqLMjpC3r+oLYCc9ztrh1+1F2RyGVYZlTU8sKvqotqHyeb0m0bCGEwLnXS/VZQDcOMeb/ayW
Qj1PJL7+7dG2efur4dbt8FtkhAtukahxbF/qYdB+RJAE/qaWmeJKOjmNCjRIx+TDsZZvjtHk1uMI
/c5cG7Bgl2//ks2+e/khpNBkmqsWNRCF6x9SmfrMYz/YF2VM+2+e0JLA0pv4bWaV4mDfbe7Ol6EQ
k3GJcWnRIVp3PRRsdmGX7uxgWqsYAIRVqmWg6g5utc2ZfxmFJIjKNJ+SkH1zq+EKNSYuOg0XIUhR
ROfqJwMDDKTbqvJdYw7iYAF3Ng6nFpIOlnAWOfRm45BX133tRTZSRYt8jOjIntulUJ5BAAN+t6wS
J4zuSKxi56thRcVagklac6NN2UfPPPjnCoMafR75WVnrp3FUrIsureQA/ro7FFco8B2UYQGuXX+1
XJVLOqSpcyF+QZ0/0fVnp6Kp5U3NUSS98+lI7v7/UJu9KMQy9BmFgssIRj4AuZScBrj098LtsgAj
1D+sCq5bBUSXzWlfBTR5bK+nVkNNkNgmEXzVaeHHOBe9HRtl/FzZ0en2KdubGbsEsRpKAHRM1kX+
7bhDD+8ajCricKySwY+SsTm3nds/LqObBimy/ve3x1t/+W83/MvMaFHAcKdnz8HeHIIBGzqD8lsc
GtSs87CPhvJzWhLHB1lljN9de/Ly89qEiH3UxPXHPhvS8PZP2Dntq1QeMS9XM5nR5rT3YlLRFHHj
UNaddrZqBK0IdZqD075uie1EqXbwjhFcorK9qUVY0JPypjFiVFr6+o1Ri+HJphD55LS2/SaO+gr6
jOX0se/0Xvzh9gz3xqY3hJoTAidwTTeLLLPWMGrL43Ek5RC+oyvOXSSFeJcnS//gqZgYuFmnnp25
OALB7x1KmverDbKHR+UWDB45VZS7/aRc1EIdTx4qFPdRQak+q6ZDXv/eNFcZA8qf9MLQobjeuz1K
bIUylYLSXeXB7ZkxCUPRtnDNN7Ib8cPSGlq+AYl2i4HV0InowcoHZKMpntYkjpE079vJNpc7e8jb
xW/c1JH3o+K62cly1+bSoq22Ws5oNke+b3vngIyPpBwqMQWczSdyOHRqUQL4K6XIvPsGYfklyNo6
77/bkaF/dwdD+2tSTITuE2GCq9ZQdTrgmex9K65Oa9WoUtcGxPX6GbnXt2YiRehqU3L23DY6z078
q5vFEXn8RZZ0cxrI3SGKroLTFnXA66HonCXECBafqu1F8XcTZ1ryCBmpl76ZGYniJ4Yeew9z75XT
vVQdMoxKjhaGUEiAp2FMVz79Cg5VwCtuqZE+RuUgn8WY2H3QG0NtBfOSAjyH2C/nB1AFdfshQWDG
/kfhkPX+WNQTn7Oe46NK0s4rSyhPiWXVO1ivlOuZpVkag7NIsCYAFG77IoELESRSaZdAFBBu/MH2
+vGcNJD4Dq6YnbsbYSGUrxCgWq2ON6+SPq43wNApFwO5UflUDO7KiR0qJNoq/vahM4Vs/vzRXTm4
YOKI0VdRquvpTiLRYYllygUnq89505ef1bz4XIBmONice+sKa5rKKseEFtxmc+aOhXyPXkWQxtoJ
aCh0L7FguvvQjM7Q+gPi7OV5ciDTHbyIO6cCkAjJOpvVBPC12aozVDXZQze8VHkv3FNWKyV8cVsD
7OVM7Z9rdK+mxURnq46YgSnB9Xpm1P65CtwIjXldWdcRyUJtrCGD0uispjeS/7y6mG5atWGzjIPy
5fZTsXMPcX/Cy0IHZiU2bPYQ+orkom0qQmg5zvA3lnu9eKjYcIDJdaBYQe06aYlDHnQWX+LUtmIu
u/pICPUFJ7q9IJDHQneVuBQI+GZfVaWbZ4viKJe2sZX4yauNWL2j/0upaJgNM6ycqsZAVSodLu/C
Vovuq1fE6USzNEZpqBmKNr138Ht9sKgUyMdRUebnCdSo/X84O7Mdu22mXV+RAM3DqbQmte22HU9x
ToTkS6J5oGbp6v+HvYENL7WwhE5OEsCIuUiRxWLVOxxU3ve2B5VO0k3K/jwYNpcOriNiyRu8I5S5
i98V7gBHohjwvXTi8j+cNZcmESoVdLxBe9zvDaucGtVrY+XmptNg+UOTx38o49jSNsrb2vQf74S9
aPKiO0R/GMDadmJlHul5lPOiTiqqfoolass33WQ1oJM38Z8pVMXl8njInUxMyq+RghHFiCWbCdIm
6mc9VtPQXCDsd2DwL+tk6+e3j8JNS/UNwSOS6s2BtjWlgz5ppyGMMZDWwm6CpMAj4/Eo286ezGwp
WNAXlT4NKOxsAtZkanNOtE7DBjWEKDQw8pzBkVMF8sUCw+rDkKlNG+iRF/OMXjsmW1rw9S9mK4o/
dJGZR6Sena3KmsqOCpgzoCGbiYP8csfWdtOwdKzsSSUf/ZRDI7g6aaX9fDz7vS9J2ie7UVzv7Nn7
rbqWlDrblcnTIJ6vMyLrgQaq/mCL7twJ7BLqIKS0QHC2X7JQRY5MlZWG/YB/k+KwcD6kfsxzG3w3
G1PvP8Ra0hw8WXbnxkIiwgg4m9fY/dyKdTQq0bNLdbh3pe8tppKdauEWB2u4cwBp1KgsH2FY6kHf
jxOLtZnNPJanoeVd4ulmIErRPFetGt2qvk9uj7/Z7ni088FEYL9D+/d+PDzc44ZefxJS0ssuK/Y7
N3NtQK0tyfJDnbMjmtfOVSN7GyrHkKydTPB+vGhyu9qOiywk1LT6JYlzA855tmZ9AEbKaPwyr6L5
6kVu2jwjmDp+M0uRvd3eCftoRPIAmVEWAf17/yt6iiVYjomYX9FJ/nxm+VOWVteoSeebKqqj+2Jn
lRmPwEMhhs70FvaZoVNjksbEoWOu7XAeu8hA6MGDMnkhFZ6dP+mVmNytj7/tztGnqwk2CwcbDApd
eZJ+edY7xhQXaLFCdh5bBO77orksxNoLFsBHdnv7Q9HUJCmEFbnNQknsKZGKnAlWiD2v7Vx/FGqj
hc2UHunW7Q5F44HBqIWCLbqf1TpnGooXvGuB6lbognTFu0jE7hNwkelttDcZzdHvhQDCFyOcbUNN
jn8gwvPIaEzCAmSIr+YNWjtyD0WpHN0ccsttch/qPZTLpJIOPnibg6GYKJaju+xJ8x/9OW2FSe5V
S9xLXAelAJUyAdY+iyhNT6JN1EDAwTw93jA7b2mwPVJyS+eMAtm6X9quc6c2U1spjdyM/9b1PD7h
YG+eInc1g8VMp99cq/wnysT44/HAO9GVi1PisXFSgbG0/aaJVafpjCZzPkb9LVoM+5MzT95/WmO+
KKUj7g96LvfzW9ykrjtymFuW00nB+lsxo9MC9i65AA9uf3r6kv0oZ0Ob/TLGSiFU1iS3r2ZuIur7
eMa7S025GZwD/Say7vuf4gyQcBwba5x2Bgxz9XqHDpC7oNtxqzOrra+Qme1/EqeIv1QA05eDpdgL
SNK9C4khMMSeatwPX2iwRRH0xpiphWWZOvH6r+3F67WeYOA1S9T8/ubpSngMNGZq6wD/NyufTGjE
2DYSuFNL68Kz/3W09GPS2h/odv1oNePPuqJJ83hM+XduTpR8UXF2AT5QIZKb7pfw103Yd7X5jNlN
bNQ/uwheo+r2OhwWh0rn2vyt5rb59ogBYwUYLlRq+BfbJoJtIK5CeQFbNC/7SbGmD8D+IEHdru3B
Wd25SKmvkWrKFAhSyWZ2dmvZtcXGvA2pOaaB0uuUUTq0zGZfCLATfm331ngCgiv+itu1iwKvbJVP
j5d4JxYD+JU0HSTOOFSbXVy3hTKmgl2sNYqOTkOu2s+dg/xSMKIuUB9s2t3RaJVSZiHuI6l+/0HH
VBnjuRyjW9pl1VUMyk+jyabLouXTwek8GmkTj6xuXkfT5Pk/SQiEZtXxd2RAsyA1RnGwhDsnEUAQ
7EywQVTEtzGpnIDTZNGAu10JRKDRE/U9KUJycRGcCdy5M6//4ZPBryL+4RkKCeV+ERvDoGhTgGAx
INqmfl0u6nDWYQL9Y2jIYv2HM0ghhaNAb4FjsUlnEV0SatfbRFzbgmTUz2mZPSNWaOUnfVka6giZ
rqHPgynPkVL13jeE/IEgPVkyhZxNiPOM2Z4Qo+P4u9l4xgfAfa7qUg0MED3nt68pQGpJu1KJqFsg
HrJbKIskOBSKOl4vA63KoDNj9aYN7lERdW9WFNYlBpdKCVn0/efrk1FtZvAst7yeik+lqsWcvcUJ
4A8fik/s3FGEMAmxlyhmqJz3Y8VmrqxTafGySqIINWIRVcNl5XH+j4p+078iaUaUGqbC+EGCUBy5
bOzNlM4XSRGlaYmivh/dowuFyLbn3JxyKT/2pT1fGrezfRCm1o+3fz8uQ56V1Jx4dW1iqVOLJLVo
Wd5qvNsvLRIyJzGm+ZPa6f/BOQnEJlmiHEiWdO5nZegLLT+FoTrPXd83tjEGPdYTQSKy2R/z9mi/
7FwTtEUR5KG8iLfyFiyHHbwVYSKCc1KqWx2ODNb6TcD+aym21/FP2BtdEkCOyv6leFA/edGw/P14
ceXiba5hwgwC0JKuhNHrJpYucd+uRo2cv95YDoiavjiNpXPUvd/ZLZRc6LQxSe6jLTnJcOe+gIji
3obZdS6TMBN0b/T5mrW5fRDTdiI2xCQeIKRtNDK26slLO67ZID8hVQYlmKasCRUj0/wSiZYQmb8j
bPbe1Ph6RGyprQ648n7LpCQUkTVhC2pNqvO59pBq6xvU9UfV++fxp9obidzM8ABcwFbdwsf6UUmF
WJM4TCwzry/OUMXgtPPY7S56mlVHRg/yBG93hszGdfqT8nm6mdgi6P4S65TbAFLiwks2/mots5Qn
SuxTZprmCcXT6eDr7c5REtIpdNP12t5Iwm5FB+6M3sU4dSEfL3rWvdr+iMFsf368nLvz4zFMY0bC
i7fiPZ0zm8vUtRgsr9iUnfKsywr6vS1Y9KwfVvWj6NDYOGVwD8Tt8dAv4IDt2pIiUUviRc4P2IS0
Mm0do896SulcsMuXwavqP+hnOI1vtrkHilRbPA4LnJ/i3Zoq2fu4p6rtZ0Nu/16DRB0DaxVgySPX
SaaTs85g7lQLCASWb4qZfU5j26uCdLac1FeSof0mCqQjg6nrVdW3+lwpgwpk4J90XLPv5ACVcpF4
7yeIYkXiT4h+vkN58630FPliJ7iSGmpgyJBD22wp/I/LxZ4plTXJFH/D/wWfhbV1v5eK3h1ko3vd
ClIonnD4sdDR3CrmaVYudAuRkrBes1xcYR/Fgz+7Xv13l/T6uxyl7BoAroiMEz5dSxH0uGDaFwcO
+LNrtGPzWQyD836wjcY821aWPsdQ4pPvj3fCzn6X7CCKXfDOyYI2G2EmrCiarSs3Ty2/5bnhXRuI
LmBqkT56PNJOoJe8fYlkpDlI/fs+TvVjpnu4eHOcpd5c1JTLqa3hGz8eZQ+bhivzywikXK9K7HXT
mF5bmuxsFNbei9rAK92q0XLzUIMMMlQY/kLQERqunf8+jUl6jgftn8e/YecG4CdI7hy9QSgmm9RS
G6g8VZ5CDMEi+qaYOTDNOm3WM7AO7YIsXHzQB939iLJD7yA6LBsY90uLAm0+FWg433IMlvwKbnFg
ekp6HZTIPT2e2+5XJI0lJkPGA7RyP5RYYedZg6HcrNipbqmdLLfJa60DWNreCsK9kNEJiBhYz/tR
KKVXo4RuhFMRV7+l5Tw9d9aMmq0Z5V9Ls0Ti4u3TYv9LvI8DknKrr5KC807Anyu3LjaXoGvxgtJ7
bGsej7IT8SV7DH4MVQ7UuOS0fyk5zN5U9gUs/nDJ5+S24GgajEObnUm4VkoC83A1DPoGbx9Utksp
IslbbQurEDQsSjOe6BAmaFjEqhI9GVpXfUB6T9zGuBK/6YPoL48H3ckrpQUe2ZZEgL8iYbSdSBHb
xtc+TtLmu5YkxjnuBeCx1UhPs9KW72Zk/oJk5gLXqv/i9iUZJg5AdAIOUMr7hVbTRW9iC0mjipbN
h6pvqpPmNf9ELuUrafB6sMSvDwWRHkAybhmA63kO3Q+XaT3MBr2D9rE6+leogkkwe9VycMrlj767
sykEoEzJCNCD6BLKX/HL7ll00Yt+Goeb13Tu53Zsm48gbbvTUAzOsygNJ1inBrAY4Is3p88MTWWO
EgRJgxRovR8apmWUIUI43OYxGVR/tRPxRxetCII5lRUduSTvTFQ+tCBAyixM3cI6sqy31TirRkar
vNXPgTCX55jxf2RicH930RQwL3FnOJO/JJZ3dHPvDE9hUHpzAFDld2w2z7AmxjjR/b2RJRlB3VMf
QBsFUZYqT8f3XQXyqykK50kfyoOH5t7IuiGlYBxe1rxs75fZg5IoaVETwTVq8WJvindqZaLuZpbV
dNVW1MrbVgwnQK1R+PjAboVhTOr6nFdwHpJjxJNwE9gjt4tGZJqmW7Y641Pe9mZ+WqpIP+ljsl5n
rVPeN9lg/PQwEqDhgLozsqo4Ftjdij+4DRalsZL/DVHlHYSS1ze6/GUeVw2bnpR1KwocL665Yu87
3cA1EELEUCuFHy/ZGn8cnVnYJ61hMQHmN/niC60pUATUpwqpC8vKsgO8xasQzo+B68855xxwFjaf
qDYw4U0yfbwNk2J/dyvb86tmda5gw9evrZcY3wazmL49/jjyL92cfG4M2XdxKWlQOr7fF0KhOghK
erhN2eCMZyXysnBRl+zrbFaTcW71sqsOrqpXIQ2sGuZPvLr4h3eQXIdfgk025Sx53Iw3r2p6QPXp
clapeJ4fT2x/FICvFmENGvwmpHWIlae123HSvcL7y/BIfXt9jY92kCwjbtePvhElaK4/+imbyTQi
hbWOF/TNnBz3Ouh13J6qyNY+FYbDfyLp2Kv+1FXW85rW9SdRDrV7ImMzUN0tenM6vX3WVK4AvtJW
JyPeBBhhFm7VYvFyayfXuqJHVl/o7B2Vw/fWVqq1UlrR5P2/2akdMul2mS28yBqoSg0Cv8Hitkc0
rFdbk9IN9XbHxv+d3vVW3qN28It2oE5LI+xc942qx+WyL9QaxwWv1hVePPObS0ZyTBpjePfRKyJK
3+/NvqkTZPyj9aaQiH4azL57LptoOtibuzNj/1PnkF6GW9N0t04tC5XmlRQmXoPa9IZbNqTiN/qQ
+lVLE++NIp+UVBgLGQzosWiq0X+8nxbaaYCuNWu5oa2WnT1wqO+dqs2+zEbS+LMWO1fopuIWY1D2
1raUHFm+lrjwJAF5837AcAPrSWxob4oiGmzPjPSzuVCgxj4ABtnjzS9T97uzKMfidgVUTJ5NgLmf
JS9b1+kbZb2ByzTPbeQt73u8Yr5MrVkeOWu+vjoYTKKJiSz0MV/tlJm2k9Pb+nqbCkX8MCY9eUc+
6qaXcmpHzx/NLtX8Hjen/02xZz67ozd/zLLZ6w5ujVdnkdrcC3qaHwJ7d4sUUJQMHLM5GrdKyZOT
mdCfN4fuiKfxemkZBXfkFx4YuiqbcyGrSeCDhHHrs0QgklZMwWTMzZd0MKuDdOH14aCRAXWHBiow
K0gv91+Rm9GYcXg1aBAP+XVZO/fcl2V6Qk3OezJ6y3vzYaSy+VIjxruTh/VmPC6FscABwrzpdtFb
0Bmz9VTGTZyes8KLhQ/kSz14g+6tJkwsUgdSeo1G8f0U66FuUb9FgQ/AVXICVTIGhUZLqlYM9eBC
kL/+/kwA6qCmCiiOZzUOyfdDTY5X5SvOnLfGHJxPQonXcIhM9XPh1VXp186ifYAx1oUK2eHPCZ6I
cnAod3+AJ7H3XMR80s1cLa/U0iaBJjXpaftnkeaOeMJ5FWCt0ZS1zv3fKda1aEsnoL4DVRm40v8e
x4UXSs2rRWDjAA5EBg66xv0iJCWyBxYKAbdxULkbrSmV2K+edPUvkRST94PMjnIG7OKi/SdWeuv9
OpvpM5IhRvN9NRsA9ObYONPzZEzKfJl6sRTflWl02jDvF0cLlLGOyw+llpRf6oYKg5+17fpsj92g
BMvU5uv7sdGgzQLubs/K7KzDdV2i5W8va8YkSKNONy76tIjTgMF5FUwLV11YF1psSfixRjmL1DF5
WqbIb0lnftecaZlRGKFi4os+EaqfdOWonaq0K75oa4cpS6dhmHvSO6/+tzNxLfHzpiPdyspKx4HG
Tvs/lVro0amNB5r4ruiS32zE+We/sXPOdOxZafpOlkP+hyKhNPYbMjIZxBzFdNbKxiIHblzzOfOW
LP9Rw9NUD87lJh2m6UMPDtQodRNKT9xd9x9tAsgHarZvQrj/yqkbxiUs3GY4T7VZnoZS53xCzT04
mZtoKgeVUCgg6ZYkzW+bOVNWY6SUjXU4xapxMaKh9r15eiMy9mUUoASyqsbpp5BxPzWjGRXqX1EV
Jlph+nnaNNfGQFS/UZTxYBX3JkSdAhdSnvU67bj7oeYyiYdVWxhqnKv/CX3qYfTgehg8PmK7w5Bm
sGIwPRFHux9mmLtcLMi1hrno2s/xlDthNLrKQTDbiZu8H6UWxkvitO0SRfrUFXgQOLc10hR/8Jwm
MPNIO7tuNl/fNCGmgvCGSreN0TDq3hav8dDioMSYTa+1kVzhlNmnlXrCwdfZuetYMu5VUJK4LWxB
25AQrXKkzkteJhxihIVBfWMNJ+D/zXWCXn+UCO58J3achCVgR0MNdHOoHEI/imtTgR7s4r63opKM
2kyO3tU7oyAUTMCnYCzblJt4i+ON4S1dUcDqyCvcQNP2tNbuEc1wJ0AgrgKFkCYX53XbxHOQR8kb
uhuhqVWDXwy5dsaX/i9n1FZ6TQvGNH7M9fe2+0yeXQnEBhVAr5I0U879l9fr0PcaRLC2CCcrrb6i
1t89jZGRZf5UZdju1DkuQ340pACKNSs2PuUYF2T/5Teg/ylPAkyo7QtaMcxlNs25QPVcdX+jsDd/
nCPH8UUcZYGdru0HRfGEby9Z+Xthts23x2djb+HRYANpxuJjebLJKXA08oqxbuuQ+04L2mUyfkaO
Lfy+GftAV/TqQ+zA0TmY9M6o6LzLAE2THdTSJmiuUzt33iLqcIWS9DnuVf0q7Ln73qmz+yFr8n9S
MBS/P57pzkaGw0rK4OAaRdVM/qZfPrZWV0W/tmMVerUwPopaET7yucXt8SibFEluKcrYFJV1ylAA
JjYxeowl6ksoVQjIwP3DFVmWnycx5c0NUz8IWRgkV7U/ZjHihXntWe256aI2/fz4V2yC68uvoDJJ
4QlyA0u8Wd+pd71Bs4o6rDBr+z0yx/8t1WL5SPHoXx+PtLeqDMdkEXwDyrA5QonWrGuPvVIooqi/
eEVsXVZjzq+PR9mdD7APrgow9a8g1Ik0UjDbtQq7jEc2nebWr43I4U2mHOW48nb7Jb98WTrJ6OY4
wiwwttSJzrLqrEpEGTrOrH+fDLTLT5hq68YHW5mtLkz1erTDOEuy5kQBGKWOx1N9JQ0rdxBANykh
AW6cOu/9PoXPEHVWrFah1ae98Ds10a13qTDKT7gXm/alAeX8vhO9Rr4Xre74TocOq5wbU6CFPM3a
nAT4Sh7SAHY+NEUx+ZiTxKdXtBwPGe1Y6dY2pJRqfFWsenrSvEE/yD221Ce5/DwwgKTyplJBxuj3
s6eqPuGaVLZhrJjqN09po49Ni3yO0mpd0OQmJao+UYJxXPtL0WteoOez+GopZX7wFt/ZcihsgA3j
qQUEYAsmT+eh1fskbkO6/9XzaFvVD4oQwneNeDzY3XtLK7vAnCBYAmy6+zlnTbrOWmaLcKBjch4r
VARIut7Y4CMSwFPh0UZtkzVGse5+FDiPkcIzNg9Vp5pqvyAuM5vJGzs/JWSpFwqj3adYx0T1/HhL
v5ofIxN3yVRoswEX3SSURUWVLsNlN6QaFv9m9PAcYasNB2zKl27d3cllGK5zSmMEXzzkNplK1FSd
7iRdFlbNYsy8LVTurcWMcdZyZvB+Z7WMlrBp69XxEzfz/mdw7UbSIEbN3kVJKjsXfZ77KBKRq822
0f3UFogMF6y6kq9d2+QVAh15eoQw31seaD1Ir8rrib7g/YeJvLavXC3Pws52kD2DJOZXizjK6l+f
LLk84EvQcAFqQrHrfpiyiFPSmSgN41GQzS8lgG/fakuveUa+aIq+6Um/qk/TpHfGZVTHFOBwiXzn
mUL0miOf7WWZHj7eGa8OGb+JlEfmHlRO+M/732QO2NeNmZGHqCLM7zK7wrWoLqLPbVF6B6/B3aHI
/lGcpeQFkv9+KMWjBVlinRoaZp7f1g6ZurnOnVu6Ft/ePqmX8E2hG4CtuvmeWM022Rj3GQetRKHY
aPuwQK0YynOhHJysl0fFds9L8XbIfiToiHffz2psO6TU1SwPud/1v2uTLgwMH8P7pkB8WfyiL8o/
BAv/R5apefZkQ4Jz0aAa1J9wgdoiEO1gGvTKcmX4YDWj9bmnbqacnSJ16mDW3eovNcIFxR+72fhe
u2O0+npRUmSYYmM5ms3eJ5KdY2QsqHChA34/GV0APqaBl6EKXBcBuEsKImorgpGy/cEtu3fmuGEl
HUuaq21DUjxPSQXWMwvNVDNvyBum74EAHXWU9kaBMYsVFA1JwMebPUcdpvcKx8lCO/NcEHrIgNTp
Yp8e77e9UWRBECQiqREss/tl69BkQolkSEOrXKwT8APj4ppu9/YVo34Lq0rCUl5XU1Ig9km9sGJT
rsefZrfvTpY9lAdBfGcujCIFMKj58+/Nii2KPVXGEDOKurRnWBr5xYwweni8YjsbjVqUFCp6eXxs
R2kVr14yXpwhbNzFOTtx3tUIirtY3NuYqx4p3r5KKcmMKX3JbjB6owjM3H+gvEwQXuvXLKTdvNwG
vMpLXysgEnmjt/6YtaQ7p2pm/KkW2VE2K//qTXxA9RCMBPk5yulbPmAhjS4j0edhoo7l1Zg7QpDk
nf/Wa1n1BaPUVH8SZvfGSrXMNShRkcxQb5bYmk1ctyMrr6rWy8OxKvHPJNlzW3CJxYDDoJfn8YdM
F+3nDjDVcF6W1TAuCwWOI9T6zmd+keNGgxE7aXor9+uu1O5Ue9RhQnuyjAUQaiUsH58LB1QpNeS3
XzCQVoEtUr7lltl2x2rD6ZzEqqqwFpOq+9pqtr8JV8R/z2iCH6VUO9/1bjB5jn55zOIGLiyrjXil
DHn5TnGz+GT1nep32TclU3+vI6u+PD4z8uRtdhKvO5k6ksOZ9MjvRxzSfhJeY+ahVbT56OdFNn3t
qhJYTYkTuis1Rsr5yHJGZvvbQcnApSgbWFz0je4HrTtE9MYmycPSFetnT6wxqjjzckN7yTjFdjVd
xkLkpzmztRu+O2OQxaI9AxRs/+qW6giy/+ptz6626btQogKd90qCtUscW1aEsrD2WuPUGrFQYD5p
tLdmV60/aMk8fa+AA/7bK9gnC9X6+/En2Pvo3Fjk8MjloHOxeRuxe9O5010SCytjwdVxeJo9t3k/
xEl2ing3XQY9r5e3B37KU/JtwhsFwM/mVrZUNa9spc7DqC/Xz30N2EmoivvX47ntbS9U43hrAV6j
/ifP8i8butXXeep7Epk1cZVLpUTdBaCz+NLS2/4tT4cj4uNebKBgj3aiPK/Ir9yPZ/dkuZ2nsJYG
Nb5xneuzFQ/uFTBEeXo8td2hAO5LuXq2nr05q+psz0rjlnlot7rlW2L+qzG1Fe8iSzu41+TftD0u
3JnEO9k9hsVyP6msSxWlAA4fJkNWvVcdZXqKqGfcHs9n5zrDFZnzyK1GiH+l86O23eBMvFfMrFzH
jxW+X7M/e+kqzulQZW1op7Ghn7xoFs5TldTJv4/Hf3kQbaZpku7yZCD1pSS9eS+vJorW3Uoqn1cu
+nOjmixhXTuVcyqwuf/McVCWUPo+NO8MLXWKH5WoqzxwqWlOfqosZUyl3HPqb0uaoTiaNVnbBStm
oEhMr1VuX7zG0470xne+DT9aajDKz4Ns4f23AdBaGUnLMeo6HjhYMJfvqHMcnKK9Qfj0lK8ceRFt
aZlupTkKsJA4dMu+u0ZJPvh9ivT94w+wc1ZlM0Cyk0lm2NH3U3FAsilJOcahUtfihOC1fu3nePmA
KcpPgyb/+fFwW3iGzCao/QH0hrkE9lrdVMSobqWgg9DZUCNpmC3i+FbNhvlxtJGKsLx5/RfBJ9X2
UzUpnwsDya0Teon258c/Y+cY02WBRCh142Un6X7WtV6ZbmxlEDUWczmjNj5B6TWMU9R3y+nxUHsL
jCYU8E6kVF57lBaIgE9051A+nDXlOth99EV0Y/WHMyAFl+aKXhzE+P0B4fETeunub3EaEatllvGg
3CZtcE5xbTzHmsnry+zGp3VVmoP57W1T3nkQ6iVJjET/finXMleHUYUdEKlqd0oNKz419VodxKm9
UQBmgYbkyqZruslYYAchG+oi8dEh+hyYSl5enRp5lsffaudSlhpN/3+UzbluMqtYTZyPsUA1m6CJ
J/0vaxTau65su9+WpSPhF91RWr87Nep4FNX4Wrxk7hfQttc5GeWJiIu29XOO6JWOQnYwtZ1AT77H
qUOHiRRgK+NVpMlcaPg5hpFj9EGVa8oZaml6AWWgP0mLgWvsFipuYEt6gGHf248vDwdgUCTvrpz/
L9nAgHo/NAvO2oCzIzyLOL/WY6H5Xs50p7E8Mk14pRbOPqS5gILWS4MYyNn9gE3ktvpUj0nYlwLn
HHtNTF9HxcI6gR6qvmhTNNYf3Ei1QYnwc2/TsI70U8xpebKXVbcuxoCH66lCJNb6M8tKowRdlSXL
ye5LbKfVBcuDoM+q2QyGWdcAJmtGEp9tLzVy2giuQREW7pziV2WmKUHNjNHMlcI7l0It64vnZEr7
JCLX6P12LjLjVGZOm3+LJ692Lq021+npzfv6RVOUmjE+X6+gVB64Vp6sDpJO5qJ8NjtsIHKKpBec
4ESAQkQB9GY5slLYOUyw+/GYpBmLatVWxa2nF1ZklpuEk6ZH53xax2BoEytEcMM5jbXV3zyqmAfB
byewk01TcqIIC/xuK3HrdDhxKEoHi4j787nJ7Z5U3hm+K6NnXB4v6u5QFE/QeCQNIIW/32bocNij
K+/nCkuzy2BHhV8qZfzsivHv/zASRX4J7JWw282GziqvtMoG1SbXEmIItLQwGz8VdfmzHKLpCAS7
EylgtZATwEinx7CVLogb4Yi6QD431QRbM0/6G3mf8rGcxciwWu0GaP4QiaOhPT+e6F52AL6Ht6EE
x72WvljmOGn6PEnCrh+G96ar5BfHLErDd93Y/tJNSICdrXJdy8CMOvMPszbEe7GW5VHjbidmyaSI
VxKIY/wYNlkKLIJqsmZUmrt8gMGZOX+Xht6hUpNbvBVt5z/sWqQ+KJ5zAaAttfnART2ZelSjsYhR
+opCyzyksNL65K8edO6RWt7OfcMNQEP5Je3G1eJ+3871KpqobpRbWk5TAC+sfVpyVQ0ff8q900H/
D7goXSrslOQu+yXqL6WwB6uAZDo3aTee8IqxbksOqcgfyWJ/Ph5sL9RAkgBjDIGbvSP//JfBkkm1
cbuA7zbi/K34cV3F17bu56CLtCXUeGGf4gEmz8Fn2xsWiDHtHhjdFgTJ+2Eb05lBgcDm5mFjiCeA
VU5YjkPyp1NrAg2FRnhWYBWlo779bcghkbBx9AB59m7mKxqFq74YYsw9M45CaXqA1e2jUfam54Gu
IPLIb7gt/EVwXHiV8DRoK2WgTW4bqbi20Lgu7mj073r6FYW/Gol1ffw1d7YOapxw1IEZItWy/Zre
RBksqVQ2qJVpT0mCj2tuTI4f8Xg4+IIv9MvN81OyvujVUe6jrrhJTtDRWhcvG9NwTOJSveoltnen
ssICPBgmvVW+R5Ml7ItR6mV6q2xLEUFUdeAW9DUCuKBmqvtFdQF6XpAtrG/5UI7firLL7EtmRZZ6
kErtrcyvv1b++S/7vFWWrOi7EggqCEiA1yPKXFOv+8AsxoMttvPxCcA8CqXAxGt+QNFlbEC62VSK
1vGrOq81vk80mQ2lEx/rARvCru+Hgy8v49z2a6CI6ElVEoAhW2EQtLtbUbekDE7lZZ/7SVt8HEmx
Ts4NPXDtQjlRmjF/8nnU0zh45cGrcCfqc5oJv7IqavAb7pd3rBO7n7I4CW29MqpT3BZ0l12rL/Vr
PCPcj/WcMxy9D3euWymAxqNG5pPge+4HLVFbAiaH2rqn6Ok7bai7izVN2F8phcYmohis5c0IkCt5
IwVEPsXJJehS8zDgEGyhCnPcZLkOQi5Umsj+WDtqQ2swwfM7a52DD7u3shwuPBElVIrjdj9JZ7FB
UmGaEyJsJR85wtCupZ3rV7uhxhmrYj04KXurSnWVZ4BER/Dwvh8wG8rMAL+VhUk8xj+mLm9ADovs
3Fra4jyl3eDVPiHTu5DqK+XB4C/T2e5jT6pV/z9B020EswYtov8tWNkhyQbolIopTkVFcevJ6FAL
P8dZPdIZHePkZPR9X5/pYaq63xouRt1JN32LWwXQYh7rXfURImZr8RrVoieHgkj+OYrS/rNoiuqH
aLtV9ZvGbdZL61p1dXAidnIFqlzU5tgnUlxzmyu0iTDRdkxC0WTzR2tpNBzmsKi5PI74e8Mg4kZN
jVuU07BJFqDf5Ci5FUlYjcry3h3A3lemkxyMshM9efpACGQLvtj33e8Ju7PWwZ7sMmwsc1xPRtx4
yPYqDVBvkwLyH4/ntLMDQUFwdcKykmjQzdKJtNDb2RNAv0YvN/yK68c+GeWQaZc+xlEO2sys+Nmo
ZNdad0vt/Hj4lwb7Zg9KmA7TlaINr1zJRzxvkIunqxQZnRtfoq6ZR59x9C9paU5DYCdNFfuckp5T
qE2eeYohloZ5w5P8A+Z+2XphFdPitGTL8LeBntcamLPeFjendvj/51LBQGHw3Ki71ms8f57g40wf
TRVzri+9bcd5YFZI8geDiGLlCYFSwX05DsU7Mx6qz1biruLtHxjDClmURbwYjtLm0CP8UQ7OYJTh
qGVFS18wKm9RPBctgNjOPMwdZHq3XWGpAMA9CcSQrv39flqLqh/XFHRhlI6aG8DDKLRgwH+59Cur
iAeqe2pOL2/1Kt23YydVA4CGnesrY4uToUUQRPdmLRtxevztdzY6SRsxHV4BVNBtSa5StXKdRwDY
VebyzdVmuCjYlvlWUbxRO1DeIS8SJMiIg/cGJHO/Br1ZJwlODEWI8KR2gabT/y8qoyrAs7X69+2z
okgGvJkGODSMzZsslq33Bp2TUO1r97Lkhn3qKSYHdl59fTzS3tHlVsRQXrZ4vO17e4ryIV+7sggp
if1RlKl79lDz81Uq059NbxoD9Fjz06Q12c/HA+/EQak1x4iIlgEj36xm1IMVLXGGpAPSN2djWZwP
CwCvtze3SbBIOIDMAM9xN1lk0ZlF1bUd2wMHqduaK805mbEgUgbtSOV6J4tkKNIpyo5Sn3NzItNe
jUpNzZiQGydPSTlVQWvzHEyHRePOU5Lg/yg7k+W4kaVZPxHMMA9bAFXFmRRncQOTRBFTJmYgM/H0
/1d3dVun7cjOttXGmhKREe4e7mKw/xY6+y/HP6GXgtHiIyKj+mMsKxZ4m2Bjl6I204xSay6uG4cM
qT6q/6Jw+Te8gt8L3/lzXwOt8ccPttRuMoGBIT7Zq8a+9PfdJ5hije33hBzUnu0vbYZs9DTS/73p
tb7b0MSGT2UZu8VfOvZ/m2XOVjNQOdxvjAnnH+P/mw4WM0m77G22O2y//lVY4IsXmM40z04oBOLj
KJTPbE8Djo3N2kyPlhnYwphouMN0Dfz63l1E2J82tmKuEaPFEcMF6a+pKDb5PxqhnesG7xV1MAph
aMc/u9468re1aaH9SEUoTtLVYdrb7X7RB96eCcl4UdR6+8vO878817S7Z1daZhcGyz8Kdjz0yi6i
rb0k6tb7jm+m/2xKs+e4bCynQgTTtYSL436z/5bz/G+vjKMFk9T5UEZ/XhWVM5rO9t320o1M1aem
N/alQ1RAkguMtcccSkIIJqoVR72titfpL2fj3x6JM+oPKH7e0viTY+BEio1HVFzKMrKiNGQMeq9L
f3SPWzFZ7eF/LmPnPRCmR8Z4KtkfrQ9zvaz6gfsHWWKUz+uMEyK2cvl/f5V/+0yg2QihzutMVOp/
HveSHgW4cOVVhBN9Q3jipZVtiD3mWvzLBzq/4T9uetyiMeEA50X696cqj6SwdrSWkI2moGhPs5RR
nXm6it50qyoPzmbtXv7XD3deHodPQ3wEUvdnDhibwayrJ4287JA7d5muLJgEdjwhKib6yr+82r+U
DqBeF0kDIxr7bn+60HQ+EKRVUDriLcakee2bszVvp6r7EgW1PvlyjsdsYWFs+Jb0qirTokiQtpsp
sMwp5B42aR2te3FQQ9I3h3D0yXgeO3cpUhl4o/8//yBgEmcTWBhciOQ/n2R3xkGjw2fzMkCZdagT
HVwF7TBc8By190uy7H95veA/DgCid1A8rCdYJcHM4J9nDa3fANLTN5fF1HgZXceUNTHO/J23/S3s
/l8UEdQnxtazBpQO/j/O9TKSsuQs4pIvwMy5RXPtZnBL3WmYUKqRdmzLlozfeexPezTVtPLltKDa
6EWLI2M3Di27x7IKrys8hNpUjlDduVsqVebg/aHKt0ZxB//3A/svkvQzRsiyC86WXPV/Cjk0jpZq
GrgKpd2giVQF1ZBtP3cPs6kI/N9Mpwk7wzKh6LSR3zzJtpXmJuzE2eaWGfhvEMB/PrRsEPAAnRcJ
zutwf2AOfIUrkVS8IeX0w7NTW2HqqSQ5bCxkvwyrfvvvX8C/vByCAhCVc1cFTf1He1pbtlJiqwXL
U5s6Vfg+363Njr4qCUGO/L3524T3n3cKTyvzBxQlfATuiv88k42/dJ7VBkiR6qV+VBUScac1Rc5a
VXJoBtJw93CsX3CNbv7S9pz/8j/LITpryjpma+fq/me1YDmjZ+273S6H1h4PezyLbOrc6PK/f6GM
yOcL+c8Xgq5mlKMEIvf/4zsNZV3YWyuSy7mcvOoYsllT3nUmCg6JY6wqlcpSTqaIS/nuLKqfD1Wg
5yjHE2MzqYyt7ZP8DIYvNrnD90UH5f1QCHQlwTgT+zc5chtvYKGWOVOdNj26AqKl0Ra5JYIbU2A2
NpaL3h5m1QkkKfvaMfe2hSAHlYdwwjg8Sn5MtrDe/TGQD7JdwhLA0C3e47Ks9jQUdFA5Ukzra8dZ
zOTdvvV3jiyXH8ZoIW+SXetfgbNtDZsqwdZlXsvKRsZHqUSKxxwueYjY5tcp0XaVagDY4DguQWWy
PYlM+4BTmHi2O9m+R43bvzt6b6ZT5Yr5tYpB0A9Ove97KialFpmuRdv+xhSl6i9XUCgrjRNRqXQI
SJd8UkW3kMPAjlzrn5QKoWsSazXDj7L2QCONGYNHy+7jn7VKxuBQ4xCkTi6pWS0+Ge0y3bQWnOyN
ZIWrzNdAi/Z6lZaxrxGye97PTSSkObLxo/Zfmz20+EuNwkVC7+xdkdWJEWAOoQXRN1FEHkRXjE8y
sIpyY3lHJ/bnrseku7DcUXm3jdcD4xLXqW2XkhxZHSM+kbuIdT/duFrDDEFYp2ltveATDqMLrxnW
zak1+zhnK2rQ6ELrqdouRLyJz6pw13eYaToUidLjZbXxhLgANqi2FOWp6vJmMa5O8RSMyHxhD2Ag
rqtSY4Z0qvyKu8HzMywCmj1dOyk+elMqlnxlqaBHxjh+xFHYEUjTZPWG9/YwsvY2ie8LbqUic+OZ
9tt4zBfo7hATHshwkGOKyMDZU7kL7n0xdUmbBmxOfxYlhmOZ4yC5YUWgNGWOdi4ROY2Sfi1M5dxB
IS/f0TYs3aEa5nY6bKJUE11DvK1piG27yOIEZ99sCvb5CxImyDf0NN/MnHR1WpslvLG6NUb+F0F2
yt5pnQyips2aYgjXbEuq+ps1T5j8BhgZrynr3ut128SiJ/Cun17LsRXXTcB1ZXVy+Gm8UCYntzXO
kM/sk4kswXP4W730RKpbnbvpjOPfNiR6glCn0x5Ev53NK953IsOu+kbX+sCmD0FFnS08kS/2Xng3
1Ti6LLy0g39VgYz3qT2o+Xqt8b5K26gsvjm7Xb8nK1MgPh91+dS3RfNsB+P+UVnNvGdBXTkmIzq+
/EWITUXQqLuJOmuxSihTi0wkkxdt1MUXg7PoV88dvYdkQI6W1n3Zvup2D16S0l9Vto8mvFslate8
qmP1q/ct46br1oOUTnHcVyxnrR4r4PPQ4JwdkaKeV/1m1jTp983iv69Uazr+AsP+vrlH/FY6fLI6
Gpt8nftgzD0z1+YXq4Q8ynNSB1Xe77EvLqxl9G8k5Nz9XlRJLtlUxqqGfFSTon/09wz/3a3Pe7AU
mUrc6jIpZvVoeeFEKtoa+/e2bpvv+NIXTZ6ITozkOS6FlW7EpL5HY9R+4fJMr1ee1+qIoimjhVPY
kUpuCL3OAlOvb1Up5jIbdSn3lBgJHpBt0gs+0EE3/mwD8orSgmIm83kEKjwuVRi+hnajvuYwFq9e
t7b6sITbEmTJHFYPAQ5m5QmNPctJphvXMq/EFJyhNPrznEY/cWhuymJOVWm5J39uZXn0euiqdCvn
6Va3rt1S6aR6KVwXzKvze762Pmq8X7Vdl9XBTKOZj21rYhAdeJ7v3t41VR6DkJEjyVb0y2xVxZrJ
OgzewPKm5dBY5dSn7IruX1a39OetQh3v6e5Y5o384m7KktKSF5PP/JypsXUwHcCJtM1DzkySOtbQ
PbBy2Lyj5ECJt83LptMksZePsixGMmi63v4RgsS+CUQdrLLPbvshAhOOhxLjuDBN1ILvYlTzWllT
12epOhtwQdoU9fClauRb+RSEjTxsm46ibIxtce+yIvHNYV9EZ4uuqiULm8p7xZIP6NGu13h4KRY7
XNAFbt2P/axk4XF0rOmwlx3pam5E5JvvyMXOMbVepgzXb/06sDk059yyVkBoTkeibEt7ji8GtjpO
uk8uxpVsHOFqG3b7Hh1iS0WIfSILyQSCWWxDfX9A4GsXQXGa++G8gBn5NV+Kq+EWsqBtXSvD99CR
h0ZZ7itIQD+mCMiQSa59733OMklu2Yhi+zMy7N2ko+zXjpA/Yb55ehtugraao9QvJ4RlXJHtvXEn
8+L37f7Si5GzWpLN8RUXNHOHfqeLpna07pVuWlxOxVTG49HXOHSnybAuBrUXdpyp1Uhf3Hjj5l/W
JQR/2VMWCIirqjYzzTa+zL5XtcdmY1dgg1Dor/BW2keIJn++1OSJ/yAJDav3beAvrDiP15T51S4P
3RSpr2HbPeyiHZ8F9E7OlEF77pNbFj+KMjeriU6O281j5hVB2GV4bi6/gw68It0Hu6qOjVkiyVNW
Jl+wDhNpx1QTK917bsuMROu9Im+yJhMRtlt+rXW47fQWVQ8E3QufrhEVw5I55VSK1FFdcl+VFeYZ
tgl0ZgQZQanvjc37Jtbqdz+4asuLSMYGMNsKv5We3fP8B5bfwW2JgAYDV1GUUFys7cjvnPprN9/v
sbvOmYGreyR8YjXHmdp/uYa6SHItCzrkgZvIBSI0a4yuu8bdk/VBbt0wLKY31+/dneWUsn2ezE4U
fNejy0vJ/4nvByx6tjzSBWeydxc9X7Rs0P32Oqt7aK3Ok2mAfbTKyjge2kw1yaZz056rFoyF+abL
vg4vGrepb/Ehw0ppJmktyLpg2h5aohvMyfQ49RypEvZDTICzpilwzKFf5ZDc4a7XfMNqqakOkz9G
Mu8Cg6bOWGdhBveNoSLvpRgOdo2tZDqUNtcOwVdVhDGKsOsbyyrBCZepF0OmWADhftz0wCNKtf/d
7UvzsM8G+zPHrwjPxCZrdy/2pdOfibOWpznsgoTnZdHPfWj668p4y7NtS65BDPYblXbjPBZp71Jh
M4IcpEqlb3P5W22LXUYcoXAIJxV+F3HDE2bvk3dVNDJe+AQAnmkxUZQzR6ihS32r2vq0dPvwloGu
1mmEgeyQ+4232oe97V0XmGKkLk6eDoIcYRDSJYHXgcsjksT3CI+IxIiKqmhTS5mi4/hV1s2Mj5NM
BzTR/GO9Jfe9AMHjnomklRYqUeq0LbCTMHWCxqshI+D34AZrjVsATSxSVklWo5hdzkph1vaTIFBd
YAdbOU9SDuWLFazJe4T1AsIgQU1fGx3YJ1VVxXSc9kViUYM0awKYHqw+m2YdWhz4zoI5Cbv+fUvs
bcgEnMAFAZxVdyF07T3LaRUe84dTe+kwuYgnk3VyuqM9Wj460wA1SI79/8Jdobri3o/3SKeVDyfN
rBtg7siEJaZ0MG6ljhUMzYLJnDWeu93IXlPcX9ufq9vt00XnV9ajlDZmNTMS/RfnLEXJggl3vLQJ
UbWm6DDci47Ie7g6PEZJcNJqfUrqYbSzlgTuj9l2ypsq4rEjSt4T4wUW9k6TsebBTWIx7LS0h9K/
m/yia9I2rpwrZSxHnSQiuzkVsVqfscsIeNd2IMhLMqH90Q5Nc6XCQrVZF2HPmS3joN9GJHpLWjlz
qEhE9bTOqnXalhTnqGIgn1i11cFZacSzpGOyyTmqTpfBIE2/qtbfcK1J6qhJuWUs+9axkJxcMxxE
InUbl2bX21z5ONZ1P6dYwLi/cAEIaEGSDrPoaBzkQTUdh8wnIUWldtKNDyXayT7FDaH46a3O8roP
ctK5pvno+J7Ok8CEl9qUb6Y9G3TEup3SAoISnc841k9zsyf3yBq4//fQTOo477H002ZMyl/L6BU/
oDgdmQXxaG9ZWPgDL4tx7l0PffQ5+QEddmWHjxI3yCntrKm9Kwd7IK2+C/QPHO7wQk8c7caZ3w+z
yk2ydj/ZDZ/ezk5T1lHRj7xbu7N+MSOfUR8NkkuRlmZJW7qXH1JsfDx3NluTCeTJdwVr7OroWqL+
xYimv8QgqhnsX3BEfTlMLdPENqq0qXyKcKED3rBSDj5nghlDzu73ovCWW7QTgZ+13SB+EQI0/fLL
hFtD+Bh9pWM173W+NJb/7q/MZhmSefXOQEsho2AhEo0pzzdtKf06M069VTlt3nD+fiQc+LIL8xHo
cBxScnOYLQN39z7Yt6Pzsept0XkbJNC3Jtn697qo1WewSkQjjWR0SpHBWPd07AHj6zqK4rSN0lHp
ui6an1kEY30glnpGuIq2c+FW1Oa7rDEjS5dosq2MC765Ksg+odpMrflpqbK+7l09N986B9FRb8nw
tWJ5vT0OyiSshPRD4l1jQF4PeTzL8hQXiAxz+s4BqYxjtuEkN5wXUj0Zr6TPLvoOgYu7MjlL3+Wx
llpkdhGegWJZco0TxDL9Jh8kblNl9poZsFxGcThf2h+75eslDREhtTk1urjTo1d/heHiN3kwW+Jx
c+26y8+H+ronOWWi7Q/tMWO7w73x0JGDts0LOj1F9/gUmxAqYVZK2xniE4vrz2rXz7bY0UIm1k6U
N0OuvuiaZHRSWqvppYxNrLOowVwitabJ+iG4NH4WOuw/Wq/ck1SJZKX2B33ARBzSdTm+dmLK32Al
WSOG+c2IKKjTydJTdOTeN0+N3dc/EOSM3/DhkR9TuDvRSW/OuGSwawxKc2gGbgzZrX1W7TKi/EvE
v6lkwmE4biv/x7pOy51X87ppTdrFpx5aKZi6d1XgbdB4XDXc1UFmj1o9CP7tUdRWYp1C6ZjvhZTJ
Y7EtTZIXFhIvnoRx4mb2Ae5TRFl0XBUShsutKfYqs8TqITyL98DNlerql5be95TIOPlQe+hTx5Ou
Cah32MSjvSmS3xj3jW1KMzhNh2QqfHHEqyFuMi+uKKimUPKNrtG5UTiGr6k/BA4DWOTM87G3x/iH
Lhrz4St3uQqcs1cZCZjmk3LNWYmXgBdM5NpRJdEmlqkDBPC5mCC+X6N93DMvbOqf9EeJn5rY6q7Y
V1kiUIoVoQF4wFhcVsMOjjSP9q5OTaIaoHq74fYI9ylKGGg9eWqYzPXFhOmlxaJ+YDmHahbzLQoZ
Y7J6ieuei2kEgiJ5lF8fT/5JpLPbCa4zz6j42hqU/bJW03rP5izN0O7L6oammXHNVAR6oIiYN5ma
zQWwq3fLoy9EUyjSasD//iADt/xmk5Rx0blu/6j2ebaIbyBSJS2cWPe5KqpoSHFIUh2mFXFcZ1Vl
eDpW1lmAyzbXHGK/Ej/3zUk+bGuZGvLTEgfuddyTNd1i45LuGoONZ+s6eM+evfUfzZJoEhynWKm0
0vNgXzI3roqOVU11RkqZ7WQV6HKZBrEenkp/YN4It7G6s62EaZmOrrKOLEvCcrCbGTw2Veh0uXCJ
+OFYjZh7+k6I/0wT6f4zFNsyp+UW7dz1STy/to0uHpX2CgKfIC5+z3yauzZxWWyMHBF/0/WieY+y
OW9ou9FHgfhLpm3DUJbOBch26k9J+WPB1q/MZD8O3DBlFY+HYbC8366n4irHOLvnWlk2b0+DwWNV
tU/c5K7wJHfqCEAzHx0zxOJq2cft3hKNrFAeLsnDEE4rBdqyd4CNaPKW3AJt7Q570FscBnI+ndSW
u3vVr33o84aL8B1rHZZsoBrlN8t3qlsCMeB140n3b5FZZz+zw1o/q8Yt+b5KE15ZU29FV6wmxg6E
0lpqHIzLKLwiC1t/DXh0EbuAUu9r8A2wTOnbGDjLIKFwTotYP7stbhnfCjnf0pmZ9STPS45pUoPx
ZLob9P1EG/vRJeGKbRC8+0tCTlvFQD43Pb6Aa/wxdIl43sg24KrQ+N6iuIyZxdq93x4SmKyKSbt3
nYMvdxmy2BbZTxCB1nTZ4dk1pknhhnciKLyriAfXTeOtXD90GcifdHDulycNhEBFHCupcIOHR89Q
RJA0y7I706noavuaZdZhQsJd9DqPVTn8qL3VxFBnSTljLJGE82HZy+l1A2tzad7LdjjQCwAtQrfV
c1rJavwSNnlaUD+F/LVNJeVTgNnGuYp7iydv1/Jhbp3qC2EOM7Y7rtvz7sz63viV+s758B5ZQ/Z/
klPrtqme0aFikViMHxIPi9uy7Ev3tLdb+cPQMcbZ1BgwoSRiGEv31u3fSrV13/fWsd+3zhmeJqyb
3i05T+FJoVS8x8Mg+lHXZTEchtm0TT6CwHX5bsErIkGzXZIxZ/f3jt78+4w/0bvotNQZLkYMrnSq
7qc04Pw57lYhZ27lIVljr8Vr1nba59AvcJxt3QItic/9b6cJvttJaqRIpiywtdanZAJhoW3pl1cI
a/dbEyX90xpU/bUz1lF7sUjbrvIWvxI/U1wmOl0qzyaFxMWyNzXKL58LazRlqiO3eVNJZVE2tbK9
Q99Pwe/OigxwKrzP+16vOC9Woh58oO3WHg4QP+pqCJWOEDhEy6tTutVIUSu96NThDx6nnEvE1Xw6
7BfMat9QiChvddEXMK6Ds30hWqSq2KbC0BiGqbeOfF9nko9j/myGSDMvLEw5l96gVYC4AP4wHZJW
xymtx/YxsqTQpRjVxWBxDb1sKmAFunQcap9gkYUKk0qk3jWUycrB8kpX/J4BGMCzHRvZ5zR73dFH
Ruhk/rJ6jM/V1AAnIGAr09ESjMT7gNNLGnQDnsgsXvBdiUKIh7UdSf6tlAx77tw+SbKyGacr5WI5
x1tstiaX5EDfilEmYUY8kf1a6Cn8mqEvnrpyo8dYWs7nih/xBE4Y9D7labaS3BPIX91FYZSq66h+
2VZv814IUvEfRxRkQ3eMB8juN7jq+fc6uhY1fo5XEi5PM3ddcMIBf7htXdjUzBvldOPUaDcu2MHa
5MFsffGxUjsu6Qy1PDZDFIhMhEv/6ddFsx/6QsQTPp4h0DPBdgmjc7+tL+OsKlBWanZ12qJlvU2W
haV0wrS3r2pU54mNAfFbYNrhwdRO1OG+MHmK5r+Rt2pw3Id203Z9GNkEq9O4n81XI0Pvuq8i8xxA
rr5JTmmA4+2oHoz2ph99M4avHQQ7CFodMm52XrO+CITd/U1Ebs3ERCQUY+Xo0jxv0mmAhLYtYJag
kNbj3QC6OjkXoo+9rQWECUzgAe3bpl8IlEe3LkPAgmkuD7ACXUSX0xg6dxsJcnuoJqdg5nK8+mog
7Y//3BERllqxdux8or6+NFbrPcQgp7QbqG5+K9t139Z2tt4n3ouTdnZSGHih2WE1lGn9M1o8Vm9d
RmSY7l41VwuY1pBX83DGAakydxiMip4VNFeNh6bg7cBq6PCKJYzOP9qVlzifwmGJMvWbaV2OcVhs
dDIJDSUuYUz0FAfUZ0u0pkVYF3eB9m2dbUYmT50a9XjhYtlqTpvE7fMMLtjDhasY4g6BK/V2EF5X
vnUWmljgiwlIR+yqCjMb+88mr0y1L9d2WDbFQXt7lORdF8ZLWs+YlOf92ciftmTpHtkNMU064UGI
6DtSfBFtMqkngIh+zppE2PFnZYsAVjCuJvtqXp09SCNuzyqbB4/2bIkL0fIw0aafIIb2C3deGRzG
cBhlPko5GvBTlkQOntPZDIA1Og6gJYOw44h/uXYeWMPYUGxyx725pohjfHSCswx58D1pH4gR0a9b
tC4JSYXRwh55CJWVkj2j9nt+vtHNlhDGLV+2eLjm0pbv26S8i6QR46+WG6y62Oa2a4+xMrI5huOY
3Mttlm3OwwKE0LjReUOqCdvk0Duspab1GtAg1gDsw/F8PTqXpar76LZhUPhVCB9jgHHzvvdLZfq8
EU7XpRrHmj5LBFsxmADuzlfQ+XQ2KXDYEp6caHCXBxPU6/4O6KHn2x0IPDz4tDEV+glV/maFsTQn
B+pOXktCfhgJ1iqSrz1LUe7RGXExyAEF/fHSK/2mPG7RVPV3vhkKnZZqj7pLBZw+MYn6BC7zXNAE
g0bX5kp6/uy8U7aYaJKBfYc6rdW0hqmouYPvtC3q4MFKMGPxUisxejmwpSqe6aqK8NIFxi/vw3Fj
sGvjwLi5tPv9s6+BAn+s5y3R08JBW3jkbYi7qradg0fJaw51GdMPbwvJ01TdTjpHxB8rsynnByrV
URjL1VjILvyffeFf4ZAVLtfok93+haSMWP9qhLXOPMEUn7RlfOT7mutZ3wk/Xiltvd1MeLYKz7uN
tA7rK6Zd2WY2FyOdmFIVUveCGz/81YfBkJyA8mWZiXiGH6mCMtkOcBPJa2USC9nfuLu/POPP+lEU
4bweetW2Caxqt8y3yt9Yp64Sf7RPonJd5xZPdss5WU0NqWdNlN4jdW780p412eT7FhhWLHChR7E7
6nMoG3CQtjBa0bwkztfGH99ugODG9ugBYi4veJ91Im3JAtA3VdBsXjawBkFziyuRl/Ghx+0dy6L1
xsGhYvrkIolVBtPUOQ9WMcZeVsVDYj34NGzD0Vv3dbtLChVDSfK8q29Ov07qFmw68t8dnEiiw6xn
H2alN666akysllvOvLNkTJUDXqELD0Du93Hkpts2B/YvB157yuMaKP7SU0IMl8C4eDqgrefSWILY
nalTXA4XU7AMVR6EtZpP7opsKCWxxrjPAjhoTmWrbMAcG+g8G02vu9sumqn9grl1ztXUoUPX+OfI
VOAALFKEEfa17WwNIFPtTSZzBz9ZGIUwab1KANo+98HAKbOcOC8HBtXCO5ZjgRshKwRqu+mSkXMD
pb3rfKHV6Z8afAFc7qYaax696tXKe9IMWt7mWjTJAQ1AqLOiX7YPt903P2O5xt9TDtgSXpQiapbj
3O4hU0NCzvjB7bZuySafaNp8JoPPHAocR9y8WvzRvLWxdG3ISX8Nn4N5cKKrBC6VoRBvxcyzOt44
SXPLyzTqws0GIhL6bHM83sBMiPKe12LbiLZdzLLoq7Ofs8n17tfNgX0dl48V7mzqVNak+rtEdcEj
f5wLsefDvc6Lmp18X9YEUxF4/E8mp5lwe7c0FxMP+2tY4xOdEm0R2zd2pW11HBJFJxEo+ksYOou2
rgpLOVw15cI92FbWHuYoPnbYbnTNg8mATUfvipQe/8lnnEVl1yyY7KWAk23HmFCs+yvy0lGmaIfi
AjqhU+59n6xFcbSRvA4vEA8zP8zWyPIa4ALWf66XBUwZPis8CF05PMNinqGuS+Fsr8DuVXncdYFx
KHZp4ZgPMcvJV1UQL/quWyPrNkBOEV8CH4RDag127VwHYB0v3EbFli/gCtR3MKQnl28BJM5vfSKA
og6Kzm7XeM1Kdx7V1RKVoUybmrHxatgDDImJ33MegWCZJVyTsMAyhxZrl/wGzUflO/2e92qvi0yG
+0CU+dj7dd50CHW+D1LS4nrwUE0aeZDbF1Nfz/Z90rKWeZSbjO1bm8QuSvUGNgB5CSFCe4P03wsO
GKY2eGZCc4lDrDsW1dZpZluoagRoroOc17rzCuTl34KzAcpbu1RVBeu7QcsehqZgwPVRUwdPQ1jb
W75uuBt/NksRj7ACFExBIw5QAwprc8JxFyvGkz+BTd7trtPUuYWy1TssgUqWi6705/WYIFeuntZJ
T/QNSLK6o7ZI2RjEZvoLpeblWSJfvJ6mJp5yt1526EMEHblXOUF3E3lNP1xyncniItQ1WEi9zDCC
U+1t5KZ4tXwH2CrCrB7jokrjIli/5L6ENZYDYvUvh3LCEWpj1eNzGJz5XsFyveMJo/8fQGKD+C+L
8Y5gwpZ7Wdau0z3xtS1QWrMfjbk7NFaRBju9r8aBGXYLGYF37Dqs1p7xzkCGHhGz97tZZ71fdVQ/
dbBUHSP3oNZhfD7AzyieM/cRoUXf25lswbl/90KJ5oQZSCuzCcI6yt0uCrfj6MPHs6mmrXXs04gw
ZgK2bXvbhtvS2roNr2SwmBtErfV2DJt+/OCM0sthg6LZ7sBRlDwXpyTqfHZ3FwZk26c3Bga53U9B
Ut2wojyVp2oym3fswYEBArYWanZOdqdDSdN5RT64bRumE/btCHjCCdxvHll5TQNW3GSqLU/d1tDy
yalW1I/MmWEF/4+zM2uOE9m28B+6REAmkPBaFDVplmVb1gshT8wkUzL9+vtVv9w+bkc7zj2vfbol
VUHm3mt/a+3IqxexnkTX07AZa8jNoSm79jjCU6WRrHAZ3ArmYvU+MdiPTwG5XAC2a1Oue3zUpo20
WJ1tP6aeNhFjBC5lbvJcMrp2rytvPJXeLayLInm8mQPEu7DM7kdQTWChzHj8YbmzxX7ujPK4hk3/
pWj69H7CAg3ukvN7O0Qw14eNVulTlnX+/crv3URhwiIfZMtcf56XSryTrVA+u17VvqWJUwNXTJu7
PV7hmuDOkRO6KnjSQFoQunYboT/pbTcTXPsmS6HKQ1+xDKiyYQqP22I1P5ycd/lQLcnYHNii53lH
3r8xiEWmpupABgQA1KjXtT0Kyy+Xow8tMERDnirvgMdnSF4mQyO87133evg3o/2Z/5jT344Uo847
G1RD76i15Yi9zuYtO7SBP4SHtWBhxbNJpvyjW7i8rbnuky8lW5lQJxZXvjHKgdEq+nL+MK6IgfGS
zt5bn2IK2XU0b8yBKUh4yzmLPg3oaVmUZH33kzwou97nzH3uUftKkBl/VI+kDPSAC4E3FQcm58uK
MpAl9s6WOocl0sZuCEdMfVTv2m4+ZnoJPxar3/4EBHarO3e1c4DkGgODmHRVR0pn6GeezfIzPHj8
Zh9Gr9PZCSyLTX3LhCr9YtR1IEEVbZ78uVu/OnA2NeGaAf1owB6i7wzfivyWFX9c7onvD+6NXMdh
eJ1hIdUhKcXgHvuMI+WyNrrLj2VTs2q3G+QEDyPmGiNrQtNSIBctZ5Or8QNRwDybluW3bzX2tK8z
NPWTFZIcHTUpSTUowuxGPhULoQN7X83t/FGmzQQ7JU2+nrKVnU5Ha+qW52mZmfYg5JMsMzJ9D/ci
WJkLpVaFJz7I8mndty2tK6DGvA4nICUz7/lX7Ucy61HCNJZEAk3pZbMDpHT9Q0/BwuBpVQyaO1CH
7mYTYtSRz+K259qM2/ckmZbuDNTHB0Hh0O4GVkHUh6Bcm2LYIY2t9Sem2NARQ1D2vMSBZla9w96h
SWJuxZDFBmm1uCt1kX/K5rIq953GDB83qgv0a1XJ7BWTQQO31vthAR9YGydaEyfhLCfCYjzZzujO
hDfV9tcxmeFzYO29DXJqnr4Oo7URz9DlZiSUomDPgPI8NmgFM8tX9kqU3oOtsn7+XrFS1d0ZyRQu
mu0BS3LVWJmOOtSX/JC5V4Q7JPaFYEDZtp9mQcj2oZ97FtVyLpUyLmW1whRtdlhFg+/waA9dPbKd
N/Hb8bZqHOMDcAowgWbRqcPTLljSaoeWf3GaVC93nF/XspO0TzIylAf1keJTRyFN7QSsiClKc27Y
htbtpyZIEUdH0Wf7zhF+TW7RcF1B2wZIfKsOO0hg5CB4QtKsvZ1p8X8xm2eAu1+mjEEPtKQNxsAB
zHLKdNnEfjOV6k854/H3bcgRwBTq70RllpZUEHnWvUxTHk7nJVucH/6Q+Unco2A/FdsAJsQdmJ2Z
pir/OmCsTQy+7mMGWTJ3z0TQe+kAYvwYM0Lyg4RD6Brs987j5ou6OJo88dU5Yy8nFK8cpOAGaDt6
Wm+zoYDoyLNDSiEYHD2+05+26jBvpcWo8mMFaly9Dz35+ztqCabKuC4acULYTy+46C1zdoUXlleS
ZWsjv17o0AUiYvesffTwnWgCZLqhCJzlhtOxmCMvbIM4uBq9diMzAefkEUdbH2l1Mmx6aZlVF9jj
cgGr9AZM7Aqt7MDT3JR3DohozXuGThFj7k8uTb/2d9noJ1SLvrE/MP6anjFvhG89DEV/HeRl2kZh
tjN3t2yz/TPvQ6vcjYwmsz2jHEceynBhPIGOXsF0LUjZpsv7ZzW79rxn/8mCF9M0bbAbQd9m0ONh
FjG6ecnYzskFBDgqe35TssiLt693xpRRPMrUq2qktm5z2Zp8H3YMciPXLon9E5mwtieoC7SzsUtC
fz9XtndXQXFlz6vmNy7YBF0PJoIrye+qcXGaB7nNPWO6Yc3Co7Ty/LqaYHCebQyUpH5ZuVieulCn
88632/HHosdivllQcfUDtcZ6zT8IEgrdxtb2keEp1Ybrj514RFvSKAEQCSzQEkt3q4e5dHcyIQT3
ZUPBpU4qU9TdhELB+ux0nTXdrqyja6C9Qsu7R8CqpgNR/5770dLVJveAWQvir5/L4Np3zFgwwI6y
/UDFmu/KuRgtPqY2fCxouRCgGW3aJ5Dk8IuE3y4Oo3F5bsKwWoARpVy/mSlcuenKjuFxCgvDQ5WM
6U8Lc8r0nEqLaVuQlLV8dLNghQNF7pkfN2mmN5DYsgdKhb3bddPm10d3BGdiS3xoDXu5rcMQ6UVN
j5spxESFmugvI3VOio1EW19YbksVWHmCLIdQ1tP8wsKLcPzmI+sCg7vziL9Fb+3yYSOty34ckXyA
HoRx3e6UzxPXUArT9iTU6rooGV74uXEq+70Le/VJwtqba+fWfanTqgg/iKQA/8bUUoS3s92m1eOy
yavmFORBdxSpxOuNqgP71grGtU9bjjZ02/ddF946rWJC4I5T+cHDH+rfW6MRxZECJxGxKBmFsHMm
nCyUKivp6VX9NF9uCw9FKZ6NP30LuVCnaMjallN40HbD8tKO5j1xnAH1nvS8hwKqsN75eWsAKBp6
28cVCUjviQVrkh31RD0e3Harph1ga0+yJ8vFUN+Xa/IBDdVEbdJu7OrtxwD4bnS3ZIxUv2rELC2M
jFI+dwKvTDdragg/aCP8av21QsXRudcsVxyQ5qEgLwmvYBitOSpkVHZ1oKlS2q6JCHfmNwzC1u5/
bkshRXYlnM0a42LyROQgbH/Jy7madzhopYiNypR7N5DblO7dgUjqOzIwgKDbULTDS4XKuh1WNp9c
n8YQWQ1vRVFFmz801cEFNlmBKWlbClI/oJokYgDnvu+9Oi1SUUQh69TH0hra/maeyvzF6dt6iKah
WK29WeBsmalKqGMXBfphYz2GdWD9XC3jpk3T9jI7XZHduEE7UY/KCcqSj4Yqs8nn9b4h4oBgsK7S
y3FYCl3QTQ7NQGUdrhccHUX1ilVZnYgiNM8du30LBPm2fZ89Vf1kmhi8sPMGUduIBIB+E9sdLsTy
ocKy/Dg3mt2UC7MGGE2ziueKcpepNQPrZ3fiEmIqSVwSFdDcj1FSCQBm2wzTYW4GGd4iNDpqb4Js
eONt6JZ9TVPPcNuZ2RWhqTW/1ME0YXdYe4C2NfWCn+kSijQu8qFcItC2oT2FWSd/1haAauxXYBF0
iGxPI4W3K1qfiXK5fDVA/J+XgTviOpX2h4O7daX94Kyc8xGDCNGfZW6S7Vi6qfwC54SNQax18OKw
rbd/aMHsRkQo5cwoJ0GiH0ywckgPwUTi3bQE3nuWl4U6Il4w79LpkF+kWkNsCUR5Vycu9RF4VKV2
rDzV1zFUKvjbUPXOzdZuzBgKskuzS00y5pMeB31KGg2SJLqEP2rN52SME227l0DVnLKy18OXqbaE
fVBZwflOQ84hyy9JD1Tmld+9O1woH5fMH/ooI0pHxraXyeBU55TxMX4mt4U1aTxypJJUK5wrLWxY
4c/1t6UKzOd1tTpzsZQ9s6o0ndzn1vHa1d0ltRHfU6WYj7mNQMyfCR/7Mm0CHa8jEdo6bBxfZOKy
2QpXLRFjh814NFlosEtWHxxrcXKsCLN5zCyr+U5KB+3uatv9m86rQh9AruCOi2lCotfsCfeoxRv7
M6uwhuwFP838kW4Eg9wSrOF+3bg9oR+kjUum5zZeKcu/srpuXjAmGo4zVjuDWdkyAGOu6SPvC9jJ
j8RQMjZzu6z7hpegHHdBSYCzkpr9z0Fi0GqGrcxvUDZ4igjUXIYoYDXWGyuvi09rHuRqNzD4yHb9
Cq6xy+t8m3ZuleXwVNch4G3ASp8ldpIBxkKNDsT3xCCyi2ZpCQSSYSUvbCQI48Xd6pT5A7zDN2Vw
K5/VNG/VubQ3vz8oAfAdJfYiu6OkWEuu8/kwjyYGEnFnZdRgpPPrbzmvY3YZG+xniIRCVHtrlhyz
xtIuahR/UHFb14wmIPI7GBHIQED4Rphpi6shsIa4DdPlnqyl2f+68UmSjULdaN+0yq1xOxVGTIcs
D42M/Vmu5alSi9vxeXmcFNVWjTh3pmzJ97QwZPPvFspJHgebmQZie6vfSOvCvMVXIfM9M84rONTa
4Ve7haDaQYBX+f1mD1UXW34Ao0Vd4rp8uG7DCd10U2IOPaaX4RRYiOeMZDfo1350eOYGGNZhj99T
h5AzK6hu3kpErjAlvyYmLVyAqGTjfUmndqfUOKR7lY2puvXl6nyVC9GoTEin2T2iGy3rccjDuX0v
BzWIKJ9g3S9X6qvdOyCU7REFL5j2vpXi1qLACILT4MxFcbd1jv5GI7w+c6qV+RFHTH5nDb5hG+eS
5t4NsHf4QqBV/k3NI2T/wIB6vqNMzTPadtLAd7WauJrhopo8XjLA0Qi7AIYiBrAp6pGmGTyQrsYO
2y6XXM2gdN52nItpdB+xRjn5IRFjcUu+6zbGA6VueT/QYRwaI8noCq2u57Rkmd1PVgO5xQV0cHoN
3SS/FxOjvf1Qe+YbhG/4limohFvLFPN0qRcI5/eqHusBdiDofIybIVyyElhA9rSEU8gVVS3qzKKt
5gfHnvNxcUgLZljXJG7ENb+VO+4+Q/gozdJAiq/TuEdrNq61x2fQPCNG5z+1NVnfWhC8Zkf/ArvV
Z6Z+t+qG2pDYgG47Me/x89jLqpLCqViymO2Y13FVIHPgIurY2x7FoNl3NojtLnBl6caloywPBX5T
X5slY/DmTLh8qFu6ctsvDQ7RuFI5LOBEWJs8+Rb0x7Ewm/iiDDTU3gGqro62r5KvPuuVn3uTGNzM
zNIecHyASZkFpOUaYAOHM9bNOp49dOxD6a9LB63A81NjZmv6z1kxWeIEgkhOYS+9eTl2yJkdB0Ed
vGMClk+gEeIr5/nkXzmoMj2gH3bZByezTQuXz+08PmXlrJnGQIgmcVEv68zF4+XlyRGpoML2V9pK
mvtG7y2k7lfdZa45ypUmi3lUquu7TLBHAl9eos2jnXntsJ+6dbotp7KBFQVspGmSTPHuME1oG6Q1
3xjc17JlkbI75mY5WQ6K9Q7R1DmJtvJtGK0FZw6Gi6HYk+HT3HhF07kP7NDI+oNvXWWWYQrzR36h
5g1GmM9ntzHjolJbnQydgG257QeZLAwwyDkeQXTJxcfRMut1uBRKh3VMjJp6K/HKwdGTfxwcOdfs
6WRlwKeADeHAiYj+/QJcvlI5e51I79LeNOP9HG6bQaNQPIX4TVMaoZ7F28fBYI8/1n2SqGd+qQZJ
FttNEs2JLT8mmqFs1Do5ja7KsjABpGs4gMMM3G+1Db7xidH/bSIsTx0aDAs3ZclD/6RsFied6NCB
6+muAOD8zrGS16pcDEJno+efHhDBdqbh6pejxYhWXkDdKTH9ppQHMPWKB6nIyzujnRmyFL79xb2+
ENHWcBY9UXaG38AVSzy/KjVdhB1L0KuOOs1e/C5L32GE1HpoSf306CHY9YfbylXi0NV/NZzk6Une
O2T0b2Ju+3kHC1vcTRuy5YXNEfUULXU5/FxEhnBdKmRJzvQrz2B1Dd92Tsm+HWzPtNtF8yqnbEHI
88c8rQvcFYpX+RM3cgPHz1Q/vcsgnYMLUHgu96bESgroyAh2n6xjd1NXskgiFLrgc0daTnnE90cN
Y2qSac6qd8rs4ohczxGifYW5hnERGZspet8uTZhZR33lDu3nWZe8ZUIURF+SRcouBa+xxzFGxg6q
ByBbdgT4y4qzZBVt+sAWPs1NO1VLjK7vJnFdzGjXrSWDj00Km8Rfyrr0O14y8IhrG/fBTl3HnKot
oFpJVMAR4XuYjHyMusF+cAau+1C22r81i8IyoBAAOHadWd3Npb+95r0H6zagtodRLRMmaGFp082I
Ylofa34Onwoug5wXuKUHQWFu8shm9O/Fkk0ec1xLPH1x47iWTWFpNOdODyVFrIJwyyMoTRkcRB7U
7nGxGHwSo9X0RzvIQWO7YZX5yfWT3D1MeSav7JdXPIzjnGj4tNJvH7a6z5sn3l/tnxPHmpczJgjk
4Mo1D5nCBRvpNpuAPfkQqcJJnBJ265g7gnyW4BK2fXOfspI+OYcrSSGgK+VG95CvAeRKUvzccKn2
Z0aVNE6IUWFuP9aWF7Q7otBKl6et2Kp9PWae3veMRL8ONWP4WA2W7qNOoR5RVm3p0wDTv7x3o2R7
Rk6VVsYJYId/bCcGWKd26hXVIiGWPyWXI/4MxeKnve2LojlOxp3mx9HRpY8xr1o/qZlNCPwIvw4w
G8j+JtBLah/tEWZ1Z7aUuQOZDRzsTYrXEAWq4+apSzCW3VL6Dr9oUjDQQJarQI1ty/8eZirtGRIu
WR4F/do5cU3u9XkJOT4jSEnCUD0q5J77a+mHj8OUbv5uHtgWpSmUXOxVqVk/DmUSPKXMbhzKBXD8
ve2O7GV2gIpglXWGZbkh7hlHRuUN885LVPfOjIMRfNiEku7VzcAE+XBy1ApqwfIECO6UsZBqQ6Tx
jZsz2MIQHBN5k6qD0yPun1cwGOSqBnSUsqu0B2RA0Lh9p+bciopy4G5LyId0z8sGDH7yljr4zkwB
I5WVYASI5dItMt50vX7kLWZCiJFy3QXOqp2jbEisJQxhcl862EF9q8N5HS9p502feMGvG/8mk8Z1
qPV3Ocr1J6htjvurs1Z4roCCGWlbYJTGLHrgmq3z2A71yPQaQ1x4tJZh66MlTZIt7lmv+6R53B81
fNNPBuLhHn7v6iNCbu5ft3XaCn45n/p3psXAFjKl3QPTp46ScIFXOVOtzwG1eN8HO51snHoyJJ4h
wjbT6JjVIx7syrXJ2S8Z2fE7Ctn18xR64wfZOcOXpVbrqSJaKL90QyVuFGvirwbUGeNMxTYWGFzF
3gTUrKS47eDXXkXWBw3lpHZaEGoObh551S0x0VMJWiY7W9QpmK2g3K8yw9YTzm5wzALAhWMLpEcc
g9UF0AVB2jyyfq37Qihu9pyvpfXFMQ2Dm1pxm9wSYVXJGIly8iKg9eBWFQsmEDb4uEBMNksCZamA
HepEzKfrXJOZHcD8vCPfXN4N7tJ+tVkEPMdmcQkRIAwBv7cKdOofF1YChMxTwIWex9UPaeq4e3Y0
SOGnAY4ux/OSGH8f4g198SCRiyP6wfJCXdh99t2SNVrS0dn7yKm3xFVtq6+dBa21AxBOlyPR9fY7
jwT5orQmNr2QmpcHwiHca8jd5rmsJujLMh5CMwyPTTf2ANFyc775HRfmDhM+JK9WpG/v0021H3L2
2Mi4a036mBP79J3LXPl7y1R44mlMyUnAtlV9bZjELeDjnaKX2WYXQk6WjKz6SYMCbXIFQm/xm8K1
BqV3UoKGLMpg5pGNBEnNDGrJloiEkzGmcJc0JF8iJ4JoBN4yxzLVU8I1P/uvJHTOeFNk7T2kKqX/
cYpQvk6JEkz0tVqeirxKqxsfCOWnr6b8dbBa3uWad+svcXQze0LqahURZ5R9UloX06nLN7wWKlXh
yQqlmO/xdrG3bAoXAwspcrleAh9ilOJxQgfRJTtRd+W4+F/WeWHyv5hwTI6loWtxMNzlh5b9Mzal
0XAVjDEzusfN2tZb042zOQvsc+HeL2lUcQvOobphCjrUvIQdv4VlNBI0HsuiZMZJHsTec8aivW/S
hHgKnl77Y8lp0RzBrdgdZclyHZ5L3xSP5bBu3xycCufFwRHJ1M2sWAkn3aVs/l69DWNRgFQdJn4o
IrelCjg3fufaYCUW0XBunpXp0SNXgTm75+p0v7jUl0e0+Mx5W4ZlftHuZA0HDIn+3TamdX/0iXP4
khs6C4TVtn4Gxmzm3ezxwfEYhA0aI+d/hdnD3551Zbx1h3iwQt72VkBV4viQKcZa0Zjo8Nf0lKJO
xsJech7fvHZcCpep+z6KgCZhhBYYd+PsLy7dzpY81aaW1kEC/3+zGbP5Z3cW8ofZWq9GTvHtx2Qr
a3B5HZjX60rqAdarbykV3Cb0LhuQZB4XJH48NORNuZj0Ux6ta6DJQxeC38crK1e3A57xBuAVU8zO
Y2XZ+4wPHuU88Ib30K8z62zQ2D502AyKHc7m/H4EBi72jmzdRwc9nAdulQwExKrz5A4bYY5ds+zD
h8GpquWIvZLVxuI6loGP6T5Yzog6ZTcizGJvrDreJKsfzUM4p0sar3PFlrKBqHh94qSi+AprhzXJ
PJkVi0mWoKx4tBSRIHkDGZKljMg4lMZAHlvhevgh/xKI6qvBE2mDGytasWnfeHqZePhq4CRqqIxx
DFEsBsLPYXD1teyz8KHgpiPkhTvlzcel1V/yLElFbC0K+QE9YpaxIiok3+OgVc8i2RzIddlmNest
evU4Zh0H/mCo96y6w+RKsk3LUU6yYchogN30cr+VSYvIJlp1sBlOgS41mfQiwwAGEdK29TP1GjXd
rG0Hx9rAiXXcPLk+VA7H6W5amaXNXpFfq+ke0Xmb/AJhTOdZlC/gvLspYVXLjWztari6Sqgqv9Le
KEWwhyce+Jy5VjzPZgMZs+L1ySVX63Oiu4EMhUyC0285h8lhscOxv9g0M8/prLCXul6bAwDhi5p2
uoAqv0N7QAdL9eB+SoIyeRzTLbmzGdckN672NxURnWHNcRjOTr3bVsdfb9rUJf5sGe36J4sV2y9W
ZpJPKwzodr6ma/1kApKzIK2BdtgF4zYRI95lSGNOEta3Q391lUl3yr4SS5SpI2uD2AO5rtXq0+GS
bnC2VNs9JFnnIMP79GCx1zPv42vIGuxInp/Ik7Jg4bHV4yPbB33XX085X+xGDEYXt6lhV9ne5rFL
KWdoAQZTJHt3UwFgGtQyS0TKyjTP+BfM41qY6UnWeuDYBk4fIOuz5XPvXvsVvCDThVwFyLCgrNV8
w5mX2B94JDFF+KtsJnA0ojnjNAnIa1A9bNqORvUa12+P800SLHCQnuURcskYr478IHXsdFeytOpH
xxj9yqPhGt4h309fjBNAc9O39M/Z2ILfk2xzowGhvDhZGcaRwZTiLUtkmn9PO+Mse/BvYlyu+Rdi
t4F4JAcPHWbE/C/Dz14isk8EvOsP5ZLz9uRuM55WX9s2A5nMvcFsk4pdwZPDwgDqnyL2SklCxJrb
4VGHhbxlPjs2LDpH8H5oTAV8g2TtvYxhMA271sietwHOJ0FeSLlBXcrJ4X5L8i7cpQRPedHgNFdH
dkqdE1upU7z6Q9Fth46Ri3nkV12eey4r4vzRplBRfU+O8YZ1AFaSu8zn4/KYddbuNnwivok5UFUF
7bchnFS/c1I/4OqoDC4MoA0YEbcfrXGXXlcqRIVM6vzY20vLvMD0rP5AHZLDvdjC/AXR3/fueRor
oj6Fb5LY6TzuOMYADNFTAzmNcOl1aWyXM+ku/KtTF5NgTAZBobaefxoicER8tvinkJMQX4lpUMW+
n+axOAyeCjMarmy6F2Kyr4EAQXa3bdIKPqSJu77U1zcSuaKg62116L/YPWImiFRb3qR9UEnScsLh
dWL8uRxr/PL3NRcEG5salu+mDKA0V4WZ30armH+QfuDeulbtElOkgiSIUhcg+oIrzSaEudXLmaQh
79L3rHTcYVJJx2ij0uJ5pe/33hxE0c8O9CVlFIwRoibIpPrgi0q28dRPPqk1XNDRgGHoTKjE1B35
Z1m5G+aFQUEl/NbeS1xCkCiuWd8qNaNub1MWpntBR1y/IcwGMXbdq8QjIQ9OtHuWPMEMmsskJ3Ql
K+g83mDlhe/M0USFod7JrpcEAc94H6pZvpCqZn9YBlF9s3hOvgz1ou8yN12vFpCEY9RL1uYbpnv7
6jZ2kM9CUul+ZLXFviwmMf6yW7nEbkKe9PWmcuvq0SqL0os2mN9i5ymgg1dSLlKca6xmxWlGwjLa
/UbnyGXD2Hk/Lu38vBTFNj5rBnd4oMJ+/FSjUUJ/eq73CmsxB0dwMdlB/TQclwSVKm/XdTSip9nW
1vDGiNxuIjHnXXuLzqEvmnprO/awLyLO7NTCngCyReBOvWRP1/TuNydNqEabDYAEHnsEdtvsohuJ
xmFfxK5jwqQRmGVbHLctXHGHNRXFdOvbIc9c1riUzRyAy2ENQXsi42Tr+Bg2bnmPMaYvbue28uJS
2TWQVZnKBhK4cNPYQ1VuKSmn60S0S5T7RKIZNnTPyYPmDCzjywgOK3knTSstHlvj9cWBBRqiiXsR
znCXgeju2WnbdTsnt/mtMc0IcREBaDcEdlAdK6eusguCqaaOY70REHwzrPbrGLTWd7rzhk931upp
9WsXunIten9HAqTJP3TpNhxkuqwmrsSCArCJaYBxlYk+QNEVjw6pRcQ+ad1u93nXSdbaYpthex+A
bVrf/w8IoG+N+Tif/WDKLkRstupuEnkS7ja1Ls7+f0QiexfutT5vycR6Ladu2ob4HLep4pkw3+UA
YW5r/lMbeIIu2vXU9muj4spwba2GLw4TRDmf/j2Y8DdhoL6vSIMlSlc4rvwlX5ox6MqwpzVna9rs
yPG0hBAB0RX0nX/I7XWuIZW/JiBi6GDzwjXsFKMe//xvmc7FQhgx7hxzNkQe7BMCjOLcF8H9StBL
hGKk3qxko78IKQaZboM8a6pzTH2F/ENq+O9CH5VkoQGjIcWShl/SpS0eaeQz25wHtY0HQ8DlJRvy
6fjvn+31v/KPv1ci7An2r5Bd/0vQqpUi6660JWeT9B/4AtPPMqN3tGVgndETaKq6CnP1v//Q33/K
7vX6kj7bcN1f/rYGO+OcIEKe52lyHgEagiP/bytyVcUzllikEEHaxPXgb/t2xnM8qi2M2ln/aenv
7x4t9bdf5Jr5+bevm+SkXvU+H/JU1yTpAVwFgZPfYP2c/rD39bdfJ0Ada7AJScVG+58/SfmLXym3
N2efGfJR8ujd++0WPP/7J/vbrxNxmT9Jsk9N/fKqyDH1IaUWc26xHp/Z+ZDGAXOcz+RdNZeih2Ok
Gpv+P0/q337oLzHfE3iMcQZJ78xiWyQy1zvpuffif//TfvNVkV8eXKOnbeXY8pefElLlIjy65qzI
NoyZ3Y/3ppwTgtiw8P37j/rNd0VcOjsmfMClULi/5GkbgpMgQwpzZuOewAvLgPMAMckA/b/9OcKW
duATPuw4rvr1NcgajnNwFp6+YpD3ehPwoNuS/uGZ+GdQLj8Fh4JkvxP7w+QvubwELwKAezx5CdGJ
h0B34mMSLtZy2fJCnNEFE/GH1fP/TMpli5VNbvP1mwL/+OUnClaUKLKFhjMlgvmUebQZVlGV8dL4
qdn114j+0tckuSVC/CHE9q+05v880JibyIAPFOOpzRPzn+8ZMUASk1e+ncfJ8p1zmTRYZBg1hHTB
bSP0eVIQiOfeUI+dmBL4HW2K412MwYZwKO2wo7lK8AczpyeDxavUWke4HhLv1GCNBSSoyfRk8hqE
6aVWHpP4diDarcJeX8cskRpJESW/BGaQ3bYvqt9k+4fj85+PJ0nVvN4u7AxZ/vL6z/92aDlhpfM8
FytMa+m/EPoEy7Bl9tO/P5z/fN+uP4W1GKRikzL9603Yl1bpMuNYGV0RGZBZ8xhZUybOc7sNf7iE
fvsHhUiVoXtdo/zrhkQb2+kWpIofNSVMuV2U2itE+Ie3+nd/EJtqvZDbFLZS/nrpWH3Y96G7nq/s
U7QOHjEGG00dHoX/flEhwXq2w8WN/ZNFk7+cVaibRW3cbjmjWVhIejXzUz0DzNH233SdXex9qds/
3DC/eesCx0HkctjM7LNi/j8fC9DqBiNksJxTujK9q+qZgCkzXzORSEAU2S05rdn7HBqoX1FZa/aH
0+w3n2/gEAbCDiQRkH/7y89vkzYv1Niv58LKq0vmz1WsejPHkgib//6rDMiG54RxbeGKXxfGpH5B
EHzJs1m4yyvgrsHAxeyXI7D+w0/654XKN/l/P+nXlPGxs4iDMfV6HilCn+G3/Psm1CtWGDGdOxJL
mNEG/uG/fvUCXmzB9ubr/ohfl2+Dqwnp5xUDN+F3pDTU1j6DmjmwSeb/8/fxhnOagJ041GL/+dDg
rqNXD/CKDHAjXyXkxbe6pU/K8mJ8GsfA+bwy9P363/99AW0gVF7oCPXXdoS/HWDkSNOizu1ynl0C
vme3w2yUTz/MMod/uIl+8/WxeiRAHuQQ43+/VF3d6upmcvz5XAzT+EgiqDysZtMfGfV2t/9L2pnt
xq0rbfuKBEjUfNqTrbadyc54IjjOiuaRmq/+e+T/xC0LLWT/e20sBAiw2KTIYrHqHRw/AMgYqS/X
Z7c6piFcyGUqgvGvRmFvZheNlBW1uV3aARDO6ALL9C5FM/4QDYggwfdXkfIZwZUbt9cHfn/R69r8
WsDHAgwPKdLltwQPlydoHFVcemYINZrme2p06Z8ia4v/dARHgo3D8T5uM6BO/u5AQ0UxaRFRaw5e
H8IkRZdekbwZ0YXLkkhufMPVUXDXESqdD/ud548mc5Qah6bysmIATuIC4P/sxpbYmMz78MVkyM4d
Um9hYUh5uXoapVOj85vaq3u0yUDzyOnGop7YH0KUiP9e/1Qrg80ORiTNhEqc/hZ5Ot2u0a6isPEQ
z1HuGkwLT+HgZx9GtdzyTHp/LejW7ClqWSCJsJddaPq7vWnSVfClZ1FDG5EFUQe03BEaBDvd0Yjs
zjnSnJ8wHUp55Wpc89enuvL5EDPCdwjpRLLq17fgm+OAkuPkJ5RTPdMP23u1aYG+QDn6dn2UtQXl
fBOsuQOh3Mxn480oTjQVmEMVrRdmIjz5U/YMMTc72gaY4+sjrZwyzjUBheFU03AWyS3dhT7UBrv2
rHhSb9rBCWLq14g603/u2hukU5t/t6vmPcgtp1qqxndcugmVBaYIOpIDnlorwyfCM+pA1uTeCXi3
p+uz0+btcJk/61TvbcZhu3DmFhETVl8IJgZxIwOeZ3ae/eZquueQdHZwK4yzNOviP/iv/TOmAuJI
DFSfBHLdG7Fs5XuyYVSTOKaT4i5NWUA2D6ISM4YBTO8TGrS0LJ1IKrdjBsj++pxXvqjLLa2TTKvM
3NAv945tZ6nVRlHrRSC97pS+NL/6VZvB6JPUTZBzxOLl8K9DGsDI2UcG/3Y5F5dDgtrJ8zSKpYdV
BAoNpnWkDysPKvLl+7yHkH59uPdnkOEssnjkkQEtaYtbfuopTIaNU3uhFrYeQhYwOpnrxijvvxmj
2LhfwkjBCHY5Sgqu2PB7v/aixp0+IJvj3KSBC7h6lmy5PqHlUHwpqshsVCBPFsXBecJvjrtSGSjw
twrNdMRVz7LQJahVuzgFZvSvVl6vQ5Gt6A71FP69CNU0X0CU1anq4QiS35Kw/IA+2M/crGBj/ZZf
aTnSYh9qo+4mSVNgNBGW/alvfetgKMhyXF+6+QC/PeDzKNw5EG4pcLwvbnTxqGlA+jRPIxNBOdW0
vlF6tT3ydfuIbkJ8RN3RfcD7RB4HtAq3DtvyPmJ83uVIgan8AuFai/UE1qRH0g51jK6DYDwNZR2J
z2aLydUdwsAIxCDb1N4J1Vb/5KgbwI1DBgRAqkyekLhTn1yD+2pfZ3EFNBJ5/DzcAwm2IRWhtQVR
XzZafYj9xvkGepF+phaK/O/Ee/mxK3nznXzkE5U7pCD9FyulPr5TzDD4SvWxyO4dELfOLm5toeGM
ge7T3ul86yVtE1O/wU8mebFNmvhwMBXzP5Rc9ZcaYbeP6G46vxu4WzjahLP2RtKJEmG8ypY3oVu2
9hP1S8RQEqAJ3Rc5pHF+l0Dv/zzlZp+c/K6c/qCwV+OeWkAAP4w9Ww2aRiWeejqu7G3Ujos9ESPX
TkOfoBSCpWSv7wL6zy9p4ofdsRjjBjQKrrcPCZ4O6h5GKmgDxUyGDsJn4/5OIMN8Bj9Rh/+YoL1+
UZ5+bCnLcsnQLg9jgl823lKoeQowNedccdrbaOaPXN+3yyg9j6LxfCe8OJzCpQUZOmuWEXFZeHli
Ii2QQTCO1KnH4idy9yZOPf9oujSPB82EiCYwanNfvZLehJh2UkhufUX16POq3R7cf/yjrm2kAq/P
ayWUYaI+P74YiCb14tR3gLlGJbcEtKQWSL+P3B3yVw11echT6FJsDLcSZCiQCW32q50fX4vIaRYV
tAAoJVRBTNhlVRzf44xnb5ThXnsyiyhDYEaynoOKN+HSGlg0VkxtBJAlYUC636IiD6lXGYV8qkoF
iJ+D4V5EiSwIT7khR4xJKiHIoCYETIEnd2Kv4IISnhqntaNT4Kr1LeFKk/uaHNenTBpycltuSlQF
aM9+Luq8UQ5oH1mfJqBYVOJSRTdOVp9E7k80s0f5KyxFB7weooigx4kHzXnwUcNB12kihmCgpEIN
ANA7bqRUax/Y4VSweVXXdtT5799spCEQSAQhKOuFqhN7E0TSXaykBWUaDvn1vbRyRqiCm7qFn52h
UoK6HCqOESBB6n/y1CHsvtuYC3nwDPtDa7Tlf8PY/aPlNkdEp7RMVioA9unGIq1w6r7NJ5XhcE5E
AmoKsr/YfTpfA0xE9ugSi49osmD/nWElc32i2nwqFvuL7JCsjcI5t8gyGmRpEMuqAk1HqT4w78rc
iH4Ab3G/dIpjzu63DnKDYRt8pA9fPfVo9Z+hbVhPlV+I733TZR87KsDH679q5UvTnKDcQN2Pl92y
9pwNmhZEiTHxqpPmLSaB8oxeS/EVgGS8sQDrQxFySYM4Zstb1DUm5CcUiy/dqMh5FjUILDPKHwoF
0ND/MCtBhixMm5TVWWyqrBNVjGugirtoBR0N/fLmkCph+AUpgebT9bH01XlRBOZNzHsHsZjLHWwF
zEmFpe4VyiBKCOKR8Vy7mDF4jV059Q2mobZzwjAniY59nYRQlCuQ7OCkBvNHD/c5/wiAPBEoPEcw
E/zC6J1DiXESNnNwhJOThLqp3hZVF3/N0Cma1S782a8bGJkEGi9QEQdUO32NUQMEZDCaFkAw4CfG
ryaAU7mHZNC8TM00Qf126PEfgMNXT2Mf2yilOtUAzLZFleoOAQwdE4/ry7MsLXHgZj0JUll3PnXa
vHpvQomL2h9EhGzwDHi/IVxjVVMARmY4z6G7lyDZHE7TfSzH+Pn6wCuBRdfYaKTBVM654y8Hrkbe
9rF0Jg8YzpR8C0xb/TqA2XloU+S1XoQYla08ceWAa7ahUuDVUYRfltBDJYsCLcknT+tLG1ELVFgB
m2KO1Aa0O9Jgy8N9ZWm5hWlIEzlNSraLjSc7pbSrpBm9JAzEYRDQjLsS1CIoqAyAdvCiurr1j4/c
OX7SXcR91OJxwdperqobAp/OApOLMbeLL2CwIFCDvL8p+jT6/xxqce03BTCRAJkcb2KHR8ccv47P
WQIEb6ekqhg39unKG4Mnu04VknajQzXtcmIoALS5U7GYI/K+Z2BB48nI6ZpFk93uaZhk32b2ym0w
leU3Dqt4vL5b14KIsHnpwuwkHi+TjxkKW/YUuzwT1t+HAXXOm4Znxs1cR9nIEldeM7qAhaVR4kGk
Q11cgQ36vbEy5gwFKndfZTagP3dEF3fI3Vtj0No/XSiB0tRWkW+k3VtDLyo1saxRd8jdAXEOQUMy
KKpbaMka9OgEIb+e1Bg7u2CXA77fGPn1Jb+8fXWufI6dRbx1F4Xfyiw7EC/J6LldXRfkWo3fgSMe
o+6Axnbs7KPWN6pDnwHQRGMb2N4ORTpH26nwbsK9kxsBqvDIETTIPxjmNxMRcAzJWxNqKOQU7Sua
i27w0PYIax3/fW/Qn+J6FoQx2h6XWzMLM18bkRD0qtRJT72r2AdUO1Lye9XZOAVrQdOci1dk2igq
LSuvaoc+utFPk9fV1XgKilDe4jVVHNRgnO5R5hlvrk9tLYTNLXcccRmQ+uRialS2ggDlZK9zfVec
jFZvHwCT+cGnTi+E42X+LOiiJbL5cn3glZ1ocBkZFJet11NwOXCJB0jYNUrvgRaVvznu9jP0u+QP
jXrI86GOvB84Sw1lchl2lLmujz6HrsVmNCj5ovDAdjSwjb4cHQVIvfOR8/eCDBcMFJyZ/Q52brh1
+658T0pA9NsN09XJBBYxtA5oOgw10xwN2yc10ADLN5yAk6kMw2OnuhvLuhLGEKZDMMygGwgcZRFb
pj6WlmrSUBXotOOvYUWje8TzSO+OnTDFRvt2bXYG2srkXAQyovblMhpoII0VbDavaqYWaakGZVUj
UsRwsJsJuRgLBfiNs7i2b0wVRpLgiUkldDGkU4RBo4fVBAwMndKHJpk52laYWOBMs2eURx/s3NaH
fe40/kbcXpstMBHMRBzDssnYL2c7xLm0kDAYeAYTnvZovacUhZKw/wX9IE5Psm2j6nR9o67cigau
JLqq2fTJuZsux0TmLlclD1ePDLS6Jeikx6wBiVk7RuxhA2zcWniNHfI6VqZd2VX1xhde20+WawEP
IIej4ruYM0coI23XmHOTf3bwf/Jwqfg9YZ2zEYheoQbLI8lbgScowY/OxSISJXkFmaaqRoqKkJQh
NGLA+QWaiZIfEGai9YVol0MVD4+e/Fclq/wWIJ7zTc1yHaQpbNbfZLqVdY7AJjUe7AW/3ChQvBb1
lz+RW4BSJy1acDSL3EsRGl6MqG96GldAeuN3WVveAXoPzi1OS9DGu77WYTlp8Z2NpSmqW0E+/aSS
XuDzOiSwi6Av5DeqHUG5sO1a+yNVcPVoVAsdu5hJ2M0eZTclv0E3CZYPL0JM0/xshHETu25s/7YU
iVww4tqquOM5l463jqywr8btPelRis1s9JfLZiwPUZSUWBk0BM/7bhzj3wNlxs9GFAR/RWllzcHv
Z8PYjq0ONBZDO/gDXVef9QB/2EOmWGOO11Avzroqs/zn9V29En6B9lNKMsTcenYXhxhEV2O72TB5
RgjzWbQNGvgSDv/1Ucz5P7P4XigTAp/kvW/bQMsvDw8RJPaLlOI4TYGkvmk62DuImLTY4FJKVUdk
Ri3xYcI779GNQwRBC8MZv0Nyx8kEGIIP99JxfOsYTJPjwHgu8aBCFa6HGNI3MtyVUzVEu9Hta+0A
yrmsj7JH4nAvcQazbpykGGa1gAnmW6D72t/MRV0JwlIw2lgslvajVuIWtpvA6H/wW838m9iaEp7M
AUqtp1O3fSoC3Nh2HS4NbG7ZPro9wKqTS8UKektjKjjX1yMiq52NNQlsFivxENKAamvScfMspEn7
v0UIccOjIYXjFMpGZn6oIVL5ew2d6wHzlgxy8T6oQsvcCJev8NTF8r/C6dg8rD8H5nL5UTktaFk7
ltcjcK/sITCbH3Swf8beqIT71EYi/su7GUNVrXLHcjcfDpzQ6j63ILVRZtz1VmCXJ5COSnGDRUSv
Yc4axMmpc1r4TAiY1c4hcK2y/tRnjWgP2mzY8SlHckT5OE4TjQge4TPlnK46nB76P/3enizHQysY
M4AyTvQXyuuteLm+87SVnTdfEPb89p37sIs8O0VxGmmWwKSqwzRfDMMt+/9aRMW+o+YQyk+qIQ39
ocpCd7iFUoS8dDugPpxTqw73FHfHvzY8lOxw/WetBHPgnBwIkAouAL1F/HI0NHPTSjM8vYBYswtM
7SuVJ+MTVqXDxnNq5a5kqBnVxVuc/ujihKtunfdFaWLFq9BhRDeyqdDtim0syYMGqvoXupnhRiFo
JZeltEdPgZBFVrkErQZTJCKcQnQEaDLLuuU6dqNTL7Cs+mH1TgkJK8K0kGQhGP5cX9jVkee0gDI5
MLZlgTyUI3CGSdO9TEdBQocjdVNbmIfg2ZB9hyzSnzK1/Hx9zJVEyNEgG5C/wlIjll2eLocqX9fk
oQGGxgbtjsCakPveyfpPNacJrf+OKmowJXcIMARb9IqVAO6YYIOBVHMNAha5HJxHGoofOLWCgUfr
H3Ylsn04MmxduPxXFgGE1aTUQeuRvsoSFdVHuC4h2mt5SWv2uNra6SEOtXgjTq2cCvCHFCqptIOB
X5YP48Z0fYM83Rswzji4aAhi0tgoR70Aq3D9m83HfjkhOhzgJGhIkUPMy/qmFmcjg4U6tLR4+Rej
e0KAwe1OCoJ80UdZG66yI4DZt5qFhCCSADb6ZOgSxv5WqjVvjeXPcNmsLK0LH3vZpoJ7hHoBFvNe
3dkobFiZeW84TXSMFHO6tUebi9HImh9G2+mHUHHiw6R3+sa3XQkQM8qOU8rNMIP6LpfCgneFol5s
eyZUy+9pbDaYNGj+qXB68/socbDYyAZeD8Ri1uxXopEJTEWnE3A5oiNTLgqo8vNTLH9ScxOK4JRD
U3fN8kAPHd/REXuvpB9Qmg6iHnPZyd6IwKuz5tX5GoZVHt6XvyEZ1XEIU9VGmNg1TgnKBHvcvtDp
A0p1KHQ73qq6rBxUAFRgLCjFGrqzrCcg/pFasd/aHjzP2EEkyU2OFZpyh8bBmskujXZP+zr6AtiL
xq+jyr1r0xQbzbjedfRFDjTSnZsIHa5v14/CSsjkzHG6iV1oLy2pSibCbVmkRpanJlpw5Jr85biN
+D70xnOH/PhZ9o2+cdDX1uLtkIu3sVbg4tGriknQcowv5CFYmLZdsLHk+to35v3Ne4nCBkC9xS2L
1QYkB4e7v6yzVtmVttLWpyIfSuyccDTfNdhQwU1MyfI+5jKU8DNLRNYeRNzm+n2iNt1PpKrHW1y6
/O5nlCoG/jUiR4RsRC0KoSTQqQjMolMQ7Ou+T774Vo8bWyI6a8+FMSuGKOnwjUangoNrEEgTd1FT
2ge/Ih0+6LiWQ7DGkQS3qzrW/AOmSqb/xfEHYJiFPtd3A5hHwUH2SNvspGUaW6iVlZBLt1HQFdCB
9PL9L4+BG7Xa7BFleRPNr2NsBZgpxgIrQDdTN07cyjXJUFS2OPL4ntjz13oTchMzgchIudnrgij8
k8Ci3Dk4ah6zoB4foNYOty3KJ2cyOXMj4KxtN+DK5Jbcky4A0cXIWVW58ThZnpyQmMxN0e2NIdpq
364tJRwIWsQqMAcAopejIPU6JhGz9/ppwFo10DLiSKx/RxT76/UTuzaSK3j4UsWizbYs0OO1g6OU
nnEbQ5DdJUlUPM9F04eoAbR1fai14EDQojQOfJeCwCK9UHJ0TMuS/ZENtn4OTKV6srJM3EdUmO7F
gIGDbdUb+dTq9OiSga+jYfYuUgbxoCdxxELaetDaRwVaVEZbryuPKDrFP69PcH0wA/QgpXCwU/Pf
v9mVRu1WGWZfphfl+nwYi9kRQYtvEZUzNg7A+6E00Fu0Ncg3aHy/PlXeDDWS9GLaTqB1RTrd8V5E
Gt83p8dyCreK1+93PEMBS+FQzzettdiLKMwkhDBheiZyHugvcKVmSKuerq/dOyYomA0a5XPTlrcF
fd9F9IgaVcWzI9E9+GGR/1zOVcidWoUEK6zPNeOhK/UeGEgSY5UaWm6KSj+1XuT4ES5F8cMp3Xrj
NlupXgEhVqGPaUx97uZfftABw4akAVvk1UX82SqTCRmaGME8TKqH+sEZ7eaohagWEdT/o8/hHkIj
jFHE0nV6P0pyEHEzPG2s0xxgLhMekPYGLnhzmkfCs0ixpqxA7zQthGekY5sgZYP19H2UoxEDUM0N
vvMSNtzbIY8MdSdR5I/3matOyhmqWJOeM9Y1PhlRhv3pxg97f0PSNIVdqDkq2TBslcvFwrgP6PNY
oKYWFkWHaJ5fxsd07Cv3YXTV9nlS3GTcdTJxij1qo2qzxwYMI7WdgUXdN5E1g3qrIEWmH3h6piUq
JU3zDLxg/FhGWvfn+q9d2dQ8PUjVAPnDTHQWu83ENxa33VqnqZypjwlmuMN+1NEZ3ViV+Wssvpag
WMUDlvcBL7tF2tC18AKdUNU9tc/dn2kXYBoCrvijThaB9BIGSRna4z36WINM0eTiMs+1jQb6+7iL
Bdt8V86XCYCBxVwVpAhQsao4wPzhkV/vIGCcCSRwsDIIUFse3dsUpO5GyrS2xPNu0HmS0PtdRsOo
RGRMNhPVkqkTuDtn8RmumNg4oyuBkIyDhxe1KB4B5uI4+CnCEvCWDI/+CJ401ALdl9Ytg88GoP14
K0itLCVvVrg88HngZC35SqqM4tqH1ePpPe4fBw66lT/2SVm3d06uDFCYhtDN9ulQtk8dwsYSGTkV
oXggBVHzM4RT2h8aBYm6W3or6Aeq8Deruyrubf04Kj2iZRr6slv94ZUvwa8mmSB7pUAkFu8T8sRu
yBGZ94oyM72ROPd5auJgo6mwOgpdDZDslIigO16e/6p38hgtat0jdQrOPo/gHXux+nD94K59Ac4T
VWZIEAC/F987nxrb1/uqJ/xR/fuco3k0oHYirOQAR8dAWVYSPR5y2tEbI6/EN3qbNi9rrkEixjz/
N1duPlmDYxfV4IWKXd04uBkiwJnH90LJA28sMLe8PtPXfGgRO+b3BsguaFxA9RcLKnWc3KNB77wu
wf7nIRMVGEW8LuiGASOrP7E+eL7hvtvMuswBnWuE9MxjYMqwnF0XoLj1ZYgVT5RlsXYIECoNPg5I
AXztowm4UGuk6YOdVjlGIElYak9hwL2+GyDCY0OecFE86xgRJT9LihjPShNqxW1CoJMniViIferT
BP3ljBQy+JI6XWbtwmKb47xywDEDJIDA96IEuKSWhdgllbobNx5Cq5AsUZPBBWTIx+AnOvpSfLy+
6Cvbi3crCYhD/QJzjXkTvPnIdgj6zaiaxotjfXz0FTT4IxDbFeCYRpwGrj2cjbSq/3J92LW9BZyZ
diD9Xd6RixAd5hUqjAbEEw3m46c0wLzAxI50D0/d+QywoNm4lt6/nzResRTv6UHSp1+m4lD2W3JS
GCDREJqf+1yTL6jvhXukTlAPrpvpxWJfzdLM+cauXokSMykf+DYMPlhvixzZLIUsfWx2vNbAOoCW
QXNjBuZwc309XwPx4uxQX4RPMwcjoS4DdTU5cV+VFsTSqEVnqDF9Vd5asSY8q6T/wPEokom2j6Mo
hxTtsOnOlOyJxxYX4GTXtbrf/BlSzSpOLQ7A9Sdf1ALsUKH0XwV+8MbG713ZdibRmbIdyjYAKxer
gjsQ5uF1TEMWhguYPqv8NKYp3hldoyftLqr91CuGJnUP19dpbVwHkjgVZ1iblDYut3sZ66g94dHh
KYVd3qZtE3026gJT7i7RPpJMSFSV6+jb9UFXNjsdFCxLiG1gMMxFoth1A1YIM+lXd6YSmVMVIzan
c45DW3zzMYLzrg+3suOI2fQJyUJA8S+bFnWeqEaHl6wnZYtej925uKgYZboFCll7wQCCoovMDcH/
llfTZFZ0kXGV9UwQ79OhD/To2a4gIiEDYZjNaQhrw9MQ4e4AFSTRo6qEhrjpjMq8R9rLGJ+vz3vl
29q8XjBX4brSsOG9/LaDnyuIQqvS4w1aDWfHkBUFQUHHtBXFXYI2oDhqaVj8e+1iDmMQCiDQ0lXX
F9nGlCRqRGUfGnCHmr/v42qaJoG87chCjtenuJJdz8RZG4gwuS0Ptcspju4IkDcqpVdMobY3A0vb
VbXq7tU4Yrn10r/RfLU5RZylU4jV5dP14deuJt0graIfSNldX2zkAeoQGqnQ3AZ81w+WC6x8Z5AF
1gfZFbW6sY9XSt3AYEG4zyDROQdd5APxBF8iEmXjoeEz+Qdht6iW5biZfCp8zve+tDM/OlU2d9RR
j1KDomSsBd/VELHwjftj5QiTawOshJVJvrfUxcmqBix+IyFl9gWovyZsb3mMtjsXC6wDPhf5vxZ5
yXUslEcg+BHNEUO4/NCKGWtmUCHFPsVGCF+tGs+6X6Fu+I8fdB4GrZ9ZHISjvKxBdFL0Zo6sm1cZ
Sv7Smnr4ABwIyVkr6qwt8ZZ3u4fBoBGydZDbYhcvymFaxwFV+9T30rhLToiNCkTi0uzeTKdu45y8
3zrzWHgEUOhDJAMlksv1c4ehw4I59D2HxjoNeD4atlfOcVSn7l6CFrlRsLulZozYem+lLqqybbHx
Dd8dVn4D5lT/r7nIU3jeU29Sq7zO4Oong+tFpIq4TY7oS2MvNBzguCGMjmPhUVh4u3W9Zd7LbhOE
+e4eYHyYxIL6PYeI73s5fq9NcNJb6Xr4tyB6h6nZHueC7HR9C72LuvMoxAIqIJZO03j+6m9mmUxI
tdXCdz0dBuPXoUI7IMXb5WecRs6tovTPdW9vqVSt7ST4RIISJ/UqYAeXYyqFG05w3H0qdBP6wbWO
t2HXNUcnKfOb69NbHQr5vbnbNu+kxaWCCiaFjHnT+k6d3OdCze/yqrVPqGYa++tDrXwvtitlLqBy
qN4tpV1Gf6AOjUj4mZ6W/FbhFbSD8dBtVCneZcJzeYJONG0Ewf+X9W8Le5FxMHiwYi+U/A1E1990
qQ0WWLelHuwmLdPtnW7m4U2WlP7GZlmbIh0pKhEgN3Ri2+WHsxPFcRqeMucSxPONqrd6jzVClHSH
60u5dv6B+VF2h9PgUMmdd+2bXWmBuw0kJu/nAvPnDsFXW5b7IJI65vZ2nyWzOnVk3mhaVzZ7OVYm
Yullnn0xcNLNNoLsfM4uUnNW3EGyimIURTEqKZe/xW2mJDe7KThPZTBg/RbdTll3dKNmuAVZt8Wv
X/m+xFZyMqpEGhDyxRKP+hgZIgyiMySc6pimtntCb90Cb2nFX/VKVB4+v/WPpg/ExlFZiQRIWM2N
+FkHiWW/nCfeRC6VP9xnUqvDYA/ttZsmTZMnY9T1u3Sq/2bEiY0azOqY4L2p08+AxmXBusIVo0V5
PDwjJJKIX9mkNRpedUh/7GQW4CrSzxZv+yHmGb2xl+fpLD4rtBnwD1ygFon9IjJMUolojGUhzkZt
2tykuGvjhSYDw/yCgn39oBlWjw0UPshhl7finuKvqLf2+XyPLX8En3muOdJJ4DV1ueZoDGgIB2bR
2ahkq3xLTd0PT8gmYUkvi7p38bWyp2mvQA/9DVDS/No2JYVo9o/Epbiyu8cKxyh9B+Sy8K6fwVet
u+VvYx/YeFciosZlfPnbJvRjWTdX8VwH4btzVOAPiadeYc8efUqOWYtulsEetLGpfTbLwlD2esJ5
3Ek86BH/n+WPd4mIM9zk42R49IPJ6HdSaqj7DpTTz60mDUTseUoVOwFAMDu5rwZLcZCneLjgcIPv
fUv3ZLRKFXdENYleksZo2YiT9TtrJ/2LWYyQybVmUDBUkUg/HRMxOBaq0IopDzJ1ouKotZUlQBBw
uE8oGQ7filrHJKLrsQUoCrNvsAfT1F9VGfn/ZaVvfUA0HbwjcHrrCYyr/lsDhm15Te6W7p2fT4Bb
y76U/gl/ne5nPSFyhU1vVHSHNEDh+Zi1VH2RLCuDcVf0vYIpDDAbDCAbJTlN1Mi8MUnVP46f2/1O
QQb7d1Z1SPUV2CQFxwH8a7pjv0baA1bywzcNGSYXadHIMQ99jKvKxh5cOwfgtwAKzhsQzsrlZzba
PBAl1njYX8X2AcuoAWe50f+AeLcG6teCSKbkORJQQ33An8Z/ub7N5ui53GVURXn5UUoiDiyiqz92
KG66WXBG+nh2FBjNez8tgqfro6ykAbQDaQuiL8UVvcylRifuHCtoGCVI3RsMvOQMfQhOfTVthdH1
oeYuP68siL6LNBk6hLR9N+G6SIR7bNrB+KzHWn/AHrI6/i+zgkTLtMhxlrCaMmjJr+IgOMdZj0hX
pGLCgonEru3aZGOXrN3IM5JEo+gCkuFdG6/u0zAvoMp4aZ5Yd2nQ5kfF180nXcG9doiKxotUrOhV
io+nZtCAieh++u36fN8DWmm0sknnNhgNXOqOl3u1AuuOKCgpVquN9k+6iRFWJ1VdfpRqGssTHqRt
djMkRoiIdsL18TBqfTEdCrCPPwtDw2pZWMgxbKzN2iVGfd8iT5mfCUsyuZpkk02UDs5E0e43MhoD
0thpoH61/UbeUa0Deyz63trIS17BSYujQy4IE9Nw2Wvv6lKwktBWd5ToDKwV/ZAK6NLvwjCz52IY
1Z94ilZfutFO8y/4m2E07Fcq7tfBaMUjaPNaAWTVNPaXAX+RrxP9AHwhcfN8hrbS5ft8arUnHeF8
TDHzqup2qt4rxh55Dq09OFY4YvmulPWpKwzxQL1dNruKoIi4fxvbjyAYUvOsV60DGBTJZGePzKf8
BYQ/T+9wc07/OJT+f2UitcsjHIXE3Q3YYbX7FGYpfx7T+Es8VtUfJZ5t5wqpF0iXIAKJa1IWxjpe
hYUvSfzG4lk6WqHh8zFW4NljPfvkGtg4/ZCOWdz1viv1x2AakmNmyEneVXguv1Q4r/0XBWH/5/r2
XDn5F99jkUAR750x0dmdvZk8iy6y0eK38d80kun2n0eakyV9lkaiJ7WU1WpHHnN9E+EdagDlMjuQ
tXnf2Yc8GsxP14cy3sdnYJFkaC66nMCK579/k4nnsqKJhPj6uSvc4q6Z/AFkeF1sHKGVpYPS8qrm
jfSou6xM2X5HR0gf4rNV+e13w08ixCopDuUgyzZSztdaz+LYkJnQNKSsT8b1rgiXWXhb2Wl6tnyr
xHVQGAplKTy05M7unXY4VuYYhify1U7c+IMmMV+tsyg/oD0ffE/RHcGdgD7Hi3RqPHM6I8rLI+Vq
0OTCbXFNkJh67PSOd9pOGkpwg9Ey7BY0XE2HF7ypfizlKLu7SXfkdId5sd/sSKrQ64rocv9xsrH+
aSlu5HVlW4vZcSL6UMVF8MNCH+SHH6j93wgZumIXVA7gmZCO4ouriPRnDl40OFqUs8IPJiqAv5rE
NL40NM8+4MrT8jicVAsvLGTRn65vkvelZBpQIN5VG1AWObU5v6He7BIfEcuwMoP43Ctu9axCgfpF
sXj6YaKP+6ktm/4jPhXZs1Z1UXkbqWEPrrPXWywLDMf/df3HrIRjchmg7pRvkPNa1o5CfFDaroqi
MyX2+gOONtZOAE4j97Pso1nEmNiZqbVxTNY2MBoDcyQG808UvFyAHvJUk0dTeB6bTJx76VNTDfzy
POGpsHFWVuc3q1mAWSXxXOblamHijMgEz3EUUVGc29iPgZbb/DGN/J8ZRxRvemqO+saFMx/15cHh
rTZ3sWdq5xIv2aid1gibhc1B3v+nYJyg5pW9kQ++10dhK83MO9qn1FCY4eVKjhDBG1uM4Vnoo/6I
uLKiQb5OaeU2PraJdhlgBkLf5KXKfcRfuxJlTUvCwjz2GU5mTaPG2qmauup/+MIzGpDkh13OVr/8
XYFIuqxuQ56qQks+9Ird3/S+494nU7IlGLWy0HMHndInmv2cqsVpwm6jctK6Cs+DcLNnuxb6qYhb
ZQMfsLKPaN3BC6KYi27E8swiM1K5+NMF50oQrwZ9OsB9349qPO79hDdaC3FqY+uunBK4WPxDdXeG
oyxaLf3AzjEbmIo59jwHw8Lr09KwSrJEFv77FQmKCcDhDKacsSSXn4vEPoQr30bn3rLLzwjG4wKY
pobWnCYg38lG7W/elIujASh17iFRsaIIuJhY0oBT07KYo1HlxeeKF8yjtJ3xDlqbeg55xd6ZFu7u
e3zItOh4Pd6tLSpFXBR1+JKs6WKmgVqMKMxY4bmMK/foYqPJO9GlODY6/8vGZAhI3ZxPLsDFxhwT
oQKl4GwWtGg+WqrzrNZdv1F3X9v9c4GT7qc+s6gWBw14ZK9Ps8+LJlGbG6Qvw2OoG7V6c33d1vb/
DP6ZGUTw0JaVbyngDsVBzynL9X7XochzVmBJlbumV8u9mzQYU7kq7p/Xh137XDxdeC9QbOAPi+lZ
OfQ/aAfEEcXwP0FuxZhcA+MI326LNv0eD8rTgCQH4C39ZA7cXH56cy3HaajLwCrTc86l4J9EK6v4
Y1qHwXi0hyYwDjqlZMrFliH/c4US2oeapu9XGfr6ixoE7WOeNrLbZblZYpLklvbWG+b9tzaRw6Sf
j64i2eWy+KBFERJq2ZieS5IhZDR87Qi1tdw4nWuj8Fxkx85SmETWy2Vw3JY3AqaeZ6vPo0M8IXWC
9lL5z+dwTjZs2nGgnClmLj5s2YaUeJoqPauTlZ7Y3elNjS+Vl9RWv7GH1iaE+g72GyTlRO/Fd61q
Jxay7+MzhX/zUKayPNb4j/8rtkinSc3tg7wfKhXvGvLZ2OAT2sTxGaM10e9EU00NvtlW+tA2gc5b
uhy0+ti5xmBufLCVagP6qPNbH4Fpm1CzKM7WEsun3Mzjs+YUZnqIktB4iWvLR368UJJkp7pjd5+C
BPndyZRi6YyYfREBzm8bv+T9aeWHsAi2wVGi/bmIeDGOINC4RHQu8ya+SWG7H0WB43lhJ+5G3Hsf
jxhqRjwi3MiiL4HSJTaPvaIPuL9XSotBomP9pp2Bpand1Y//x9l57NptpO36iggwhylX5g7KtuUJ
YUlu5kwWw9X/T2lwjhY3sQi5B42G1FCtKlb4whvapkHSE7PUnZ0kf//9w8WggP/JhKSu6ZqMixiO
ZjRULwN90bVrN0sX0wopnnbSFZwfpr3b7+1DSSaEWDlBANj5N1X3Jo0RXA9FEmD3WYYHEc7RZ4r7
+VM3j8Wz3avNzdTbQT1KnO5/+JYsLtuKKcsA5P4agHNgz/rI2BgLe4dUFQ4GF6PpWygu7gy1dUAl
tpyzI8VF1/i4TGkIwgu+Zagu7Wlyy/paeUW/c+NsfDw4CFAXjZ8KNtpqQvlsLEm+2FmgK5SPcXy8
hDQ0fERtZnzhpp148acNxmqvMJwFPNxiRDA69+tnUxjCXT0pAh07XBpUc6e7B6EP7XSswWrGfqot
pjfi8kgQflIHL3tS7RpKfWSL5YfDrv9W5kstCE8GuH8LabF5GKHJf2+KXsMltokiKMRAvKJnD29V
rG1VxfuXhHd6Z6lKah9qdzTfmV6cfGw0uy98CPwt6tpVYeCu2Ws5rKOec4NfLHaXxxE9tPkCmKGc
D6wTuBMLq/r80E6d2WIZqBU9HvEKj3/eFWZyqGrV/GMxKhMYm4dLvJ9WMxUtM29d0NIWf/w4Evgp
erdeUPYxlW/aXyDMVguKqUOmWNWQBpE+oDuBAIp9nmkLvE/K0czPcvjpaEXdYJ3w4ZshiTaZ8iyK
ERegJMkPpYJw79UyisI9OJXXPKVqVOyA8d/YEsmYEl43QTSsEiiS8ob8JYbAMhsH7WngWYvQpLgs
XWyPfohpLQjdHpPhZy1HrePUDPXwLgonEytf3cAtIhnq/LM2L/m/WZv0+pONWQ6IfrWffCtvTYiW
mK6cpDJQelRF4k7sYLWubjkVRCXwHJGLg+tKaHCI/uF0KkK7ywIlTcUeHGHjsHL/wcpzyDdBTK/C
A5u6RTIPfAat9PLPZmF6vpGa9c5ruvWmUbmW0nIuaZezLhHMdgx80G29W9tNum/GanEs8CK/eZ6p
vnpdWtHm68uXQukHlD2a5eA4wx71+2cter3lbFjfxNYQ2s01XriLdKPIxhlJraQwzJMXibg+NiiS
tq92Unn4qFOozZ4yDITTS9Hz+h2WVMkSBNqmFtfv3hu9yzD24Xw2jDH9qyucBinuqC8t36Le7T7T
i5iHf1WNj37QC5tackFH7os6WF2OJPYSj6cuakV+mBSB8XI9uKI+V302fityJ099hyStenHdxXux
FxQNjm1st+9TS0n/wmnS4pbJzazg/zZ1/PK+mOeD0jlj6iu60X01QnLd6xKbxfjRNpCZ9OdwbstA
oOVGWSbB1ZdGpjodczxh36nGAoDc8XgAdx6AjbhBwgkRReBxJSM07k+NGYbOlEelPKhz/4y8Sf9Z
cm1vui2y6+NrZHMojyhaorPk43Y/lNaPlGqGTLnV9F3/tZzuH5qfWUIHHwv5x0NtPDj06aFmQH6T
/girWQEXVU0MxrwbIpMTEiFWaR5HrY0OSoYBIcGk8uHxgBuFRa4EOrO0TAEQks3fTy7E0C5Cg8SF
xIDWY2oDOBmzAgXTeqDPNVT5wS268IBWLr0n+phPDjLhF6Ob9Z3obCNwAQpGRREoFri0dcjtxHOR
0hThh4STgetstryiMNaf2ADWaz+o0xlJTOdsWXvlzI3Py8Dkp/DU6MSvNcodSr2eUcsTq3rlOexS
PGcbaPuqiIzLzmpvjgVb5CdDkz7JKtptLVQvezy3bzqjvphlgs5z6o4z9sHGQnfYLrLlQ5oIM/ed
RqXHmRjTkHweRmX5u1DRH+WdCsf5ixE6UA55T+35CCEuqXb24caNzZOkoj8KDooyoZzHL2/SPEUj
XePYu7lKm5+ypFgCpPqK2+Pl2AjIQcnyr1PQliSq1fPsGFZRzMR2t1DP9cif9Ln635x5rQQcDF4w
DZmD5L4VJ3vR48/AbXVLE9KhW0yQC3loTU2i0DjiZ1VxpBfuMdCktI6tNO/oxWuF+bx0YfQh1+md
1ZWmPk1hpKM+h/YCrkmK+Ur1Jz90ilDeecaknBd3UD9FWJJfgdQofxlmN13iXMl2Vusn/nP9o+nN
ShwBOTBN6fuPkuZoBHiwfW6ulYqPfVWYFZp/3ZzRs/Mseibu6Jg+SlG1hQOzmL9NVjL9y6vQf8Ti
i94x3iwapNDY6BEL1EKrIbTREUQOnVr8iZyxTq/SSZVzPzv6jUcpjq5uPUfDzn26cckhl8Q7TfhO
ULCupw0enuZebCgoBuf5LV2K+DLWZvFvOk3Z56RQtI+Pt9nGoaPAQsInywYgFFbrFmcNulw94+lw
ar7ndmQ0h0oM7fuIekK2c3I2BwOeiLS9pLWvB+vDmDA5tpXbPA3pkdpLfIxQwLou1mKdH89r45Ay
jqyYE0ECu15lJ1U2epWClwrunZBVtQVlrGq29rohm18LMCJbBH/5N45srqUCxonlQ5sDVambJT+Z
1EYuETCaY1yhxP14VlsLSM9Q1njpuONKc7/LlWXI2joFUDoV9nC0wOWcFKGT43SV/h++Feya//ew
r+6fCXRHPEUpG1EvozMdof4QenbyJQoT7fT7s8Jpy+M+RcbhjSaXQ9tzhJoRYkuown8YZqM96E0y
XYXZi53ztXGtUlTyyHlAvUlVjNUKtr2egtbwbgWK2KfOXNJX3HfTo2MtfzdD/K/ZaePOw7bx0e6G
XL1rY7lgJmIt3g25udrw0dubPlWCHIMItdtrzst9vboH8ZQDuQ2rBrLFuk3WaET/6lyFN3TOylfF
DfOnrOnMp0JLgZoJ1/JLoXx2RDH/OQ2LsxOnbE0ViJOtmzLVwNTkfnX5w6XvhtCFIaVmgR0P1Onw
58VfaNx7hTeOnuR7oiIljUlRorwfaoZ9pXXIbtwqofTHpUagZTR6NP3MJDmQy9k7m3RrPFB30PU9
nKfeEHYHGPqDKBsPIS6RnrGDX36MnfXV7Hs9SGzh7SRsGysJToDqHyxvILHr5z/REhRsWgnniOP8
mfsU7mjSl5cBDOTOkdgcCrmKn08Oafb6pFdJVhQ18RT31fhslNb8SlnAfj+4Rr9zf21gqKRCC6I3
jMZZX0/LsvPIWOyQa5nI4zxXuP52SZZdJtr0F0VzZiL6BRVPN65fW6Pu/yjGrDzoWq08ReiT/X6e
REn+pyqx5EStSSVGMxfQAbA1Xhy3O81lAajawxQgoi65A/zYuHdQG+NgyJeCLGaVvIiW0NQRk3Lr
82p+xvo4umqJop5bbHJObWe9n5Qq/fvxvbrxBjIm2oKAfCUuYvVaIFqa5/oyK7e0K9GXmsvsAyWy
dqdGs7V9fh1ltX1qtahsxCiVm7DThOwcxU0/9ZrEbxIBPujxlLbqGDRqqBW7QJDeYj0G6Q7dL9Sg
4JU4/zhZmZ4aTO6PJoS9+dB7Ne65WrK805rMdA7JYgDUasI9aYPNlSW5oiwv4Qhrbw+jJaNPDQKZ
elbzAOnYPPAwu9g5LZsrK48/cAv0cdYlT0VNnSgt6ijoDAtKYt4YvmvF/avnFf+hp8Nycghot+Ct
sJaUHsHrpU0DRNWdYgCOuldec1F8evzxNs8AUQvnHsgt5bz7K7s3Uq91Qyl3gCuvPzszqqR2Zh6V
dGgOIk+6w5DF/zwec2sNaSRh2ASHiW6r/JK/JGtgVbTJQYwyMOeoO45Cr5CsZTWzMN+jamwO9VO3
GViDNHi9H6ri5szTiE1BQSE6zHOGtEWnFrdQibrz41nJf2r1yiOqRbUQFjwl+DXokzyorVQUk269
tuSXYXDVmzMO2XnstPRYIHv2lbzL+tKjYrBzZW7tfIk0olBJygCY+X6S40SNYvS4U8K49i6VWWRH
JxnmvWr/xvxo4Ms6vwS1rnumWRRro+VyyoH12jetxU4Mu4s93MTWB+My/hkukcyv/dN1fYknzeL6
L4U6B4vb5t+9UjdOtjNp/2HrEzyAlaYXSD1ptWzarLb09XPlFlWFe5QIFT+x1eGCpLg4Zwh8+kVV
7Skfbp03ml3AsGUUwTtw/61Ai3lxiyhUoISjOFSFNlH4LcUps5QPtjsDq4dGtHNBb60p4jIydeXW
Ahm8GpNiRaxDpA0cLTI/ZVWbHEyjbL/PzvL1t8/AT2kRTjftvDcMxSJdtLpLQRAppR5FkCDM9snA
/OZVCh2UfoLm3Se7N+vlgp79b4u/EpPJEJfuGmXWN9Ggk/bNCFM+CqwJkKivtSpguLRAWOzxJDeO
G7IT4N5hbfPOrGVUzCq046azokC0WQ1OxBpREoFF/e3xMBv3iWQKw+WlAgB4YJUtx0Wtz4spKKnl
GALSIx1ONPMSnzZlGLSkDgcvgmeX5PVemrk1QWbHISf9I11Z7VG9Vma7w/301g6F+AgNp4EWgfXa
4/m9Vbjge1FO4xBIdSX7jdzWoNHl88zwprTWgrmLHjcU5x0ztk5oVCehBN/qHzm79O/aRZvqY9vN
or0U+WLJKu8kap9+UO8dWT1g6bpWasnZDrmeIfAU+l5zdav0zI2EqgqWjSTX64pvWKYNqluwVOM4
tTu/aLsB3XYFh1NfqeeF0t9Y1s6pSL0i9OF8oOkIe2ukYbIYg3Mw2tKod0LYrU8FHpA7Hz1CMmf5
9788pZU7RVZaeeGtMNX5tVO8Caj9tBeTb6UIHFA0UeGVO+SRq6uywt40R6fWu5XMEMdCrBwnva0D
t8QDJrIhUBi5ogMQLKJX+sGTj3CqwM/NQ2tGT6PLzs6R4evqqZXVKjCKHm26N455ozUogqvGveXK
nPG4xuAFYH1bSXMs7dmxr21UD3+ritrMfqiTo5xqrbTas0Ff3/UzxR7T2+OftHHFyuuO9ZGWxDC0
778DV2/RzlYW3rI5yc8tLeNnI520MwXz/j98coQLSFygFWMYLH/KL5+8WKpQeGPC6XTU+GT1TXpS
pmaP3iO/6HqJsYLCVQL4CYSCVVw4zWVo4Eqo3OyMnn7c1NFVqFoG1qUNcRlKv//++lHclnQiGcCs
812PPBpHBAd6vz2ZB7W1+2tditTXRZbv8KU3XmAMS0jf+VY41q9hu5QmGhVzIeWmzEl46YwuVXzT
butn0S2WQSQaawZWwvHyx+Mpbo7L68jdwSzR1Lv/bhVuTX1WW2RJ3L2XdlDawHXm6ClMMZNC8NoI
ps7Yu7PeSnBxycqokNouuAY6JPejxjW0dg36cEBZIzXOXUUt/pBgOA0fC+8q5wANdQgGN5oMPzXi
9vuAK+l318E+xxdGGhKeqJmpHKF4OPO1B7Sf+QN8Y6lj1c7DyY3z8cO8eAq4hDabRl9LBiQtI1zT
ap+mI35hVQG+9txXVvdXWEOqPbTCbr+qPcSO950nxK2vwHFd07pFL0pwkUU78fHWSyrDEqoKhMgo
9tyvgcMNnTR1TYVWiavJTyYne27m2js3TkqhVqOnfenb3Pxnsupk567auqCp2BIvuGia02i/Hzu3
4GuXWhMic6onp6Ex+kuRhHsw6q3TSrWWtuDPd2ldyagKOu3qyIutNGl+tdRWBc/YtpewtgY0zYxs
p6a4lfITG/z/AVf3XVvH+RALFQMPB2eBNumKg1Et0btoAgrH//J8c1biYw5mz9dDrSIhobHw+EBt
TloGYLxH9J/XtJ06dlBRgfbFFYUbx0RIejERvz6owuxeIoRcdu74twcY3CxjEUYTRQOyuv+UVQok
xEuJVyD1LYfK9pSXpVjGgzcP7oFumvGKy6b4+HiSbx+W+0FXsTukNeBc9JDRytbGA4cZWifMnYMY
8j25PhlQ3l/5DIXlLpBDXlVu/vv52Sht5xHOP3TW2+jDFHrJoahnpPnaAlZTbnfVhyyi8ucpXXXU
7XFP42VrqpJNyvuJrhZ9jvvxWV0wHv0AbH1prU/xtJTP7tDUy60XKDLtvKKbg0Fes2Xvnod09TEt
fYRyhShGUNdeHTiLVV0VJ5zeUyHQd/bN1lC6fEjBYlDIWUP/JjOazbTNgXHaXn3sU7c+alC0Tl1m
5js33dZQDIJvkOvSzFu7RaptWatRD/EU/0LladaU/EdniP7ozMaejO/b0weXWcbuFBeo9HurGyAf
CmWWOotBTMqsdDwXljFG5ywcsyNS3cvp8TnYCL4ZTx5zEjvkTtbWeG2Xzkk02klgAsj4jPdQiFFu
CO5WKbSTGAakljvbOA9pNB8jJcme63oAUpRpxk4d5O1rYoPYgtj7E6D3hvJg52MsasEPCcc+fe9V
lncwbFJqA137gznNlp80CkjEUlgfdtZAbsr1Cf11aHlD/RL6oXCUW2KYs6BZVOzX/KGre+ukWln2
srhj2Ph1uyTCpx8PPxfHdSMYSLvqYMhDFbfgZOhZvcZodt64jdcAuXy4mjhDEro564RxGkpb6oWB
GS7n+FjiR3fplSU5p/grI8yS10+G6NJjL9BsnpY2vqTVqP6HrU9Yx9wofBtvxHY6U+t0hT0SZL3l
HMKyVb9qw9Af7CI1dr7D1tZ3wQWSnUO4ZVPefwahRg3pJfyarF7+RKmgVA8uwi9HpcM8q6QAsnNX
ba4vAQwjIXYJAWZ1MxqxKRoixzgI0yE/67FG4pvMheFLsUd09UPzZLV9+lTpWvzOaijaCmkb9nj3
bc2aSEbiEQhgiSnvZ92BbSm7aEwCnGjcv9W2t9+JOSvPiPJ0TyYR3J682OaAFOdQlQRZwzrfD+ho
WMzkHvem5rK1rELNP85KWjw5oxIDdnHtnW0sJ7A+XTT1eAFlJv1GGaqKh8yocRQOigEhCGccUZEs
wcz55ZDO5LYiPLapaew88Juz5BRKECh1/nUVJI4I/VNMIIIWQ9WvUx33GArG6etoYf2po3B0fvwZ
t155SQGiUA10G2zO/arqTVuofenGAQyxxc9HlG60Qnyd7RCd6xALOnDW2WEmXfbLfP7xePCtnSzP
DfVdkDSqtX7jLVFRp/cq2g30qHo/xhdiOmsaLOuL0tvLuRDaEKBU6pwjNINf6B0YH0uxxM7OmyyP
6OpbU4GVzkomSq5g6e5XwW6sKc6nIQpyah5+jn7Bp3pU1J0weXMUZDiA9vIoozZyP4rLCru5S7No
ThrjBzTSL005mX8+XtOfVML1XIByoe+P0zxiXKtQxqDw0QxlQkKLKPLk2226fKtHL/sbDWrqoMmS
9C+DWtcU1ygWBKobO39xhvPsOM0T3UAIKK1J6bvngyhxuLRYB7Itfa2sCTQRja7KYwaZuz8OpQAL
MlVZpuw973LbvZkEmCedcifhwRpUnssef1JoTMI2G++gjDHm71PcuZeqL9Lp3LYLzru5rfd/dUPd
OEdFFemTFmb1P1E/hM92lbvFkagA7dfH67txQLGnIcn4WSx4E1ONENzz0lJAYynReJ6a3jjH8xj+
0HFw/DAh571zz25tGkh6sOB4SIHPrrYmm8ZRRMIR0eEsB5YemqU/QLF8/3haG6oHYPN4U6RaCADP
dVaMsI4SUxCLgiJPc9eHwRH/E4e2+QXDzybzlSJEyhCeVfSPPjja9KLMRnFFHKgVh6WhOPRqzFXm
nPRC5kAQAqevsWODEzD00o2ODWg/pGqt3G3R8BHzX0gsOd9akfbqRZu4AY5I6DaFHy5F8alywzkZ
/V7Mbn8dUVbwTtVQdfACoCq6/qLCAD2Pk2m1V2wl58Wfzap6AhznYa0htOxTGDa9EmgplNC+K/Sv
apwONWXaIWovOgiKvx3+uex/fQyXGeRqGzmnriZ4OkGzaKJPOyu7sZWJjCmcG3CouWLvT72jL1m1
zD18TnU2ArXx7Nex68rr41E2XitaimwPeY/Bn5Lb9pdYUHgJPtgujaQ6rdSnth6bJ7tMuiBfsuIV
lswXrwq1vx6PuZFeQDEEMQEzjHd5/SL3ou70ouIowMnHCrcwi1tDe/iIkNceh3nr1GEIiQgVxDAp
ZnM/PfCDad4sQInmpvpee654UeNs/oRtqfcujLxy+P1TjqDZzxQD1BsN3Pvx5tCNgJoUoAdCY9Z9
zZjryFdKd6RyhTubfoAWpKZfHq/nxiQl257WO3RjLhi53r98Q40+RjMPoKv7RNFOy6h/c+Kl8+25
RqwRK/edm2Xj80lRID4h/THpNXc/XOMkHbwW+hdDi+eYP0XyNieqx/m0Soz09HhyG/eYlIKX3w4p
KuK4+9Ei06gjtZGokKpBTUCtnBuQwj3zNHmYVu8GhG1DgiQgodFGvB/FMKHx1jb94lalyXKeOvQE
/nBqM3vyhGrG6CXa/dPstUt1qtsqso+PJ7mxpPBRgeJTEGKK63hmToWFCws95GY0m6PudOll8KLR
H5fot11SaccR/kM9NejBIzF3P9O8m9MY3TBQLY2ozg4p7guq1FpxGMs52bnCfjo+rpYVNJg0Qvsp
qr52UIeUaSv6YuSBUyQIaYhQgyBpL6olfMsSre0npJrf28FJ/sabASMYUxNTRtstN//NsrR54e6t
l6PRwrU71ZmeswOi2IXMlrSVD+maMjIEb5AKHhxvnfe+775pQld/GG6Efn1apeMn10mXZOcMbOxK
hGbpvVPGk8CvVbBkTgNlhEnJgjrx2qPNUTuGblXvXM5boyAxy36kaUa9YrUrTZ4na4pI1C1zya/1
6C4Hz5iXnc23NQrYXKoRRLG84/Js/HJ9zBEuda4h8EQq6v45gcZ16Kp+T6J8b5TVTTw0DDPqXR4k
FjAJY7Ljs2436s5tsXGQuCZAjxHJogCwho4CeYd8CXcjqAtVOYwGRSW6dNXZBL26E5W/vTLAQdBB
o+eMSja1pPtlo+M8dd2SZoEWRkl7IOVoT6FduB+FZhfR0Rgt54wu8NVwsngnk387S4ZFTlWqApjw
Zlf7wiNktNXJzIKlNMvAwuzbN0wxB7Ey7JnUbs1SNhyAdUl3hLWMIq4pBdbaSBwY2KsUl7hLu+Hc
OpMbHfISPvl33RFQbM3CCIN+mqFwPr4ZN8cHyUmJkHodMgv3q5y02UjTmlXua6vEFH6MXsOuV323
s+JrEU/pa9F46hnuVrcz8uYioypDi00ewXVg22NXD71Ujryo2nKoTdX9Bt/OinxXr/f27dvTQRrN
C0Q+TbTCW3k/zXKs86HLIcMmZNs+LMj4GQGN4fJ4Md8GezD5KM5DiQaL/wZykhrlSDe4hHKLrF2J
gt5kFUdo+V2Fb3vD5drEffhiU53Z6yxt1F0ZWu5YBIB/CgHfT7BVo3LojKwIKljTX8KqnV7yPLVV
nCq18nvcW+JD35XOccqs4SkzlCg7ZGVe4WftjtlebrT1aWW6gp2OK+sXqxsvAnKdQgPPKYDWn5u4
cG6xFetHdGDjz7+/4tSdCCpcym68uvfTBoas94MdFwHQ9RzhNU/9MEN69r287j633lCeHbCSO63p
jfKIbOzTBJEkcILf1evUiYYCbxEVQSmq+jzbEZILmjW9H11LOw6O/mNuBu+StT3CiHlXniiM7HWM
tzY0FDOKfBRX0HBbXfeJMoZQ450saKmiX4bGNQ4pwN/T4+XdnKlUoMGNkewT3MT9+mLsEWlqaGXB
5LX5BwPIneer+uSlfq7VsXae5nF+BncSn1w7KSq/rO3xy6KH5R56+W0MzgNKDYgVR3aZfPv+h4T6
2JsDxNigBfS++LXhjN/qDIKl36CBeyq1bO8wb60wNU10vDQQLGzk+xGpVGuN1aV54FbK8mqOjR1M
btXuFKk3D+6vw6z2UjuUpjYQfgSmkRvvUnL8AK1B458Jfc8nrx3bHy7P+tPYAUrAXTq0Gx9PF5Ed
Wl1A7H78vTfnDLucIiex65uNPVFZjYom5HN3nlUGkLdC9EeTaPCOjwfa/Jw0Z4khADu+AXXG6sj1
6fHshabenC3jh2kl3/TB0w+lh2L848E2rmVoJ9gPUbylEb2m1gy9OkVOZqRBNup6+jlTBPS8uofU
/5zZTnjBNqG6qeowXR+PuzFJOHRIicjLAqUk+fe/BH69OZv0ty2E2TuccHyxkDNg2E3JLNGz7kkv
B7FTLdo6rzzkjEU0QQdufTORp4s6aSlT2+VIYd4fm1Fvnl2lV/Asdml7L6oujHNULxH69EWkOkGH
9FF/LsaoNz8/nv9PPMN9egKjlOgNIR4CqTet6q4xe3B3XRo0onQ+TJWZflc8A547ICJxJU1JrEse
K8kL9bm6uXq9k5xIiYejPXXJ526J6U2hT7IT3W19FvqCkNO5vCH6y0Pwy2dBt0TPWJckcEF6v0DR
rY613gpAgFX0HDvDriiSPMJvlgGGgPSqt2HBrAfkDqflg36Nawyln8dhfRTJbD639NEvrWM3xybO
EDaZ9e5gG0p7GEqUHJRI+0ok+vssPmCWdP+gEcjPskb1o50/mCZlqQDDPWHhSWYqxdnqvPmPpnWT
oxjM7ubVWjTsXC0bgSZ4LqSDkOtAPshbXafRiDVEVtCNi6KwOJpLmR9bFxfKk4XnzbPovfdG6vy2
ISUBPNUiQJcOLEjobvefGgRU7TrCowWohmiW1L3z6i3VHr9tI9xhFKlcCjtS1mrvR4k9vfDI7RD2
tBQJxoja86LN4XEu3D0pz62hgLVSeoekA0pmNVQJUAdlVvS1vGWE09X07SKQnPLAbxXC3POY2Top
zEjalgC+Jw+7nxiGrdPQxUoaFCqWoyDEdWQ6U/fqLcm3BbzY7z8KEtdCvwkvPbwL1lskXSozafU0
0LuiudG+d4/laKC90eXZKQ2tbidc31pMPhy6qLT0cExYncsSmZRBVxhPjF0cxGO4nHqkZI4VSN6d
QGpzKEleI3KRXJrVRsy1aVYS1NUDpSCOqhesMLOp0/7scZfaWUX5q+9vG5oSvDcUvLjfYLLef7Su
izwvracsQMyekJhk+aT3UDx37nb5z7wZBgsiAm+ONdny/TAwImw2vs4wLaoFeptmFzIw81R7kYtM
geG+R9StuTgoePqKNplH22zbnYddBrlvfwPiGgT+YP3XLL0p7fGjmAmCLWtgw3CLXyehzM8p3/sw
1t5k+dznlZ8oEQYNc+r89p3GUhNZoOTHSkMKuV8DtY9sFPZcwiV0VXDIttunzO3aU0Tf8jCAaPJF
vcwfeidLzo+Xf/Mjg8Sl7IclMSyH+5F7rcPF0S1Y/SLuTwtq65euNI3f3rWyrC+Ju2xbImC5q395
KSE7lEmD810wxUoIlE5TD2OrOceoa5X/sJSS10afl7ATaPH9UEwUlf++Zqiwr66j4/Tn3ppq31EX
D0LYpJ5Bh45nq++s3yefMUsYfBQAgdS92UWRIUSpGBbhYWQ3M8ivNPy4IHLWHZW2BXX8+1+Oigc9
Qyl7gIPN/USnqM6dDHeVIMRkyvAxM3E/N27f7Qkgvn1vmRWxLuivn5zP1TiJQ+N+SaqUgsDQCjTJ
6uyLK/RFII/hTk+0a0n7+Xl55OemEe6kNW/vO5dXlxiUq2GD8m05SVhUZZYGraoXQZFN07F3rfza
L8begupyr69vAQI5oArYviEQKM/KL7vUMUVe9x6u38uyNNlHafCOl40RLdFRk5KEf/IdlOFqh0IT
AdwTjGfGdNTnowHyzoCPgpKZn7hmHYOZxAFgJpLXT5PVud01X5bur37Sa3xHhlogtDiHNoHzPCVX
VRVG6C+zGRs799oGkYPlI6lHmJjiBkt4PyVs3bSmEyINYgBZ75qobs54k4wHpVTjc60U8QE5m/aQ
oPTw4lojAkswaf51+xh4n4b2/O9vWbr9qGdDY6AMJz/ALwuc9skQWRaqpYAW+9dpEcrBKQpn57LZ
utLkJQqwVYYb6xIdmrdx2bsgH4qsETfLaZUrUmTuXiFha2fClsLgmY0JrnQ1mUW4otJspJDrVrOP
sZrYh66H/+nlkbND734bPlHthxiG6Ba4D/gZ9+vGTTlCc0GoOF7q/gUNdu2Wm5Q2JzbicTHc+b+8
yTSz+Q/PMku5ijKGbELlD4U/usuG+g1JoVmceqcU5lOuOaWGjfxoNX6OL1Tue2VWIVg4lO47Neth
RT3eM1vLTK9NKoUShbwF8/dJpLgziuExlKOja7ZhEKeec06xuduZ9uZQ0J3o7zEiEnn3y2wCRIFw
Bka4gggujhpWtNrLiPLWAaMVWsWPJ7b1UcGxU3IDBcMVu9o/MTYmqoOGURD1kl4FPuopSoEreElo
fgfRuYcV3kjpQZwRK4CVlPXUtdKrXqPZTWkOl5pw1HMft5L8yehNs76i47lkh7GioIDUUvR5LuO0
OeF6HV2zqTb2ajYb6wwazWIfe/QL7PU922Fijnu0RTI1LtOh0BbcX0AhpFdRjs3vvx9U6mUtnVof
IkurnaznA58a35gArLR+tb20PXkOFL1Mg9Ly+INu3Dv0hEkCIGVY5B+roaKxNWOoimyfalEvRdHV
51AN98gtG/Av6EQohLgcSyl7tHqPjXmCugwbI7DRBTV9rMSm73hAaX+DjXJfDa2s8IEYQ718GipR
I5doNPr0j71wak7Igddfqta2sy9jnY4ZRKRCFwiN6mN9TUE/Cj8l0W197DIyif5xnZM519irPl6q
rR2APo2siUqKxlrp2KxKrjt0nAPFNrKD1biaj4hzds3s3No51BvHDOk2Voronu29/iqFSAyhj0ke
VMhZv2jK0LsHiqH112RQprNhhrO2c7A3J0dmTcOC8ifpxP01EvcLgh8Fwa5uqfPLgEv7pVGiHprF
4O1E7xuxmdTJx8qGmJOMd/Uw1HO1COiB9IncKHmvlF56W9rMri4yS32BekdVbkmbcw1Tcw8fvLXd
6WsiXAskiWL6amx0qcB5FIydIAVywmfLPfUWLta/v1OkrQyPORcl0Iv7xawMoYW97Ld5TdHYPhgo
C/VhJf2fvZjp5fFYW1uF5AT0Ctwxm2jpfiwNaVlU1fscNzU7PSV6XD9NSvSx1kV1LB133JEX2hoO
92bcTkjmSY7k3/8SDY3oF9UjWLygBDt37Hhn/ogGyN2KKbJLYVh7La6tfSmtfiFV0IWgrns/Ho0e
3iFk9oIodj4uYTfc+JMvnl7t6edt7QxZ7KFkRipLZns/EDkZiiwAugI1FOGTVovmlEbFXsN5czpk
ijRVKMhx2O5HAaM9DKZLTamfI+eAXTSSSbVn+guOil8ebwy5yVaJgewVgVXgsQC2u7pyM1EBpKrz
LHDbfjkr3Ir0yGL3XaksxaXruuyWN6G60xzcXEWPt4vSP7fk+myXgP2aJsq4RhpCZCsi51Db+sfj
mW3tQWDRPJG0DKRm4/0iThC+Wh3ibWBEAphO3fqoSM/naBbNUdHKnXXcGW3dBDSbsgPYgs6yqBLr
uc6Lf9Imy973HLxDjU7k6fHktnYI9RTa2FKqiBzofnKePkPOKKMsmAVkhQFIwkGJ4bBGVa8dHw+1
OTMMSwAY6VKZRf6UX84yvrkL+shsRlNRvHNi6PlV76L+kKSJemrjSZwfj7e1OWDmUz8ECUoxfPXd
DH3xnNKlyoF/bH5Gp6kOQinS/HiUrQWkHM07hQCS9AS+n1VtdlXhDRUqcq7wThZc3tNMWfAaDXr7
H74VXQ3qjfy39ibjcKnP5qPNZRilenKuwiQ2jsq0TCe0pEWxM9jW10K2h20BNBKO7uqir6LFaSOj
yAMlVgUN6Hg8JA4a0er/cXYeO3Ib7Rq+IgLMYcvOPUGjLGtDSPIv5ljMV3+e0uJAzSGaGBsCvDCs
6mKlL7xhpnXnlGILobJ2f1ChAcKAJRlhyGJ3gEqBvlLwiE1eXnxu8lb46NfGx7gS6mcVw86DHitb
CNeVQQkTJZqWhrvsnN0uHvswb1JZlKa4Iq5lhn6xn7V2u5vsNtzZSo4TXNeIb/e3zOqo9KGkvhQ1
sCX5UXF0bEicObmKAjvCmMz5lNGPOeI54zw4nVbgvlRqb9+ngH9gQ1C54Z/lU1D13txXScOgk0if
u2KOPiRanO5zfTQ3wGQrR4J8n5eANJG3508X/q+DrjuR6fUBPnejE2nuMbCz+l2YcogupU1Ks5FS
rGxU7hNEs6CewZRYsslHDE0yIwrIw9PM+V5HdXDqu1qcrHhQhE+/ddh4dNaWj0yb1AwdAbRAF48q
H3Eu+h4bRrh1yi6OsVPRTWR2jUjvjwVI+p2p4iN4f8/IwGPxvBKPUkGRhn2kqItB9drtehtb9Wtd
aNWLo43PpK/2MXbwznSiOj5NYTGeRmygPt0feG0x5R0q1fkIMpd9G61ouhRgCsVF5MGSHRYU9PPz
ASpUb9vBf1hLdNgxOYaMRVQkv8JfOweYQBDZlImunRPm3XHqQvNDZVQRNbASWtZLBLLZ3XiWVp4J
GtOAH5FO/6PncjsmtrC49bgulDrZ17C9Intyw00A3toocEtkdRhENJ2E21ESu4Za1VL3rnOr2qeT
LDdWfbFxaa8AXKCxUQJCRgvrLGa0GCbMhgr55/TaG6L0/BblkJ9eXSkvDacw2aVIXxS+wH8NiYcu
NvdhaFrRfo7BnMBmbTcKC+s/B/1pvBQILajK3f4cLt4yB+BIdGGA+gj7Mt8VGJ4/anNhf620svpW
oBKOJYqSnzN6XPsurduncER18v4uXivywtAgjabgSSVpGZ5G3phxcDWy6Sy1mh2xdn5ug97ezUNp
lHyozLuG6TR/7pshPE+lNb1DMVl9ipopdjG/ad9OmJUVLYegnIYvkeUiOsHC156Lkjpvk0a/MtRr
yNsS4aPcqp+GRKk37o8/JY/lBSJ7PZSSuCcBgd4uheCdL8OMDajiFjAe5tCh4WPPdp4f5rrEnqKP
s2i4jkZaalAdB/tDYrURrGGLWv5udCrtq6aFKKy77vBbHaIMKwOh9+0Ow3bxlFZBmEENRQ7Zb7DG
c079PIbvY21sTdzm2+ohKNNZ9cs2CRPYI6L8ZjalNp2I3DBgoL/W/qAoXUdHSurNF3wWY9Mv6J1E
+ynzYvdcWPYU73MtLF+aPIebN0XI7X6lCEcoCf18PsxtZ4bnsS5D7auut9MnTBTFVhN07RizlwG1
Eu7R+V2sGopP4Hosm+hcS+YPllOn7yIgFhvX4Mqdi44IVquUcul/LEW1EEOxp3AyULm04+EgDPfX
JKL2SNZRbTzVK88K1TEpgufggPcKoBKmZe8gZQH3NM8QqjGjMhkvuSuyZxWxi8oXUV4A1qnxI5m0
JDY2QvS14WV7DjA24pBEmrebMpzdSmQUfq4K9Ws61+CEklqURw3jjDNKefapwU3hoEdgZ+9fCGuf
GFUNeRNw+vBruh25C0NtmrKcdoGaTofEUdx95ATpqWzacuNSlnticfJAe1M2gFGIVtgyf0RaJ1Nj
MYTXdBbtVVXb5izcPN/lIhw/QaMp2OjmdHIiHB19usNvJ2tSyqC4yzVDMYug83aqmGEMmJWrMG77
9AAxaD7O7Qy9qRXxnpXd+LAr0RHdQYR9ZDJJmrcYDY/3ElXMJrgUiYc+lmL1jy6+ILtGbaZ9SsP5
EA1q+On+aq7sI6l9hnQkNSnEDharSaElxVQ8gV6IqMjzHM/iBNquOGZKlfwvqejG4BgVcelp4cbi
rkyX2gBFN4o4JC1LHcko0OqmGOhw6VVUXhsNrTt9jLr3lD5Q2ujDBm3VdAtgv7KjCOL/fGT6Pa8I
O3WGJU/nwabMu7A6eHOm7lNEt7/WupEd4zmrTmNY9DvhgPjqx7L75/7XXjk7xKEOepJQoaTux+2G
Kp0+SaGR4hrrpCohaIEr2BxKk+1h635auW8Bdao0Q7mcSNIWQ1X5OLnelMomW1+GPm6x/b7MinGj
zLg+DHUVdixP41KsIxGzS/QBaNAa5iL38ynMfxRRueUrIX/t4iZgNhxpGs6I+iwhNKGUveFVwicx
8qynyq29UywM3Re2Z+3LYd7q1q9O6886AU2geioX8q9w2hiwoPIKwumiVapr4rbZxzHrt7ot66Mw
JRJaaqZLoa06VDs1xXLhKoSFQ0E4qRZsDBo0b38V6U+4UvpCKmMuZ+MkcOEBAEVXYzDb0O+1ksyr
dASs50EBDn9/k6/NCjC6DJlAyYFovP12UanpSV4DVcuKXPGbCpx21GwKF65dXFIGDVw2HQJniR+z
2w7iPsCfqxkayjNnytkniMU9zm4qfOGMzp5rpdhp2vh20W5615QWJPwPiZjlqzArHqyyFLSmNtPC
nEo12yWz0r2HX/jt/pdcuy4ssh5Ol6x3LOWL2QrGSMwWXzHZ7f8praJmZrH4NAKe3li0tQPGbcHZ
4qVlN8pF/WvDJ15vuHGLbTCOqPQjGu/a6lm2s4v5Sxu1X+/Pa3UwSipYdZJq87DfDgZf31WM1Iyu
Qxe2T54VR37eqe6xwgH6MPItLvfHW9mRMmKhcEoxH7cY+Sr8Nbl4NvVsMEoUb/JkOoJ8nC4ztNP9
/VFWVouPBwmDawo20dJ4JG6zYZy0Mbp2OvL0o8CLxqYr+NiJYQs8ubL5ESa2qapzwmDt67cTslWc
ezBVia5mnnnmNVHTLNnbc9ecS1fxLL+k2Hlq2KRfvHq2N678tXmyFzl1dC2gcy8y5cIotcjB5ec6
DlmT7oMh1z4GyZBUezXSp+P9j7qWCJM1wGGi20k/f1nYULIwKOzaLq4Z63vQJiPYp+qY+YnTKsfe
0YNzrHmfpPKxr1iFt6spuO7dLt04iitbllUl/ZK1DrbQYsuiXV8HTdLn10wvw0uBsM5uBCJ+tHKP
BKpPtgKVlRUGL4mgKIx3WURebFldLRWzJkC4DsaoNnvHjaNv6qjoYu9owUT4EtvvRBrF+0mHyHX/
m68cF4n5kwk2kSE6qre7q3YHHvPAzK8iB/HHAgfWC0FhuyXJtBIBQodzEL0C2cwDuJxjPreWAp/z
mg19iNxxD4kWcPyhEGD+aoTNd6IR+fk/TI5wiGyeh5TQ6HZyYVIhr9ZoxdUMVPGQm01+aYak3sgO
16Ym9Q+5tuG+8ULdjgL806xSZSqu9IisX6Kf9XOgOek/XiVrJn2IMtS+G9ItqPjayiFhTGwJsorh
F0cTdjcQwyAqqI+n3SFtnBgNT33YAIytXAAgNgnaZVGV4ubiEwaUwOEjZeVVNapS9QHyGP80iSh7
vC9Dapz3F2zlJCDiw8mjSk1EYchP/dflXbdEaL0SFFc36PVw7/RGhBeoavffhKdFxd4xwDbuMHXt
NPCR01hap/s/YGW6HrEnOh5gqQzy0NsfoAug0wh50s8J0T9VQ3c6OkZmnknk1I2h1m47dgyCPYCm
gfks8SRmoKXsUJex5hH+ydyZqeqDSmt+iMhL8LCrrWo+91xRaG0kaSu5FbqbUMhuQ81XIH4HG59/
5eIDR2XxnCHVBr56cfEpIOZtSjcZMVxd7S00SR9xJ+wwJJNe5ZCyNy6fFTYWtkHwgyXdgcrnqwvf
ykL4xyA/Oi9on0ViWy/E/LV7xL51IkaI9HH2qYV67lEgHW1fjcxuPtpVjYb90Dp6cpm82nwA8o4q
5tt3AghsYNhQ9Pj3YifkeuEUdullV7t0i0M0Koi0akidZGJUNnQh1zYdqirYQsrGORy5202n6G42
EmegYGDEv63A9B7dpuuPBgXBz2+fFIXmPygbbuLlnTFC0Ali3cquFALK/aTGMVkVOnW5Pjkbecga
SBD8CzwIfNkkn36RGiRKb01RXOfXNguS70PRzO/bIZsDf0i99KINnnmymzq3fTPJEepxS+swtJRU
N/b0649L2gD/Hc0Gnjje9duPm2iF4iWlkV9rQxvMXRFnXboH5SbhbJPebKmNrg2nSbqQTPPwjVk8
BmXa9a4agfx25HVZplP2ZbLtH3MRGW9+3NBt49onDpWWiMtEr+c3FAEi9lcdEy4uyWC+1GW2ReqW
n+c2GWcULL5krwTg21LaF+DlYPRuTG8CGd/P7BP1XCLB8B39CDPcqZHdHXoVrfqNVXt9E9HApw1E
TwnECpCt21VLeauTOsH0Plbt+nl2iuTdIErxbE9mHZ56I9b04/2j8fo5ZUSbzJlaJ338pWmGUzYk
ZpZJuSYOrT01gXyvVI62cemvfU4IUBAuZWmcmvLtvIySy07QsL+KOgvPTVlqhynv3OcYe7YjpdH2
o1QFfftRpHHPRvmT8PFJF0cxiklQtJksNk4K3U8Djt7sdZguo0TwsUEg9/dAv/SidU12RMsw9Cu4
3cXGkv6RWFhuJcJplBFM4gj6wrdzl4BXcKisaZLGWbNLoXU/1vmQT/5s1IIGbRritBQ6iP4cE07P
J7zI8vBnE5YRkHFdfO1tfOHVts2bfWvXvXFyHRHKrLydbX+OSlPzEX0zaImM1NiObutZB5w3KnFS
UDE8VMI1s3MYIbFz1MYZvIanxaWDglWVmH6IQKyysdpre4qLneTpT/tqySCqXHNgG9C9ouSdn4LI
Cx6I07YqPjJ0Xn5XCcbmveYLkjfdfldALZOGa0ZyrRRl6k5TbHpnhdjhU6gntnfU215VoeZH2QfQ
xnG30zHuenn74UESm8qybkACXZazkTkM21yPIEoEfXgxDEXbD8gMb7yTa5eC5BBAZ5XMtmVzruMj
dy2ORFfdDefdlI/dS9roKMmH4c8kA+Fzf1JrVzn1EXYr5S2q9PIs/xWMFkjbkBLDlVA17nOlMQxs
iCL30tqavXE21q4F0IDyXPA2v6KzAJ02OHEOOPYoq/adZ4GnR8V1PsSOHUl96jY8z8XUfbk/w5V+
LxNkf0JtIQCjwHU7xW5SqkEtqS2EVj0GOxd00W4cA/UxBOX728pFQ+fSnLSTRdfX80mLzeBQz7P7
DrsyhT5MEbq/7v+mtTMjExpZOSfhWDYpchQj3Wbqo6sYYuNnGrrFi9lHzsYHX1lbCDCkoeBKUQhe
Pp6Kq0BLaeLo6lptcHUGtGk8vZ+e7EbdMhtYmRBKXhITiUCVBKbcfmMEqwnwFJATY+l90rrMfsoQ
dd/IQdfmA5qUPBAmNo0A/XaQ0Mj0Nm2N+AqXqN0TAtIA0Of6weoHdeOhXDmFGooHLs0cQlWShduh
9CitplpCXcxB1dCjn4d3Q6tHT8486z8KFeD//Q2xPh7ZtVwp6vNy6n8dw94pdGV2eJiVDBnFOLa/
FfAIzj2lyneo/7obj+XaciGNRjGbnA4a7WK5lMrr0ceI0K9r1I5GuTYewmRuN0ZZWy/Y5LK4JA0+
lijPOpw1UcK6vI5ThhhtZ1f7UtG1HUywaiODf51TSzMwgkQppSira7ffr0SxEQcTmvFRY02/UtQo
dx1v3Xnssm5XKW7y6OA19UJPcMuna2WSkL7Z9Yg2S32Hxe1iTe4MARrNMmz/esMfAQygz+dV6bMZ
Ft7WOVvZJ3T5KPLIwiHxxeK6thtjQphZsgjUKT5iAlG2u84EvlGkQmn8pjD1DdWOla2iU5QlZaO/
J+2Zb79sahhzMcZVfp0jpdzZfWGcpGPN4f7+X/uK3B9w1uQ3hLlwO4qtWJAQ5zi/NsKkoB1GBMWo
VuwA6G8JYqwNBXCOUBHdLhqJi0+IIFbn4VOaXxHomn/06hQGO/pv9rcYUt6/96e18uTpFghdCzE7
WZxbxKQ9gZmZWPitlvqQPWnjMDW7IBf6xzjQ48Ifda1EUbXMTv9lWOJ8GEOgL5eJRSe5ydUEgLZx
x6LzOy6Wyu+jzCLFNxVr16A0fZ3QAtryGFz7tlwqUipKOvMt6ScT5I3+D3toGDt7H2Oq+KkwME7N
R1X/cH+Oa0NBPpRldEk/XBYkldTSxzR3eAzawkLXBXl636nM7JAPBsij+4OtXS+UWHnY4PxJsOft
9hxaBG9zGzcPdbDsryIbNR07KOFc7KyxLslcGWcN0tBTUiTmFgt4baKYo0udDAoN1OtuxzaBzE5m
S0ZhubBdytqcD2od18c4dsONs752u/w11LIFmXVDFlajRpPYzZNjkbjiOPB+/J6NGMeiOgre3lml
EirZQ8BSTMTNF5enoYi6igs8DDpt+B2bffCYiXgrQeFv4xMtkgcppEIyCpaKy3qxfMiNxHQVQPgE
VWSZn3Kw53PpQ2BXIOJ2unrM5lg4fhDoabtDssbqMBDytGtYB1niW0ZR5DtH65TpZNeuXe2m0FLf
i14YXx2Rh44PpSZpcCPIR2uvmpmwX6Y5bX6nMJMSPBgb71OYWkVx9mxEHU6GW4M9EVFRCl9Bzvua
aRp+8F6eBuouKsbht60WLv4tpat+0+zC0/ch+Mj3fT8EH9LensVhoHJX7W191ErfS8L+URk90R5r
LzG+uYUy9nsz7cJ6V2TGnO8zJAO8vbDqvvPx4FUU3FXn+XnUjcq+VEMHyH1QwNrvPHitvyxBcvUh
gEbHnRHYqXbSq0ZoFJJmqrg9WnS7KS7TbNcGijP6k9XSgZ/BKuKrOOWFeIZphFFxnbkZzkFNOf7M
USJEBZtCD2iUIhy/jOGYfuaWcuZ3wnNoQ/mA/DPrX1QoR4QghBb9I5I6Hi55ZXqnvIcsclGwJAoP
RLRasjNS1c0OgZql9kHNQxMPCjPUDe612FB2pZHEzzPwgGyPKZX4H7fHaD/o2Rjrh1BRGuUxHZKi
/5xMBPr72TXz4mUua/GxSmr7Cd29MPdnexibl8muosrPGnv+5lqp92uw5+nojWDo/C4G1H9WNLtx
ToVa50gfDn3/3KWFnj4NYugHH8IpCGVyq4HUPrfScD/nfS+QEBjM+axirRf6ocqrd0Da38n22tSZ
za4abIwRK0pS4pyqvZb7YVbV5r5pvfihmAbR+ZBAvW+UAwd3146F9bn2LFH4MnB2n3RlGK5WpQ0Z
msOUgHYqD8147qNyqv1Cc3MzxhxF5JrfUtisYfhUQ7vPwETVFy2N7HpX8VjUvtuH7b+1if6fH2QK
4ne9QYN5J/CfVx8AZ1tfOiWIwGJaSbHLugK1RTulJe1PePuFLz0JFRagrl0rX4qx0e1dCJ/6qlRi
/mgkCOO/FHgLzz5RW9KzKb2pv4xx3XzuJ2G1vlm1xteq1mftiAKrXf7G0VLPdzpWHJt1o1f3K7Vv
W3dpiPBiYa61CB11W7FL5BRpMSVZMuxlXv8wNZ74OZuF+z87MtlSau6mul9Quf2pVC4PWoBiUvAw
mZWB958SYlvX9TWoSTUoVPobA0Ho/Rdo9Veie0mKBaufkuHtK4CkZh3UUYf0JZ6eV+4e7aIkqrYD
TJ29Pc3iAUfRFAgdKLZlQWdMRjFnQ40GdO2V78donC6aHgzkWs2Wp9qrWcEqkr0HAlniS8ixt7OC
Ql2EngppLxi6Yp8X4exT/7KOuhJs+VKtxLF8PqzMKNIjeLOkc8bRXIrOLejI1kP9r7Tn+qV1NJre
uEySJsVJo2OJ+Bmp3O2EwhjRsySE+jgaPSetmcfE27luYv2QUrDz28MSQ0rVSwU0fCqWo5ltZUxe
QdaTwqZ/9GJjOPVA38eTbYxEmrUXjxezL7RDqWrj1sFZWztSSOpAJCQohC7OTVEDjwNVkVwtgVdk
3pqN6uuMeymUtn27sq33x4dD+mfR01lq8xd2rLbRTPlP1+Dlpzq3ituOJ4HnyMY3XQnZZa1E1olo
0dIgvV3BKh3D1GlgZFldbryAxg8+ebXn/sqpV32shfZvM1bTxpivPqVkYhl0SPmaDiXORYgnUndw
aqhEmHNN8U5IGHwVK8lhUqyf9/fnqzIqh429AsSGg0c7d5H4l5muttPo5tcozHpegtHL33N72WAO
vaT9VvWVd+pSUfIUT+OXLOsnY3//F7yKxfgFYDFc2sGSzb3cs3iMTiYGq/yCoCl2eNfzdIl5MPZZ
5f3oQ8c4uO6Y7YKg2CJrvYpu5UUDX4pSBNBpvvjtypZaHA1hzRU6qcF4UIwiP2RV1Z+s1Jkf9dia
too6fwpSN3GnHJFuPh05WmWvAFRY5kzAcx06kfoc9L4+QCXHGXqwwr1ptA0PZFC7pU/oInmVdVFn
12FKmu96mpTvVbygPulWbE77eYK5eO475LT9IrZEdDa82vmcC2EPuEZU6XdQAtk/mR6AWZpGHopD
r5fafBhqY/5VjAramlUfAGrQ417LcOBrGv0LJ6lrfQCvY/++iSjaHRwBrZQuGwx7n/jHpr4GOu+f
Ogyt0ScvcOIdRqWJ53MG+tYPS6xinunAph8b5JkCX5vc4ev97fLq2uYTIgwBXl0WS+nQ3S5aoCo1
/qjI61eAv3YmocjZRYJxY1OujiIJrtLSATXvxQFUnQQTLTXLr2rW6tyesfLU5PWWiORrMASToTWD
OAuFN+tVlTRGZdjOwJJeZyeIT1kWDAcCH3U/xknH+mvBLsp0810UtzFmddb8PWoc4x2SWVvSPa8u
OflDKEoQAqLg9QoQZQ+BVDIElRGn5nTAyYgnRBH0plVj3Keuwp7kyt2IK9ZOPlU6GBb8gUG4uFnL
SfVmCQKhGBIW/wutvL8kSug6PommcwzM0vwORSx5CpDt3qIUr9yw8oszae4cLp/FNmJrVRyyqrja
3TQ8NGrWgzMLcFjrvX6jTbQ6FIBuVHQYjZ7k7Y5NlIq8T0KWEI12qXUqIfwK5ALGdHaP9w/HyjIS
EKro5/FYQTqQ2/qvqjHpRGhMKPVcJ+GVp8lMq2uVOvZBo9+4q+qofFCdoNgYdGV+oLF09g0tFRBE
+u2gjVHbhOhzfkUSu/1uYGx5ipsO6l6sz84Wou4P9GpxhaL3QXgum2GgoheXNhU0UomeTdOQP/pN
b2kXu2lynysBzeJ4UvGSKZJDk3bu74G+2b6KwdqltirOCcS2k1LM1oVyWCvFIWc/qNUtHaOVJ9Wl
GkvYx9NNc3Kx3j2aQdo48qzElgOUKeoEHt56PiUPWKOVn3AOEt9mcMPHMUUdCr2NbDrf3wYrDxuO
k7hfcqZgYiyDo9oF7tKQc19nPbUf1M56wcICIcwhh9+DB8pGtLI2nKQs8HZTRuUVv90AlV0XM23n
/Fq5mvLZLQXSA1aO0GfVZ4fZmdpxY8DXKBvpfCdh1dKqQ0q63Y4o+qrwsrwFqxrY1TM4ovCQt1WE
7pKVJv9gXzQcs7qtnJ1ReNOnoE36C/zD8tf9z7y28VlkQl6ExeE/Lx4JfVSyJjcB2eS2iB9yGInI
5Pa13yp5vPEerX5iyUij3kjCsgSv55k612465FcXf6aDE8beCcWU7OxVofPQzo3zz9unRpEf0AK+
IHzmxfWoR2M1DHYHJTaMxHdGsmbYsIn52ep7CJb3B1ubnKxFAJqSUoDL7So9q0P8rshi57w+pVo6
n7Rar08lEJld54zRf5ichCeAvZP4syVHKdOK1AlmvBQqTsppDooPvTeOh9i0zS/3Z7a2Q/4eafEZ
QZVo4Uw4dG3puO6BhaUUwCjAYUO7VTldHQoxKfyy5dlYamToEGwiTyPRnERV+mU0lE+ZaDGeGuPo
83+YlYmkIGVRSvrL0sNEawhPX9BRiVq019jhsO9LNx2pDevURu4PthKJ/ZFnpX1AEsZ2vD3qKTUz
lXJRcu2isNsNrjE9RJU7b4Qia18PrC8fD4qXNCO8HWUQdmy2QFORhZ6Nz8kcpYexteZjNYut3O41
/JPLi3eLsg2pK1f0YkZBhyRjEYG2Nb1WDw+JHtgj1dHEPPYJjHIgQm4O5VqB6OuXhdd0p7LMUahN
U3w7cUnKc5/2cHcheHpzTUT+NBk6yFuc4pc8qX/FD33mkeTWdBNFmKGZFDn1FZTNFrpuJe5jk8Jy
I90kc1/qCuExbidjjVkaBG+UaFUR+aY7iYvV29Ehcqkhx3UvTpglbV2ja8ssYf8gCOFPc2nfzi+3
MxBQPLhIhiUxHBJ1OkN0SXfZmJbHt+9bBJTBB8EA4JFafEphj1hkyVUm9Ic/PLUoffbOFvBy9SUk
e5Vwf3jE6lLFmE5zNAoHH7A48LpDIpKZaq4afZyMOTlS4qRdgXpTezDSmfLB0Ak8mZ1ygy+ztqA0
awh2yGFY1cVz3PRhUgQ63YACuPTDYNd0M2xHecnj8ucQjOoPD7G27z29h42XY+1yQGxOBh0SgbU0
dNAD11YMr8quo9rbT047xF8lD3jj8V2bnnyXeG6oyLxS38f7QS/SKgfTazfdpzoM3s30ERBAFCrq
D9p8AlMz+t6YbhnFr21XieE1sL6RXbHFd21NjHbcFlEnK7fUp1yb8soPPKc1fTBK+s/7G1ZuyGVg
DQvnj/UyqeDS6NpuhDurOYPxY6DTGvFQnchqAmLkJjJPRQAaf2P5VodEJgcHJ+oV2PfeHseoykKU
OLluaCqZH2pN+TcdM+83Pl0R6W/XNxvtzLXtgiHx/4+3CNiaKNB7T7bB20zrM7/Q2+mnN+v/oXgA
1BWqOUh6NueSu0YJHUZjZIAAKUvlSamhKJOqvT2IgajB6wsiSXIXFnNRnbThOBOh4Rz83bBSrH7d
zt4BeCzf/jbiIEaZgp0vdSr121VSA7MxkhZZx67Lyy9t6VIjKko4eNlk/4d3GGkA8Ed45roMJVfw
7weInrrRZZS9XLQIPlZOar2LkirYO2PvnO/v97Wrk7HwgZMVD4mCvh0LTX+V5i96jn2k9/0ZmSbK
cJOS2Hs7zmxtr9h2rPlW0dm6HzVtU/gxhk/ZPsfNbaunv1YJQoRB1iNlDZTq1u2PwXCjUGyBpJol
zA7ayaR3v/O0Kn82al09jokWHLVM1JD3MVg7gBfrL7pRdJo/gMDbuO9Wrh2PBBagCDVoGZjf/pZJ
NJWraMTHuh2FX7tm0nbWUDbXLAunw/1F2BpqsYtL7JD72QMsFeF0uiu7rt6jWJU/K0a+lTSu1Eag
DDhIT5BmA75ZLLcwMA0WMhaPUg3ckgM1YYyS+OKNbXqqAa2dp2gLP/H6wgG9BPpbltfpiSyDgFGP
6zYpGmrbY4A9WxBan0gZ1S05YLkgt1c3w4DrJIXizPAY3i5YatJwmSIgWbbSJv+2Sd0FO6dVrZMb
jNSXEcG8WBbl+9jFnfDNdzhjI50kG5GEIcuSkxGFjjV7lDD73p0OcRgbT2JQin2gFPZjLMSWbsHr
N0OiwmgxQVbAN2rJbNHTujR4c6muRJXmi0oLnvQhSp91o7fBT2GPc3+Hri0hOC3ps4oMEmzR229b
2KPXihparAh652OnaOlzq2r1xiivzwFYWSTjZH9VJviLOzY2KSHYaDBcBzKOX0j1Bse0i8YnQ003
FOpWR6KsDa2DZIf843Y+ZhBF+aQXrJfVqi+hPqUQzqbpmNbRFs5m7dMhoPP/Qy0mBWwELrMBhq/E
K+kixlF7jMdqC7q6tiEgy8hWmTR5W4JKk46Yl5gfheOpanfFoDiJj51E+BDbnTgJ/p/393fE64uE
co8NABI5bILPJabNFoYWDPAjr41Wj74dOUBskEw4B23aRL7TSrRDJbyt++vPRJan3JTqIDDY6A0u
TZJHMreOPCW/DsnUggtxiJz8FrdwbdePUfGpqlON21MFhWIE3TUdO+UR1DpWUThEfoVKbf9AVzVt
aPLlSY6iUtBv7K3XyHr4t9B8SOqIIGX4c7u5XD21cPYzac6AA/mAglR6HJo++ISUWP+IkfR8Bt6F
tXVWlH6du6qPTLOxC3vhPmWlE20cqj+qB8svxu9Ak5o66OvCpKWChIrbHoo53P3C7+w8QN4tNczr
kA9u43eRVcR73A/z6agMZVXu3RHZTz/WjMzdAWkyc98NGtvdQd/GjnrAOip4N8xa1OxK3R4n38ln
cFdx5FLUH9tGVzemIG+X5Qy45gCL4gosNbVvP2hUu1EZe3Z+9agSHEzqRscORaGd07nNkx6g5kOv
5kcfoRICl2tLv3blaFnUAWgHSWwssNXb0THm9TBR1yEm943yblD79qhZmXVqyonWm+tuSTz+Ie0s
pmuRmFM3p5FAT2GxfzhXShGGGNUUWNhdcmqChyA0HxEGPYwUSE5e6s4PcLPrYzfNw0MhXA1noh6a
5U6t9eSlq9TmYxS4W8D1V8tAkRncLpggyfN5xcEpCxs7eTqaF/xmv9WNmb9Afbdl69U6N1WTvzPm
BkiYOmcSnGVd3njhUD2g9kWXHGyrBHvfLkNV9jZGIaN98RRIYSUgsnf0j/onPuN4zHXsSCmgbrGi
/ySXN2tBlZkaCdwDKXkOHOF21NH1ZjdRE+/imQgPPnLLw1YTQ2qmD6Y1el8QnXavxpx1sW83bv3S
8/FtH3P7JNqnyO29Y1+pyjnwJrqHc5CGHwt287Nqo446m2J+4CnXt+LoVzuWH43i9x96DxjGJbuc
YvU4ZqXiXvo6+prg6XYynTA9Ci6rXSvMeiN8XRmO8icwXNIImvpLQW58+EQQAZu+oNc4fggcIXZ0
iXEJn0Llp1s3n966EWBLUbWWmmIUy5e9b9cJ1d7EEfZSGoVBUysNukej178pWWC+5GhXnoGFtqf7
g74KGBAkAFAkwy1Ax8ghL/ZBXtW9NIi4AGOaLq5ZuztzQhdvGJDluz+U3MiLLUcCxJWDtCEU6qXk
X9+VYxiIkS1no0C3d1F9DM8m6Ix/74/zetlMInIgxjzhUhFuEQP1FqeJepVzqYfM3SeACC5OB3Ao
mOP42Fa1trFNXl8fklEvOeFUBQARLe7RVh/cOteFe7G6sHnvpWV7rgFVnEOrKq/a6PW+4pTlszui
eD4Z+VYJ/VXAglcUuQfXAf0OUl25wn8l1bWZeercas4lN9TgHVIL2T+0LjtGtQrrO5J8vNKeU4f7
+1/59cb5owxCdw5OG1VQ+bP+GrZrWrTjIVxcIkeZT3hJAaIGYnIkl0g2Ns7KgkLXpmSgSjotmILb
ocI8RA3U6BWOvfoZtLZ+GWLVORJEFfu+GrMv92e2MhwlA8681IsFN7T4oKiI5iV9M46E3Qy5D/tL
/DO4afw8ljly/MP0ZqQSy2ZS5AGohPUQceft/CYBn46SgHdxh8L9qNSV6idosX4Dg06HR2t+35/f
yoZBlgE9Z1JlMAvLZ7jDCpikVfMugUyvBsinz1Paae8Mxan9xtO6y6wa3fH+oK+SWDlHrjc2imRs
LxNJOClAVObGu7S56YWnEJ+zyvdyCf2YQRqllxINiu9WVmg/yrxpt8yBX989DC9LMOhNkUrb8r//
tVtREe0G2+Yqb5j0cXKN9BwwyY1a2tooUrRQgmlB/ZiLneMmhtEFretd6qY2v9aoX17LONwqQK6c
PNlX4gYFJ0UnZzlKY5ohVXikziZPHGqvAs0XGKpPcr714K5M6GYoeVT++mx5KMbQUyCuOnFB1V8R
+qGr0q1IfnUUk71P3sXqLEuQYcm2N8P/4+y8euNG0jX8iwgwh1uS3S21LMuW4/iGsMeeYs6hyF9/
HvrmuClChHexwA4GWFUXK33hDWjBOv3ShNow6/fG4Ebh6ztwd5SVewKTFHmdbTlaxrU3KRrSmcje
LveazADOi+XIU3BvcQCsqiBK1whl24PShKYVTYvQo5GWn5c+yi9FqyVB49jTQfLAE8PXv31Qidx1
bg0I3bSFX+pPNZMuE1yKu8l1npyqEV9HQ7GftEWNU38wMtSFkjIxpT9VBQJrYEP0/HM5WnDMo3Gw
r9UcxyCGzSm5Q9QD3wWT6uRTrOTpf5kuIIRwpAESr7Sy7DGxUQ4L43RQ/1Wr2B58eBv6s9M7wDdL
6nsxwK7RfIzdIp/9wqSO6meEtPgmK7h8OOB5k8Drk1E/51rf6B+5eAs6LOjwjCdUyB0CzbxQ07Bq
8AgM8FqlTTo7lf3OXrJS9edacfKTMpm8bN6guT9NN1NrqAyC9yZrpfnOnQdktDuxeIsfT80yvyXI
tR6srkUtcpSu+r2SXvpfHBvOexi/IiLjw6jGt/E/+WW2efmc58jNXUpu/yc0i6IqnGwHDKY6KJkR
jHi/fEmVsvrWjUPhBZNlFW6Yj3U0+cvsxB8zF5pN2MPFOxmROw130SDtRxziy/G9vbjGh9ryJJl5
Fxlf0x5WBnVnYwXvxJlymgZDCt9GiFE5Z1rSvCnk1CXBlCnZtwTFquSuRPdL+k6ntd4ZP+q4DFxP
aQCS4kFqwYiR6I0NutU8YXGmNWEke70GQVk05v3SieLngkP8lwqN+AYTxhjSi5IsQ+NbXe/avp3F
oxLCMXOGIK34j+8qVv2E1bCShU0EgTi0id1UVspWqEv0vMJv5xYwVDg5s/HgFI5sHxVwUN37Thjq
r7JaNCPIGsRs/bFpluadHmXZJbUrjDYE4C/FB/TS/luz2GMwLVmUBk1XwiIxXVm9Xxw5Ob6Vek17
p+h68x/8/Dy+bxmS9dCh1/hW4qbeOzutdfVpHG2KNWQn3RsuXIQFgMTVYFid3PmOT0qcQZsai/Q5
gmlaHSg4vDiFPGe4jBH58cDg6rQJ/yIzLsbYxEdHyd0OXXUtet9Fw/D8l7fX71HW4AfwOHf+5ib2
jHZR7MzlrA96HSpITL21i3T8+ZejcGERgRChr+TqF44adtJoKtS55Dr3YnrQjC7CN75sDzLevTuS
uAN/EB3LB56x21dl5vGSmK8g3TJMSQh3aaGBPaRhG01HTkB7Q3lIAGJXCWkBgZbboXAcRBQ0yZEZ
XxRMjkilQH4k2YW0rjvgpO8MBbiJBgRKY2sHYtNXUfWumqy0Ue6jtDeCtGmLc93Y4o3Rj94RHGhd
7c3NzzZYS4VQb+HfbiLi3rKxegOnjXOFOZzsWc1OVmXl35VC5G8mzZzagxD8xSYnkodHQA7MiMC4
1sn/EQjk0Hr1aiyj+8XpZFjgIxE2XBlHFcbdYYDOgzRcBWO35f8eAHSOlysBFKFhmDeDF2DA2wYu
Yha+Penmv9bYZnf2XBhhYYvqYWzmH9i15KFY7PJuqvUh6NtqvHv9WOxEzLyv9JZJeTh/2wB91TEz
YnSu7zu7RhNfeDHg+0ZFwcetvpmzbV0IMI8gJjv7iWQHQMJvcXMumNtPHnG5LjlY6fuBqnAYJVpz
HhdB135QnIMr7OV2YietbVK6WXz5LQVsXty2wpxEv9eEyAc/FjJKPrcqNOepjLvkezVFRwoOL2dH
GxXOJHV9FIhRxLqdnSjhzcpu1O4TOblhi6TlKdKBpKdlM4avr97LTUVUCQWE+HLFZG1nF7mgV00s
KO5Jv6x/RhH1n4n9j0Z58Q2ZCDYGgIFw6FoBK7cTstE6HcpVrQSRcSDJQk3Hk2tRcUia0vQ93qqD
I/niC/Ii0Nim67lm32A5bwec1Bg31R6Gm0hhlvaKajwgMbYEAqbNQV6zM7e1BgYUgR3Ccm2uNmeM
FLgfmLkUoinumqzMTm3e95emUusAPu5hdXK9v27ut3Vua50YuvhKGtJv50ZTwbL7ZMquZp/kc9gg
6aOEGRr37wslXdpful43v1xFDh/nOYXbbZXSuRuc1X/w9b2z95HBslEX45eA69s8VePQWENdIk9h
WhX2v838M3fmMiwT48iOD9OqF5Nel3NFy6wLC6nwdtI1euCz29AlTM3RbU6YjttnXRWRHfQxMiD+
LGvnv6zsNSLEvE9dXzULxz0bVVSnAVYtziedBq0IqSAnUSgnfJR8sgZJnFY5lZ8ZeteE8eBkq5lx
pT8lCDZIrLkr0gT0pc3srHST9c5r8ay+ZB0aBKEDAfiN5c1Cv3j0e7x7VWAT88bgUTWDAlgDwZgn
9Z9231rdGfOQ6atTaXK+q9FZck4RpeR/SjykEljwebeceyPPz4s2jfR228py7lcNgvqseenshvZI
8+BBGTrCXOFMrRlaZp54gapMA7InXa9Gp7iS4M010otvBRT0CoOQokl9umqGFSau0ut+a3rth66D
Pk+Y6oLrQCHS0YIqGqhO4SlgoI7mjPTyFNlXka949qz7Zi4y7R9ZVHYFk6LLOcC4SvywkjaJAiLI
7F9Bs9M8l4nnfYUTDBHKE2X+0Gle1F5aouQqyE27i88D6g0/skKL8jP09v5Zy+ohxecjqaRfwpfM
/coYjDfTskzLg1F7sXj0MsUdgwiwxldrSmwSodhBu7zwsuUhVucpD13kgfpgVFtD8c0hqn722Bnj
ClmhMxlqSZQpsP6N+o3r5dkYIFg0m34qhfFryYviW9b3xgO+MtV00nMhO99xUtHcpVmn3uHcqvb+
4BWAYaZS+anb6Ge6Wmt9mydPuctGPf8xtF3ztS273oNA84wWUzVEiXmXR4b3YVjqITlNUpuREeW9
hgdPXFr68ZKOv1j05jE1hkV7p+aLbZ9cfRzy95io4YQ7Qsxtw0ZX5o9jIqGsFfk4XpR0ToyTGRU9
Kh914j0hnKU0qBlMiRP09tKfCldP4/tyMKIqAFtXf8tzKPa+mbRWf+68Rc3uHDsyf1Wy9pqQspAC
ojbuzCzMhwX6o8ys6Nyooi4DHQxeEpbdINgCqiLb2Z802T1HiEKs1vGV0bxRBZmn35ed5YSTGhmZ
j2slEgZyUfo7e8wX745uF+qfEhfhp0aJTU6DPT0vVeQ9dpWpfphjevF3tejzxC9GO/9EVzefWU1T
tKemd11x6Ryj+wY3CnZgDdN2/C70ZdLCwms0UtdstppLnMAuKZKuzfylb6o4iDW3nkK3Hos7mWh1
GxIm6M+9FlvLW0+R3T9tZXs/HMwslAe5jGr/EMeC/FQRSfUwxXbsnkSfTuCepJFrPoya/qnNjBya
LaIEymVW0CiDnRp5n/Duk9MHhAn5lHrKDud8EoY8VQS5/QdNksu+X/SyE8GQI7h+ZVV0eBlL/yVC
+826mOVSf6yrtlkOnvaXaGsEWihl8vpBG4IUs75cf8Sl4+hYVVVHeEf2TiMvRZnYnm80qlefnDoq
I9+goui8b3E0+uX2tZaFvUddBC+yCEJlnrlQb/vYdnyhKdYRC229sG9fMX4cCe4K3oXuvrU/6JH+
RTsVDVxsT60TnEk6ZVNjXwzuxUtPEe8TApZLkE3xRYuPvBdevtlrvoOhMc81lLGti6djTJhq1aB2
G8WqPmHMqvgiVXo/Kows85HAV/82/2Ep6BljtUYwsqLfb5fCTKelQ9QuQ88Ypt1YUr2A8KH4GEUf
dZL3PixxCHc6HxVw9CYe6UFBqGimAgqp0DMTAwQZD1oWpj+6+6WqbPsTb/Z4XycChpqiiKOU/2VU
QJuF3UZ9jywMc/HbqSK+4hmdZROeiFS71ottXqgJKZcKq7mDAORF6sFXpWnOf+EUI6u2CQpQGpkp
ljBVLCDl2S20/K1dIjk2TXQh/TiiEFV1y1FXcG9Uti1NF4hPq4Ls7QQxeVMjpQc8KS0r+jzGQgmw
MIj8rJ+Kx6FOlzWOqA8Kmntf9Y9Bt3JEsCYdR03xol/QkL1YCLc+TM1K8WsOJWtfpATrtUGHEFoj
rUhzKy0Ioq4ZXChX11HqBBhk9E9qlLV/C5z/PQoCBhQDAPJuPRCNeIDAFjEhqpb6MyaExbkbrTJA
3cTU/EoW9iWNp6+K1nmn18PWvfnBTliF6hBupkJwu351TLEIL7fsiqV09jZFd/ybk1j/0yi0dFgW
1KFf2KEWY6ZEDlWp60i1HoJVOxAme/nfJt98xd8K7hQbqeFsDQ/cAgALVHQgek0SyEjmqLYP5ilP
WtR8ls4+jdVfE23XITngfEEYM3DJbj+fU4EoAnUIH6+YpnOfYKZVd20cAqZp753FScLRTOeD7b+3
ZtSN+JY8GSCsNjWdsq5+u1agHiC76POgZ+Z7ir9HioJ7hwyAAZ0w7khIOtvmuGYkS4tM8TWXTREA
odICRHua58Gsxsvrm3C9hbfPHxkxd/SqJMh4t1+RbBtAKz4LV1IHxCemocYSrc3gNyDLFPk9tncg
oav8nBmJ+Pr62HsXGKajiD+wL6kyblawSuj1dQOAazw2naCre4cmvClPudOTLMskUwKCffXb66Pu
fFyYDr/f21V1ZquuWxQxCl0Tb65SJ+6bXEFvoXGU9BtK6Udd/72hyEpRgqHiCMV98wTGituT8/Jx
l8XMgnHGikMzijIc8Kw6yP53NiY7ciU6rc8dT/vtOhpu1JkyxwVLL7WnhPrbQ4tU00Hpb3c+vKjo
gdvGWkm/HQRDRvaQpTNI5v6HhUL8kSysu0DdLP/+PqGACWYQ0B2ouy3yqVasROS6gjl8NLSPMR6m
AYV10s8s+pXpuFM5ihvd//3GANcDmAgnbhWlrdvZRRl+NBk0tGvU6+njLHPrfVQsk/T7TE7JQWFo
Z724vtZqLS1iOt7rp/4jJkbtwPDEhLyzbmdqMBlxcja09ojmt7NgOi1Jom4uEpgj6wn8Y5TZzpaK
Tm2Kd7ryLevKIpRKod8jvDw9v/7x1ntic4/otCXWzi1e3wDWbkcCK1jRk5jFtavt4ZegcLLweLYa
yAEdeLC/dqHER4/QswvRgVtkSEZoH7G19r4q1W9AIas1K8yS21+hjUYDQ7sUmI3bMwp9sTibSnVE
YdwZBbukFbvEZqezu1m7fqkkZUb6FSlCCA/eJGMrcNLaPYq1dseBDraWmdZOzOabAvqQvY2WHqTs
RMNsNhdPOXzVgydt3dablQNTSVGLPgXB5Ja5oLmZrU+FotzrQ1EGtIE9/MO1hapCo79161QPYnTc
3wnAaQeh187u5G0hHQFbCRl1G3rpVqyOCXLK10RESONZSnRCJcwNB7HEB3nPzqdcAQVcWywZcieb
WqUwxkknOMdPFn2Ed+3kaN8tsMkHo+w8aCCggC0gd4yO7W8jgj+O25I0yaAMkbhWLnaVJ60R+i8r
sz1EhWTeumfKxLW8rwSF5r+/mQH5r+g2CsDczJvrPy/HtnJ14Cb9RD3Fi7M2TOalDmWpxH9/TcLD
tC3YElzRKAHdnrFJ65IcqBzS7XWCpSrl3BIYpEjO2Cfp/8O0WCzE6VfrLki2t2NlY4atQuQI1BPF
gIFLHtt3M1RXmtZJOR1xIff2I/kqcCtEQ9ZL83a0qbW8Vkm65Jo1JG8OMlDh1ERW6CbKUbNqbz+S
HAMKwTltNWO6HcrVtd7N9YVGRBmJRwpQ80Uxpv9ev5Nf0utWdVwK4vDr1oXaHrDKa63JptyCaGpc
n1Ija98jTIXJezsZJ5n2TUhugMlpqtinKJkslEDnv8ba8BtW/QUkt3jnjG1xPk6cIVUjivOTWjT3
udFoF2NCv70R3XywW/Y+KgnBepsRMXBV3H5UqAGempaIt2Z53N+5Mp0vMnOTAwbr7ldFjW5FOaIW
xua8HYZ0hC4urIWrWmt6GFe6c66WYvEdGO3BoA55OCEAGVRo3fjtPBTvm8j8a7LS+lUNynSrBLiJ
bPztb0jmecyFWifQdjEVSeg+gemsJh9cTX7wVfdOBdErzTk0/gF+bV6hGIvoeuha3M6lwCFsmB2k
xmT7be4O23O7Q635PiDdtbW0mVXjGLFpQWW/wp9PTzria6EhE6jWiXGEjH3J9kSfg0dnNVyjemJs
A+YS+QfDy7XiipvZEpaZjH1ZqGXQGOUUOqU0KJxaqu/QlngbJQMEUPqKF3tBheX1U7pul837S2cQ
4COXKdfc1nfCtYRQegMhndhwY7+L5uqqt6ly4RF2PxSWmMPXx9v5yIxHKQAYCXnftuaoKkMqdJXx
hnopMHhz9f6NQZX1HXix6GDvrAu2nRuQG8AwK3KdtuTtNh3NeoI0sZIvAQKkoUUoGCKF4JUoJGQF
/8LM0gtyu86H1+e4E9OAeYZ3hJECifS2dKRalVEjZQuvuO7TUxzFUZgaav5kjOgFlFra0dgY1Kcy
L6a/j2nWZjmXANbfII02b4gsCgV+hIUOQz/J0BJxHGLMmJ9kcWhOvHcRUYMAqr/qNgLF2Hzdzp6R
E8vxNac7aDa+k9jyVOuaPKelbSMfYOiQdOzKueoKoK+wks1gPzSeMXx5/Wvv3LsUlLEqJjVci8ub
Y1tlizHXNoW6uNC9R7QpzMe+TpPT/zDK6jSkA3DhPlr39R/BFSaeoyNp7Vx7Wduhpy156KiwbF8f
Zed0EAT//yiby70UecNzRRddp8LzUVOH6ayLeRV9ORRr3Tn4VCHW+azMSR6U2wnpxjy2KhXNq5kV
5QmZLIcqTxwFKzffTxj5IOXcORQ3422WCWRtXHdrvTibpuI73F3xSYc2dKkJRO7NtExSv9esknaf
PZSfXv+se9ctzF0IHzQxgF5vBYuqJu3mTkFgCgCoiOkFi/w+7TP3C60hHAGnAWkrvwNbFKpzJPgl
Xm68sUS1PEKMKY5wIHurTEsCdwvKT2CNN3spNRdyBez5rrzPCPg7NMceUaJua980puHj63PfW2cg
QmSKdAiwYNs8oPQ7pOHRnUbHp/5WUkY7xynSzbAfkzDX5F9DktBtQLGEO5diL5Pb3ECk2A0A1RlR
5cSrr7FpdkHqmEoYC9s6gCTt7SiAe3CzNfrenOvNDo6baIoNHHWNliY5iNEofj8pFULq8QBqYXIE
sI82sSMZAmnKDvbUznclpqRQQ/0SxtIWxU1beZYW0oJXNVls0BbNL3VG9sbS6+F96qT5wfHZ2TNI
xhLG8pT9voNuJ6tNhjvnIJCvYzv271BpMv9rxNT8U4/KcITk2x2LniAXKqJbCG7cjuVaSxZjzYNK
imPJN2VkW/fAmaz7wUJC+vXduTeU6bBVINFQT9/W9Mpo7WxpXHhxP8ZvF2VazrYoxo+p0uiX14fa
eScIRNkrHDjqelt5m6ycbLWKUJrIpZW+k2CD7+jb/w/rROzorNgk5JheEAK1iLpy46orCLeJ/5m7
vgl6cBeP49AZBxN66SwI4gjBMsQlAAFy1jZHW0FOLo2QXrhO7uIo4Jdrpz3hi256ZwlSIgmMtkiH
AM4ZcBmMXe0fUWki9pu2hvqtXzBnJn+oZoChlpZ97ArJ/yXuJxvHFGXs0PTNBf/cW7MFrXMiWHWK
wk1PBk+/F6pOlzqBF3tKEmJBxIYXVWH8wtN6Ss+qFXXIf/YuAIzXV3GnnQ8nFUYiUm3sTA7EZnPO
ltEmE7rfZlVnX2mT5ZY/JcsCoB+V3hPsHqhDaZvB4+s9ZfITgtHPUddVbxu8EnS/YxfoQTfm8VGI
sLOXVygaSfVvfNZ2OcALDYD34Vqg9tqcIJ3NJw9dzKe4m969/hF2bj4wSNQAV7EYKu6bS1Zxs6hr
0XJHK0ZHgJkM/+JKO7vgKVHhJ1kUgTEI6asdtnWvj7xz69EM5V7QSOkxB9xcDYPTt1GhV3z9MS1O
Kd/Db7JsuqS96P2iVI+kc3cOLVUljqvJYwm6bls5i6MZkylw4INtilNVRctXcP/eh9dntbdy4Ex5
RTDV4UrfzAoLx3gBIZdcowUKYTrq07MyIbuHPvBRbrA3FIkW6Q88N/r1mzBIoc5IyqVSkGjtKmwS
0Z6hseR+hsDAwVrt7ZI1+9CpR3MTbbN0TDGnWdUj3GTMVJkudm8A0RqG7ktjqv0pa2aoMIVMi/fQ
YWtxcE5358lOAQlOgAkg/PaYNpPmLCJ1GTwGf4awpvyniOTbIXKa579fPJDX9ExWDASa6rcj0VsA
GWxZ6B8oIkVMUZgByqhmMGvV0Qnf2/08+r9Ho/ax1Yzup9+IgDlBrGguAhtO7/c8ytXA8sT8xmmo
wrw+td8v7SaDXa3rQLrD+17xybdzwwDNBkKIZJEzxdZXYy71Lw3gzPcq4MkvVl3EH2Xe4CiUOG08
ohof6f9VoF8/4EBXqoE6OMocEI9hrumMTXkvPfoxvtth8zfhXNqfh9QZv49W59aAnhoJHUtaTRG2
emU9mEtp/rWMAi8WlcCVB0P1CD/G2/lAox9NJInSazm4I0gApfhZ63Xyo3LSdgzMxXQpIrW6DBei
k0/G5HbLwaO5d6FgfglQAL3Ctbt3+ws6y5VO2zgoECxW9cWwaW5XmZAH/dD1r2zXDWjFCkX47fux
mSc8pn60ViqO0s4leLiku8ik+OR5srkDk9oGnpfod69vlr0TB50djiRcfYpym0tscTSzi0waiKOj
/IAVpT3WWRrf6Xk/HNRV9o4BlxfKEGvP/sU3XAR1DAJC6EyLqnxzFVP7bnR5JlCFW6o3U1ceKbXt
3WQ06VkvNg/Mo83UYg/HEtta3cXjtn7iSMyBl2CQVSuu6av11H82OmU+5Tl79/WP+nIhVwWMNXmi
Kshltn70P9L+zoCxU1Vc17035Sfcoiewua48uXjCBnLAhrMprPivdw+DouBL1ZNMyttKwdHWwwBt
5Hn3GrtB3y0zg3wROs5MufVkqZ0IPVVgOfT6VF9q9xC7YFhJMw66ENXJzdEQDTp5pIVkNFbqfAYr
WQrfQlQ9Ci1tLH8pVa5KrCCy9ONCoPHdAeCOdyFd/yTo9YJIjw5fkR+8Iy/PKz8KPgEEEBJLnrLb
BdAqWSn5QDytFkN/Z4yI5NotzMTX5/5yR1PVQL0UpYJVsHFLpMFnHcBVRVjjRYV1tYyl/loOhXg3
ZQYd+MH0iiP7mpdbmhGBfTEYaR0Ul9t5DVqRuIPCTZjFifJQ5BR7PTWXJ3JK9VKoxnweRGU+mMj/
HIQFL++JdeSVFkYEzWna3E0QCOBADnTlwQcC7h7BSLUNr4Wiocn0+mfdm6ROxQ1uDbVI1GRuJ9kY
XVrAqSSuEnFxHwPnT4Iy8hQzdHOlxClujtzPTdTVD+mCiuvB1tlbVGoQrCn7ZnV6uh1dpMJOzRor
wcaYu2DOk+y9I5zYX6opvZh6Fl9en+1vFY/bWx/KPVIXPNgOkjlbO3BwxXPSVKuH82ikj4neTxWU
4Lrsgc23KMJDlyhaFhecfLBUbo2RHN3F707mde5J0Vo9/05nbv6ay9h7cOOmr78shguXNp6S6e1o
LL37ZUwmpT/VE0W0OztLoq/CAWIXIPgH3418z1LuWjuT0QWD4iRbC/qaF8YmHnln2XidcSpGWEFI
vEZl51O6GAx/6cfmcbLHtMedKrKRB9O16KHIRhDklbvYX2ghu8JX46ZcWRCV+RjVQ6wGMInGGkmB
vnrOnQTVzEkqRnXyqqZITu0C7N138pYamuAdwu3CzMcV02wgSDZSHVOYfVLBpQA3h8nXMBsysGZ7
/GHBU9LDyZIObcl2zDnxiTs7Qdkt+M3qVt9CsOsUGiULDuGA7eWY2X69WKMe5l1ku2d9SGLNz2u1
kNcRuH19VVJs088DQvnNHXGT8akoa3V4LEDx12EjR/WdSls+8YfIHuNw6SfNeH59d+wdu9XjhGYP
Uf+L9u6A5gMvBT3yORVGSJkH60LCsUsz9f3Bo7U7FIkurEYQFehG3W78ntZEk9g5PXJvKc6jwjWN
Dkv00FXqx9cntXfEKCGvtoF0rukf3Y5kQWpfimSkGYnEhOEPrZ0+E/Tbl166/Q+rUY8wbesf3B4x
TAlWX+W16rEN9ntnGaeqaWAfF05p+UokGmwfFc7UwdW1NzMeX6iVuPRylDczU+3Bpq2A/faipm0w
0UMNB63pfWRTR4LpWR5cVntrBgpy/YiU//Eduv2SMjLR8XZx2DHUpb5gtdSEVTZ2zwMNydPri7Y7
FJ0SciakxOje3A4leHFGtYzTq60O44NAcf6q1UZ3mmfbDP+HodY6GIoufMctLqucIS3kqeQrlqV5
UrrM9BsRt6fYhP/490OtxGrSsjVO2La+etuWRlyjtDwXEr0+ZZLpHfJiUUS+g3b+64PtPGwrD3bt
KBAw0Za+/YSJqYFGVFebPcPNAmPx3MGHyDD4Sg9bA7KREfTITL8lrz5CNKx/enMCAKzS8YJWsMrY
bt7UOq/QBlUJHAppJj9oqzSnzNQa128tiQk31f6I/oUN+hhmn2d/EsrgHeXBL2X6Vg0iDj4yw7yw
LzjzjtpyL/O+XAFeO9RJykZ5q3gT2rJ13ORvEGlxi2fBF2wRnwfxGMyUHHk8ULN40nsre2oMV+in
rh+qb4XSxwedgZ0dDvCQAJpaHAC27bUktUIf7aRi27nouOB+huFP3GYnu4+O2J87rSXEEIhxaPiu
BXN1E8h5zQQC0iHKiPVU9/vZk3fNsLh+WsdOmFlNdmc7VX02xSJO2bKklGmHiB+Gn+Dre3LnaqQX
Qm8L2WYQYNuuszZaalK4JElpng93TmQl773CjM6vj7LT9uUJs7210rJ6MG2/bUvjrgPBj/eH24/n
QUE/0/Wge2HJYT10o1veG9M4+hQo23PWL59NitIHgdbe8hJnraLDIGEIL29PH1p3VeUgpHCVsxTh
6vLlN1a2BNhxH1Vgdp4BcG1sot+XGAyt26FkjeuZXvNRs7oBmQhwIZhZ8bcp0cZPWzjjx9c/7954
7NvfSQGRgrU53YVWLb3SJJQnlETECBg4sHojsr2fY6l2z8Xo1gfbZndBSayt1QWR2sEWUVd0SZQU
4OuvZtQYo69WnWtBY9Tbn0SK9RPUifRTlQzWndMq8tOyCOM+n50jpdH1Q26uNe5tYBO4UfLebgXc
pG4z16VmTa1OgTQZ5+MD/a7hnT0kw4UUuP1Mni+PHqidYSn8Ghbh+ooe3vafRN9TE6OGea+VErvC
anFjHHRRPD23FCTKAIoywkJd7SLs+PpK74wM/odiM6kCxdltkFY7orPHPvPuTat3znpdlvfe5MiL
YsK9TBEAwnqm/GsZLZ4NgCGr+AiAHwwUb7ezgdSJE5cMmuDwcAa8kp/skcrC61PbOZ/oSq9YDIRb
XkLUYEm5dA5RfE5BnIZKk4qwNY1zBzf2YPPu3HncRA5OsNjpmPRib+cjliUGYVjhWQ5CwpdGq7/r
RaofjLIzH+DJXO3sT4oE9npo/ygCIfQaOZHai2tEqnauYIB/mjLH8mNnOdL523lOgGWSHdDVo4oH
B+F2LOLpHHAYeGi7xIO09KJlDkzL1r/Y/NvCpyurPKWa15AD1kv0oTBThE3d2IneiIEs8yDO2bkc
+DnEGSDK8SagD3P7c9xmjMeBK/8K6z3C46lKgrYFReDTcIuQW+i0cxfXc6An+hwWidR9PTLtX3+7
n/gRXAwUNgnHwUbc/oi5qawaH1rlflDrJRT8HmSbXDtokNc62Lq7E0ZsmR4e5kdk8psdVVeFGY/C
Uu4zMJ5cBaJJDT+pDMxac4AMdxC19f5SxaqS+k40WvEZkFx7bVoXzaXXp727F4B4cjHxzKIYtwkt
GM7LessS9Iq6GJhzVdsfUqTX3haiHv9NFSO5o8tiPs95O98PFVLUJzw7TcMvlxjFrNd/zcu4E6Di
Hz9Gv12EWlN5ARcoFnqpls8xzwkMU2123jRpPQX5rLmIDMGV9lzxrkal6+AM7i4M6TNwyVXSkEvz
dvymq41hRIzumpIChtTxMrTeQRL/wFih6Ii5a+/tPFbRGXm9VXNO8a58C6U8vf4ZXt44GDuCD6X2
TfIEvPn2Z6Qmm1HYg7hmltPfFZY9K8GSJ91wMM7LQIBxwCytSD66CO56J/1x51S948XKpMG+MCW0
bCcFqWhVw3mx7NhHokx5//q81r93+/4yHrAFary0DgDX344XQ9ZeTE9yxxW1Enaylpd2GQd/zgzv
gKewNxStT9pnv7H126e+dEdRuhN3SmopiS/oX4XCXdDMK5E7OLjAdsfiO7JgYBURErudlpNaZVGW
mbj2adz5Vg6ny+pUCczLOuos7Q5FT5zi39qa34YSZUZOKmMbCdpcjd8jz2F+KuxpfIt1m/f19cXa
24TWKofKjEjDtmqYXaRgtW6n4tqY43Qy60g5O1lenF8f5WWEQoK2PkYgWZHZMdYJ/7kFU2Mi8EFz
M/F0Bhjkh7LNq28AvOxgob3lW9M8xwcL9rsqu92ICIqAn4Lb5AJxuB3VKIRVRdMc3XvJIJOzk9Cs
fpzjGVOF3tKGL0mb5VpQOAvd3bFu+u8J9Jr0gmZTmQVx5VVWwKs0J2D4vPRjMcsuPYvRplHU9LP6
U7a82n4dyapD46VNMoxg+ty8tMQRSzguM5XKLrbFf4mZAsjjAcSWJjYSmQZVmztj2HcKEgmLYyVx
gEeJ+1+JFJEecn/Ld9iUycin7JXLpyaqOEMquph9MHl6qQda2jrOnXDVxgzGOLbLIEU07AyttmjQ
0BvsNhx7Kb0ThYxsxKQBLNGjqi/up1TLZPEGS98ewWqUMU+zmWK52GGadZc7ZQEIw6nj9G7JbOOb
neMS4EflIKJTJsdiuTj5pHQnra9Q7qzVOnffENjPd0Kg2emvEh5vDaUCmjxPyvC5dfMiuo+Ntv2p
qoUXnxS1zh71pm8Qy5kK9E9g4PfDqQfKjXwP4HQUgRF9qvyOztQH2kZQTGOR6K3f6di++WWpzWgA
dS3FwEQxq+8U/ZP04HXaOXxIIhEdgIhBqd5aCzZ/7NUoYT/qyJjcp+aUP7CvcPbNBbiKhery4R7l
j222KKaA6GkTdK5AmE2MELVtZYiypT9ni+REI0H66IYvYbGAq0DaJiyLHNFCJz4aeOdE6pyMtfIC
6JD/vZ3loFeD0TpufDXVLPuc4snwZdKmFD123e3vZZERAPS1sA/O5M7TT6bCLcp1sJIONx/XNeJo
aDKT0nVcdU+Az7071OefJhMvhtQz/3VnS7m0cqTwXg3NwWuxA/iClcC0f0MHSCvWy/CPpfUw2DOL
fkiucDhLD5mksb5g1ESxbeghCnatOVZXZCj1zodzXHwDzDO8+z/OzmO5baRdw1eEKuSwBUBSVLBl
ybZsbVByQs7dABpXfx74bEYUSyz/NcuZUbMbHb7wBmkFpI7Itpa41A/WIc/kfPX+9XhmywGtYcNR
+fkrEvH6d3l1Wq/5oANNanGt5L0mWyzkEi90wy7s7nPfnfpYsCXIaDWcxj45KlrmWgwZYgO5C+9z
lVEV1L91K23DQgbBDsDbpc73uenRsN3adngeoVr5enpZoepq9mETootj7rlAjGOCttRtoRmXhL/P
DQVcGFnsLRcnM309VCnAeBHVsa0N+qwOvZ54GowJe+xGHd7/aNsJOTm6UE05u7BPyLpP85lkDnzA
HzYvZ6ESK2yrIL2dZTsJMIOFOOTwt/QLp+fMkFs8RTK9Sf6xjV/PLsW+BQc5P8V2rMt2eA04n+k3
pfsgQ9uqdBbtwoE5s1k2rsuWwGyw5NMCXQUy23OXgAwy72U0TKb7UVPNHM3LWEVIIYto6bp/Nlbc
hBMxAGdtN2+uUzmMNZuHduyhaaluThAYpMaJ75ifJZcEk86t5uZEYaNqSPn6tMdqpGProvGlHS28
okMaJllkFa0fb8pchzavtN37G+ZMqAXRdKPTbGB2cKevv15SJnXhiUU7DuXQPXt+IyO/dC59szMn
YCuoA8CgnUCae7JHtHxaC6/0tWM1NuZhVrKJ2rXxo7EdnH8/AdtkAD8R1gEuOXlDCvC9Lr1Skuks
yMMsc4yDshoRO1ll7kBG/bM9HDvjv+OdLKBaVCCrgKnZZtrezRo8k9oKvhVF7+/w+fx3yUvowYSN
vFMsI4pfr7+XsLJReckSHJW9ziEyMO01WqV2JCdNXEDhnvtowDdguG5YCqqnr4dSHYwKY7CD46jK
bena7sruFmYlYV+/vwv/0otO7i2KQbz61KEp1p6mnePgdmnpZZioNWZz5SL8LennF/NxabyijXD1
sz7O5RCUOxyci1+DLYc5nDcT5hDOJEKQtqX89Uo0FtraFcmz+6jnwSo+e+Nii52NtYsemXSW+rhu
V925x9TMPPhN6TwVtmjnyAEjc5NVjfvotavzhLYkYbTrrpX1QfSal+x5cdtfXWXVyBROvrhLyIXS
Hz4xoAqhYOC+lS9gqKLFNDJUI4GT6+GsJX4QdjZo9RDlfeH/QOld6DtYn+lzjn+ICitn1u2jPzT6
HCW5Pn0rzWKWB1ipzleqcrwXJAsI11sZUjG2ZqRlOHmjou2vvOJPPScmTan3P8b2XU++Ba03MqIt
f+UxPwlIVtct3LxDxTkzS/emmsskVga654iSu+QBJM0aII3fFZTYC2f3zI6j7wK7gE477/KpPc5o
EMvouORiUeG0+xlkXlxlI/Ue5SwP70/yXL0Fkj3UaYbbaM3W690tOk24TWtpRw1zvStFbgtTTCsV
oS47UKuUFpL+zdGQufZHu7FeULHr/7kogb8K/UWsC0AaUgd7/RtqrAOl04C+q0UXRC6I1SgZvPWz
Jcr1wqv59p4HJb290tyJgLJO+X11bTde6tIKnxHEuCLQ1K6qspd/3l/Vc6MAZuMpoXhE/H5yzzsr
8JmuIZLGBdG4bdVsH9EFNS/hrv7GxK+36KaOC3QByPAGXNw20n9i5oYOC/AjUvcUvuvLRK2sDlvq
SeUhseT84qIK3EUaEIc0DIZpfARHQc8O2Ih4cUklxa1I0QRY7HGygd2QYcfLGpg/OmA0+PH6sABC
1K3WZZ+luqCGo7V9GfaTNX7GSi9/8od6zkKLBuGVMpeiios0MbZ0t12eAUX1FqnhACelo6caxJa7
Ipk9agZqU3W9IL1opE7nwFjRrRdBzZ1CX9U6QzhxW/xZ5jbzQ4FsukvpWRV9ZE6Ln1B3bPPHPluD
izXwtyHHJiljbrvDBVh76lYvlh6JRoBjQBB9+cmg6fdSTsvqRkgKV1MENHvEfc5DG5MsXXzBOGE9
qBzWbb4a7gvc2PxnMQ/BD21w15t81RsMdXT3y/s760xLnrALBCOqUhtOVT9pioKgrEy/mbNrFMDH
65bCl8KVIqv/TJqfXpEuITFtQnm8VU06kc/X6+d6LeddV2he7Eyevp886X6cMnc9vv/T3t5a9JwQ
ZoN2tbXarJNflsk1X/C9QYneH6cDlorDlZNg39O4RhX/+1CQyiGTIVizBbqv972v+TTzKjRdhCb1
WK8kdhJNn+wqq7wkoXRmVlz9wSbERswLJfj1UBq9pnLMECKp/XyKzGVtdiYQ5U+L1V7CBr3NvzeK
IWL3BBoGl//JaZZB5VhJQCq2NsWzIa3ssGqOiPzaGmLTH/X7AOR/jEO8HuaNuMTY39bs5C5BVZJ0
4q8vEq5prydqgGHwZUVleLBKPa6HQMRQdPsoDQKcd+FAACnsL2nZnJsypBXuSOidXMgnq5vOXl1q
KC5fL3rh7wYaMEfhjqYW2XJOHpokUQBekjo5ZF1Ljt/LQTMvPPN/X5fTiVPhoYtJ1g036CQtRVtm
VkFiJggJi5LrKKjqI32gJPijsGswfgYUfWQ40fk4Cu6P/AoXJF7FlQa2thsa2wQ+XPhfzbVx/thz
O9cxqHET6WS9tnfv7/szV5SDbAx1500Yx/v7mP/nvq8zqxdGURAYaMA2YkcLsoclpaQTtaodsNNR
jff1/SHPfaEt8t2KQoRDp0ct6G2Qad6QHGuMa/qo88HIITWcE3d2qLW7ochz04Masy7DVeemmf7F
yEfbv/CVzryoHHhiY3oyMGNP05km18nGyoGZW4GKkFmq7u1GdP/MeMDxwKH3SOUNKaDTYkhaEWQi
d54crRInznjQOvcw1pMKdiB/gkeftvqX95f3zPUCvIWaAawf5JxOe56jkYD/HtPkCGPrvieq3gmL
kvtSlfWFOlbwNp6lyrO16tHBAlh2itJ2yh4IvxJkaEttPFJlzh0427ghRHm3LD/4+ita7KCbAHB1
Ta2OZWHkP2bqKE2sNd3wguy51YfQy4LfiYtcY2hrrnHnlCjFYwqyzOFo9IURrYa+oLVba/q4Hyat
ca6V2VHB8kaq2b+NUW+9yEznhXcr6dLgqnOW4QH7F/xFTbUk3UGUZvfFyUcKnGBnshoHFVLX3TT1
E83/RIof9FvQFjIXzf48GUBoEH4LmnuNVukxoLZExiI0O3jYgBk3GIoZRmxPttvecX0v4hN1VxDO
vizqNU6MCuD1ZPfrJ5uYW4v8JiihxNaNNlzlZYM0uN/0RhZr5mBjrIbT4SFDnHt5qNvEQG6+VUhE
DH6wOJFudZ6IcmnqEnvqTn7sdTHUVDI9uqdZpX+RkFIfJTpIQ6hl2nSXV32XhmvNlRytC/DJtg78
R8siowI0PXkfLNBlX31jbH0gK2g8xnnr9fY+o4sD2HwtFjRl1nXpw3qY6HZhOJkOkDQWbQrXFIOk
sG+SzI/9zEX0Za2TSsZ40BQyhpKgV2iUrIEDF6ytYICYqYYQTdk136ErYJOEinNx4S45k2xsGjSY
RntUWCDcnGTtY1E5Qpgp9rpKLJSqSCkfCsIFkLdzmmth7RgsyyRkWSFU2PUd0vV+7e+UTrX7Qqf5
7XsHi8qhcwPFbKtlnbx30yAcn06kc9SpMu+EZubfKowt9no9oW68OMse+flLgcsZ8s1mRUrji6zS
4a05iVwyQWrlOIN7VOh2oXFk9zYqVXarHDqkKHWErjWkv1O/apYd5GhVPs7oXv1x7Kl5MrNBVTd+
gVr/hQ/z9hZ6/atO1oKfyZbRcGI2yjqNG4wLd63bm7tFv+i9d2bZYU8QZBsW7Fgw8q/DDM+tOe6z
aR8NHq8IwL9+LZ02q/G5XIP9yvG9ExYiYf96zZLZbqHVVnaD0nay7HDjRC7ryTpOXOaHxNX7GPED
aBvzJbnZM0u51QvoA/4NJ04tNXPh4vRS4GYjgazHvXCKB6Fn+k0vnezb+5N6Ew1s4nh/PQw3WJt/
SpGn25d3k5kGx87UHlaW9dqYx8/BmCMFuFrppafq3HBbpQ2mKjN8QzcwGrt1jc0nmizP3a2ZsKMV
G8UoKBIrsuv1klHnm5VkeuDk4VcSCgNlO/lmWEJkTqKvYPYSr/6STCLBAlzDDLVrVu2SQMWbMGcb
jEwadBk4X0qmr7elLQEDVYQER6fM8+SqAd7kRFVj1rvedEcZrapf0nDChiHl7s6qj6Ncmwuab+cW
eOOqAmEgAiGff/0bVpOGBQao3tGnsX2XKturDtNomD0ZR9XcdFzsn9/fQW+bbkwbCiDtTRSg4ZBv
P+k/AaXNm1KDNwqOWem741VvjNUaW3TZcPZKk96ILVkMfSQD2VgxnaLAjZQ/iQGFyzL90uXZDNqi
G8sRYnslLlXg3gR9/Dqgv0BIUPfiy5zsAM1feQs1nGJ70IyfTTT1f3uT9c/ytdsoxH0UXEGAImrz
eg0CE/4aGtsYwjb98tzV+L17iaL5nyJl9OX9BT83I8J2BHp4/Lbi0OuxWiugbYKH5xEZlGVHtCxv
8i434/dHOXdyOJ9cdhtinQT59SiEmnVN5sRmLuYyKvE6OVDt7cIkoML7/lDnzg2QWirMAPY2/Nrr
odx5xI0R98DjaDR6GnrOZH3rCCI+SVknTxVwhQw7m3Qgjk4W8IQuTRx1ITc4d254wzf6H/x5KK2v
f4OBYREmSMo/KtCKm18otS1YYeNUUFZuNP2IW+mleW/zepU0eui7IoYGKwSJB1pHr8dUeImQJ5ju
kWTHj5um7q8spKqP76/u34TjdJgtZGJLUAt+AxO1B8PXCn2zm6NN1hXg4QY1HoDCF481TH6xK6AI
+LEx9qPAGshFgBNPpWq4tz0fbM2aO20foX6uOc8Dxjf3MkEEPaQ6mqaRbqxCfQjQy8k+JF7WfhOt
I7SbVaKYFanAS39Ntl0T8GvNukcsNxgj3cH+yU40TJQk1l+YGY2GVR27uU2+CjoUv3xZlo/YZFt+
jOSP8q9MGx+YaB766Vn3FOATrF98zAmLvEVmW3r/3BfC4XTriFJLMIFSOieHWS4BROamCY5VbaAu
b1RZPOECf90V/aXrettWJ99mi1/AWHNpc85OgqamUtnganh1K8L/CKxIEI52VsSGBhbHMWuyOFTG
du/viLf1PyYIXNWj/wphwTmt11NWLjsHccMjCj7anhZZQ4ZCa+6xBW18nRNQplFDn/FumXrn4zqW
9Z1GjeWjcMvi6E6BWkPBO/AcIKmbXb3/484cCoefxGXN4+Vwlb4+FLxazlp01ApMzW1/JpqzflLp
0u/fH+XsuiPPAWDWpEV2KmVZWKMn8t4PjlqLpFyBSE8LPT2zh1sPZoM8FtrY/uyLElXw/2FgTjxG
KGjdctW8nl7SBglyOFNynAIRxOsSJJFyi2Y3F61+LZYKfIbZpE/vD/q36ne6zfAPp/ABzGzDp78e
tROB8pOmSo72RmINhQPUKc5EgUdR4+kj7OqyE7+Ldc5Y7NL73juZfQPIYTYQ+12t5UrQUHxOEpvn
ubHz9H6BINxdWJozz4BD/YyoF9Ia9dKTs4CrsCrxFAqIeh155DfnkVZU9VU1yA4hLqO6HYJa7kY5
m/uucswLXZ1zw5PE8eZRqOUdOonelOEWldHnhKa+P3wl8bQ+Olarsy08RA6NsYl7oxpD8u05Wjz9
Epr8zHtLbgGxZoPuQEE/HX4ocb6eiFSbfOifF7PwgCwUimLAbKVz/P6GOHPIqBYB06cqvQnGnCy1
ly6LNqRE/SbYWvq1wvnjLrr8/v4oZ95Ugnngz2RpgAdOW3JNZlS6prX+MS1X9wq9K+NLpoTY64mt
6ZHo/5nVxoFGExsG1haHcnu/3uWlJYZuHrLgOJdNchiR/y52Xi2H+vD+vM58KuArSMED5trIDier
hyuih1dg72M3OKg9WurJJxNT4F2vA2d5f6hzV/WrsU5O7mqiYZYUxEZAP/U6VEGdPshKAiOk4Zp+
bCjxP2PeobWPQaKmH6Npo5RLmVq8mFVuY5cV2FTdvSbvrguvy6cLZ/ZtNYY13/KMLcIGRHHqyoIG
sTe0ne4fFzuRhzkDEpVDRg69Nuiuak5zBPHDCrk6UP7IFmpmsqnKC9v57Afx+AE0V0A4n2KceZfX
UutGYnzU++9sV4OUNrTJNbq6l7x8zg1FYRdEJbpEcNm3f/+fZKeR66Ccmj3W2iL9M4pJ7jAyF189
t/38/qc/c0YhiqIvshHm0erZ/v1/RjIcCns5sLrj6Iz2rk7S9mEdM++CCvCZM8oB5fOh+0lqepqz
rj69P2cg7kUFav2q8yZczdh93OcsdRqVgXR/vD+tM9cscQ6X/KZouuE0X09LFLXwUr3xj+0Igjnc
PAOfR1rT6ltm1IEX2m2QvaxDJR+WCjZyNCGvemnXnvsNwKcgtePZxWVx8htQVcaJtJm9I5qg87PV
2dUS+pPVFGFC+J+F8PmalTbFMNyAVlivlY/l1oWTvV0SJ08yrxz8Cb4vdYlTHwS1JrS0pO4cg4w6
bCp9KzScudwVRgY7qqvEJyVXLXLGpL3w0L3lCtEmo0FI2ZJ0h5Dg5E7xsPHz5rR3j77XeevOXkZ7
3+N/6YfmZFrTLcqXHdVlQD+HeXaap0x4yeci8NYPaiyTS4d3W+zThQBhSepMaoKe3sltmpBeZVWV
OEezHkYs6Pg04QwFI3ZzN9gb3dDt/HpYX97fhmdOF6TGDfeFwgZP4ckWIBUEOd/X7rGW7nO/EtjD
isguFGPOXBbgRnkgXE7wptD0eq+TUlZ6PTI1kWNmVutLj6a3kurHaiRuv3t/RmcHo8OGBhI4HAL8
14MlRbr5eytq0UXdHhv0W6438884GGf76v2hzi0eN+DfLj3YptMNNOi1m1Tu4hyp4ABtqDuxV7pT
XjghZ/cpmOLNM5DI6E2zadFra05U4RxXe+nLna83NZFqXRUPVJUKEfWrUdzKvC3KiF5B9gGBZMRd
mmXG7bbRa2Sa35/2uRUmgOb2oiQCM+zk3AReO46VKtmpZpvdTBSV2nCGAVjG+uTbMn5/tHOLvJGD
YBh6xE6nNAXKk/ay+qN71MjtI0FTa/N4rS4kQmfnROWXLAjkFET917vGxh9oalpGoX0LbdBy5qi0
e7UHuiL/l+VDhBl0Mwgt6Gqvh0I/sHO6hqEgCZRhhRvRMSiWIE7Swbgw1Lm1Q2EB3tOGpLZPCdNZ
PmhrZ7ruUfe0+npiPDCXyyUzzTPBzyZsB+SXuIcTd6qvEVAm8aGEc+TyOvglsElOomQVYg5XV6F/
bABa/UV05CJ0VK8VRsxtU8aWPVPQen+zvH3G+SXbVQZQHf7rqXv7mNJH93PDOXogkO6mskRtaRZu
OmEA7NW3phLmpRzi3JBc2DbqOiBOqK++/pwu2Nk8JTg8mnDmriAzbdo38LD2KVaU14slL1Vy325V
+DOg8fmoW2nmlDRH3XyqLT/3jrAKpriohxTt4NTZNQPYxveX8+xQrBi4SWz/eCJfz81adAuspuMe
K4wvYXHreIeiE7rvx0K/0EJ8G4swK3TAiKMptuLH8HooYi863hh7Hq1u8HZ6skx7JaYXI1/sXVl4
lEMzP0E/q8c8QRUX4X/n9vBGDsQMbfOD5bC8Hl8vLC0Dh+QdFzyFQEakwyNeV8aNPiV4APbGfFit
oZVhiWdSHlpNNn9AoKf7/D8sOIEQeIkNQn/6Kyb4c4Vjp95RH416b8K4iEAhV1eGCXDg/aHOpFRQ
HjZLGsq824Y6ucaRdPM92OfuEfg3qqWogJk/qyJTpCu+9rkCSnHQnDp4HIbFPS5Lg5W5hDB6u1b6
fDP4Vn+Q+VQ8eLJc/rz/0+gVsdqvg6ENrrupFKC+AJTpZOPVmqmvE74zKD1k2kuHzkSCaGWOuqK7
DlYFoV7qZSSaaZoiLFn1NSzHcbztE0unLt6g9LZTKSBs5Fux1jpKsNcv5ojASlgQZxahnepTHw/6
LFWcTFaLEHOvBy/KGlbY+hthOa68MsUOyDbFk51O2vI0N71ZRp3dON8mvbR5ILS8xDNv7VxkwhLU
tAEprQX+dTXwqnUQXR9ChUzyGMxGru1KMxDJNX8lWW86m9sizJPUGOKso79bIrk0+x8TKn7qYew9
P99pU935h6Wvsvuh05X9PBjWYqEwbiJYZ4jCSDenegeqXiaw34yrLkDtQAfFmhxaoWGoBI93uA6C
sd3UzDYZ8w9FbcjlikKSCfMqbxZC3b7W3EjXRSJjO7fQNPELXTMOPOVLGU9a6rj7PFiMJm6rqZEw
6Ny+veoXLxP71DSL7sPkGjCsgLb0xRcP1QEt9JHwyW9AsfebX7jdwQbFZA3NdAss0Bc7N/WP6wLg
IipcYcmok8UK/8VC0y90R6psnDul3y+1P1V3dNGdx9UJQOxnARjmHbbJGMcaQdpiloYCXxrS8XLs
q25q15dlWY2vCZRLezfUXZfeaoY3NiE5RolfXd3WEN7yOh8O9FH6exnY7RpCFauDsMK7b/sPEcTY
mWgAA1Il4MhClWirTw6WdtpOTEMuIg8CcR5O0inGqOmC8ZNm+TVW55VG/KeJnjWIylZZn5vOrWQa
1oE7CywpZdV/qJO8H/4U69A8uXrugnBxbOXf5Iaf3qLmgpdIUXSlRL7CTBBIKLscPXTNRwhEr9rx
tp7N0blSmktyBnC//ho0Ve+C6TEdzgEVkqdplu511+G/fBiVUQC1r1N1LSpnaMMud5LpgIWlgV+9
61ffZA4yGFmKyc5CbDStR+l0wXeZZMXjEvTmTUoyqEUyc+rqtvPpUoZD22jBFXwJeVfZCrzoXK5e
cYVu4ZhEY0mwthdVYc5hTQ+4jTEnkV3IUdUhwvam/6HMIJvSC25glo992nRY1+b1Bx+h/U9+MFlD
6Ax2osd2Wmczp2ft7B1gW53MME1BLMFVMdbIBBvloKTRTg9Sb+zyVq9QNwPxrJInu67XGlFEP/8G
CcmrIrdy1s8BAcqfae31dYfB+fK5XJdOHjQoCAIpPGv7mwX2tftymNyHdBUbiEf3BPrKjdN86Kaq
b0lBHetXNfWrdqfmQD7ODTI7OLIHmr6r/LwvQXYpzzskvsyrcKyRDN23VBp+a5XbKUBPiz2Hk1Vb
NRqPjnpABqFvoozb3gyxD5b1Meia4ZCPdRBEAhU4OCoqSHU4YRCtb5acRgG0aD3nk0kBzmcNpNWG
mWbhEl12SRDqmtuX+26sLLjdOHLxaTVnb82ZJM40kuVGmpMsIkLApQbY3FFW8Foxf57ywSfZDMzx
czG0nhlT2nHdyHDa/EgOUMlwRTP7Wzqmtnlw+nSJk2LqYIcD4cwikY76sRysZdrVw6DJqFRU2Y+L
mSIOaUxJcY/qt/tcmzIbLiRgZ56JTXYERr+BXB6x0OtHe5q2zlRWGsfaq+1jqRVyjoVeAv2xFEFD
mOpJejMiqXpbSM/oL4QsZ6IjXmoH3eiN2PKmPwbpUq+SlNGDKlC7xU/ze6ct6rBzi0u6AmeGQo0B
ljYywwS2p+0SvCrqShO5fUT4dY7TpUwiL0nGKyW6f1br2BQtsA6g/2w429v7ek1bS0/bbEb+rRkt
Z5egT7xPuUQ+vf/En4maNxUi0loe/60EdjKKqKUu29k51ghM8HI6svu6zFP2aCXzsHeR7/r5/oD/
H6y+iSnoMG68bNoLpzGFXfiEUzBajkmZBtNLG1Dw+jQ7laFFlmZ5/d5eXaRRPdRQzVvowwIemNKU
CjfpVmO/ZHLwurBxekTF8hJ4vvuJx64Zu1untJ3ynvrhmO/6mj8fTsPS8kZ4Zf8HAoff/laNK9J9
b8DPuRV6U5i3fQBI7LPDY5iG0llm/5r7LAULrfR2/Z5VwdhE7mgjSKs5gcJcD+ZJ8UJju5/jyVLS
OmieVRtXwjeEFQVd4toRRiIy+eNhullPobmg8hqxd9PibpzmAa1xxHeWeMKchhTXbuVL5WZFuRez
C0A9q1G8jVLNyVTU+LIWMXxIMA4jOvnqY1aYE0AALRi52oaiv5YqnxPezsZfQvyCUMZFTNK89/MW
RMYw9mj1laUy6si08pF6FuQvH0zzMv0YnHZyo9zMZBbrveT/HPIku/fMtpfXZd4byRVwGd3c4WkL
K21Mg3n8WkqrNt3Yo9nuvazzYKT7xh69ZNdZ0NY4fLnCgwqG0Fo9gT31cf8rcqO5mQtHtfuhosz4
Y27rRY8g77lT1Cym3e7yRiKv2WKOMnzSq06rEA1f1fPQO40dw2OtHgV2N9oPPMDbD2lbWnqMZlDj
zMdxHY1OhNJNdfuuUr3Uo962ltuNhA1UdBLOD0+aTnJvuGM67pHO7Z8ct5/KGJ8AkPGGyMB7oxtj
6iE6s8j3I2emTwd86oABqWBMvwiEeZ2wMZfltu6RhTi4HfvnAamP+gXMhNeH9jyXWYjknPFNJaY2
foQWvhjhYDTCugU4Yn1wJnedEdu0i1/ScdPua5ZWlTrQup5vhY9y0/1KIJ7t8tQxi7CYSjXSFXWX
a1zxpmQ/r+30FYk5MyCG1eYHI3GcG10vta+B4h/cB5Qisc+9OpIqS7631IqdUB+ScopnoVYEnwKj
AZggcy9bI1it7UsNJiyNbLuz7gd6JtONi0QgUsmKOYZWLS0VdVaPE2dG0vLFmxvxIkZfmnFQF0Ah
dNDI8qZMhto6EIBb8iqfZPPbMzwuxkY05Y86kGUfloEzWGFHeXu/Cjd/yUHLPteeoTmhq1cokKba
HHzJxwzrNpcGtwzTSS6ftE6jwEQQlo8hUQ58adm7ubG3oa0EewSUMbLT6APFS5IA2somz6BwnNfN
URQ0bq9Kq+4SfqSd3xWDSn6J2Tf62DC65YtMlZvFtG38exf53WaK3WGxvE+LkdR2ZOWJdPag9GBj
DnZHdG100tCfrBFd4mNVuWl7M0D4TLRocIWnYguBFjgEmQOOvOk2tsVge8SF85gFCYpfs0M5SVqW
9uDZXe3dEHyLL7UAOPTiq7IqQjUS6d0ZQ2G4X5dClVdUwGAL5m02wk/rq2UWN0uZWslHz8zz4a5w
Oq+N0K4ObhyX/GOXaoG66wJ9+TEVKy0/xISKCcZab3/qslLo96sXYDI2DWjOcZVW9k8DNEUZoYwR
LNeWP9rTAWTTeLvQXXDDSm9AcLckhGRGkKvEfQ5i+SiSqccgeYUDGyaWMYGrH4rmaca6GT6nLdeZ
YIdW5L0k8PmgtQmQwynpymknaVClbLpaOajn5u1D1zYGbDvFivXO2j+OfdnOX41MJtUu5X75SFxV
eLB5Nf3Z7fz+o6UVwg6tcdQNVGRagX4GXS4V4lOxeqEvhHfvISlrQ2e2PXlrdIiIfULiR3xbB43z
YaX+cDe47O19xoMAFWYo/Uh3oSFH+Hr0KnIt7DbjxuEgPeF3Wap9agHWv2lXI8dxLl3y9inTRmEc
bLRwHjMJK2XPt/WDD1QQlIzczJ0+dkmbLhGMh3m+65QH0H40a0/EVj6sJUpYCCiHVa7GOrR7PauI
+ohj91Vpuum+a6jR8cYZstpZJtY2VDmMdu/UeJpGeTqBbZ9K0/kp7UUYYSPNCisXSsMhfUE2r8In
NPRU1T4sIGh/GJrMf3veYN1XNUL66B01xa98HOZfeum5RdxN6ejBgoXTF5N824+04AtIMMaqwwFm
/z3xIo91HMhWfQ+MPnmc3GW8aZdG/SEOXoChVUp+mSjmc080ixAhZsj902yuVXWtEUsMe4LC5otn
jd33LjHyRzrHGdZ6ZdXtEA43sN7KJ//ZKekLY3jf5GXcoE/4x/UBHFwneja1R0M2bRYTjugfW18r
+yM2WPmHVfqzG2E1nSahmAI3i4hIsy9YaHQelU52dVToXt0dBeSWIgZI56pb0brOUwa0OMHrSXp6
iB3H8mf2AVig0Ikbpk+acjfoVBjJfRyMDCrXSW/tqunKENJuhuOKEgNVipH7zCm9lc4y+T6fDPLD
p3oZGwBTIiWb1poi/7l2yWrvqFTiWmgLe3ye0tbonhaw/1+BKc0aTOsWzcHGybhp8XDUvKNUXXb0
0yxpuTes4HmeVPfTxi+PLJq7Q/+upqV39smQGFgvZUq3d6Lvmg+mVw/fLQSDeeVnU9xJbTC/0aQQ
a+SAA11Ca9rKHK3J3zt0rcrduB8X4LOhqNbOv/ZQZbGgvo/TEJZDlSNAhUwu9iRu23ya13Rx6KTX
lYySUU+O1Ke8by4V5DKib5d89hsk8iNf9eNwT13K5H2p8g59kKAI2lhp2vqz8SbdCVuJnVs8wP6l
IO25yrpehOkXMapAytgtWrXoBxNk29VoCM+JtbaYstvK9NaHYWp7+wB+mz0OfHr5SvHFEpEUpiej
zA8oKkAFoopfIuWxQZod3HEJGLoPOLeu6gqZUp7fMk3WLyLNmGUAawi2Sz4bke3OqE4vyqq1DMmR
ZHV/NQI9kKf3495zmcOmrLahiSCenQrFTPbQ1nMVgNYnWNgZkzBv58ZDfbIqL8lsn8nGMI4AxQfB
EwTTqebnMkFuN+GrsZ9ao9+tWBDskk4lzZVItPGAdKuPTZ6YGy68zsguGSW9TSmglAKc2lpTIL/t
k75KXY7UB9sWtoBI7b2n58mNWUG8sINJjymnqwvJ51YRfp1PoDJIXYGCNVgpEKyvU5jKgPaOUox1
XLegh47wGP8fc+exXLeVtutbcXkO/8jh1N89AHbAZhQVKU9QtEQhLKSFDFz9eaDutkWI5D7t0ake
dEkyuQCs9IU36EPsnSvTro/90zDgymF6UIIHWvJ0GM0pOUZkZp4Ax/aZP1pte+uVGbqlnRjLRyqo
5e3cltZRJIqm+Z6d1fbKadXRcjSyz6+vpp+nGJ4Pmhoq/6NGra6r7QcwhrvgAe0QtZywF6quvIgb
RdH1/oJQ3bkjKs8QdvR63zULcXx95Odmd5Wv5gOgxUNl+OnIXS5b3Wlb49Q2uns39ZPGqTAXB7N3
y5tRixT/9fGefdMVxo6XEBeZs3lTM0FucaylcVrzV7/yugoqqpEe8qj6PfIK+55DrSC9aIbD6wP/
vGFRtQH4CTiSjQQv6emLKtkASRKO1cnO4wV5LKvfTbpwiUPV+cxQa999u7SgKwAGArZv0Nl8OhTB
iMgyC3FqUA/LLi/a+LqjknYbr9YnwqDzOdiOfaZF98y2AUZKtwziGlWT7TYd7Lmt+iVTT50p5cnr
oy/WrJ7za3hmtQAbYVPSngfAvEW21ENSpZgJqKdJ62wZuP1Y/AFltLtGzd6T+9ZNrTN012emDV11
k+IMJQSQRJtvmdp9i6WdsZxmQflOtZL0YrLKFLV3tzgDXFmX+mba4PIAVvIgf3Gmb+AUeB/qQ2X1
2gkzlGW/NLb+xyo7doTNZl40qBoEIPsbCPw99zJ6rmdOpGe+7apbxZ6gV0agtykQpYnInZwKy2lA
IW7fDAPXn51FdEaWLOhH829sCCwmgYJ+J3kA1Xm6SgtBQ6zo1OU06I0a1IuojvR4h5NlDfkZFNgz
HB6IO5S+aOhqgCeNdfH+cL41lj2WVm+rJ7y52Nmq4rQPq0C/9LUxab54Ob45fpwZJWzKzFOygDrW
1MFcbbSbvpMCtqOjDlgoT1559/q58MxnR5wJKQgSNVSvtkvalF1r95T/0UpNrbcNXsp/aMOUid3o
1uaXWiPUObNTnzkeVjEBmoQc+i7suKcfQ+bw+2xHwMsAdHEa1HbazYuBGaJV9xer8WDQQ6N9/S2f
6cPqdGvYQSjxoP22ve5gcurmACfwRJztrLD/hhpS3rjLJxivIArk2FjRruXmPdTphDyT1hXFTpSt
c86x45kdvSKjEIyFC+NQCn36+koH5l4rJBfvvIhDROR90tXW2muyPYegeGYous4cH4zEMt/ayJVO
16XFmkeasr6JUre7EVqHcESp6PvXv+8zp68LzAusI6/kgEF5+lJa27VVi2DGSSeBkTslskjcrarQ
zpxRP78ROSXhmL4GY1ygm3Eqr5w0a1mMkxVV3V4bS8p5IwUeD+HHM0vmmaFcKrroSnLOg4nYHIer
6G8a5UQGWmlFFDbHPj8K2dvzXvQIUJzZFD9/QDR2TRbgen8habpu0x9OCJTysfpTXP20DJAiyNrs
66UzrTOf7+etBygRqBwaklDc0C95OkpmqpbMZayil6Wm141FuyzVC/vKmqGpD6paB7ORaw//7dr4
joT8zjoBQGOvr/7Dq6EVGjlmqqonIHzFZWtKcaq83jkTWD33amDl4PnA3HMRWno6igsjSjdx3jzh
Tuve6qBWKG927RshYvO9lJ4a+XPCgvobw7poOKEjxY0JoPjpsB1XSLqkvXrSjFq9U9IM8Z7cSg8D
5Ucz0ESJiHHlZYM8M+7P6+Vfg3KUoEJGn+rpuPqU5GmBdc3JmrLqCth/uZsHXT2zB9an34QEBAOQ
BiFMEJJtg0YaNKVi1aZ6sicuAvg0TYYW6Jxl+gHlYV36qatTC5uEXcXwYEtxbla/c6W2T4BnFYHy
yvklO3j6nhA1zD62Z42wjiTTb9FShh8iSvrOFAvz2rfUeVR9QOn6W243Dz0KaZhfUK3z7j27Nr6o
YhrvIzzTF1RqlOKml2TZwZSsAucjBcff3aQpzJsxSyC428VYIxih9e1br6H87qs9XgwnA/WFW4Ps
6EEkrvVZidEj26OasaDA3Dr9742VLZdGKzoFZT24H7t6BkFwZsafuagJPAEzQ6GhAbpl5VuZW7WC
Q/hkYLtA3XxCOl2JKdvS9A1gnPXh69t2e/4R3gLQgurMCkCvaBuzZOBDtRaewWmYbPnWg6V5zGf+
qFXOdObVftJUXLXaYWly1EIMAoG2Of1Q6CpcQDITt3NGwa6NtPYmV5xJv1kEejeB10zdJQoMWCko
cZp8Vg1bqXxr8MxbQhf3alroWfmwytD+66hg60E2Vk11n5nR7NxIYMJBA175Af8pL/3aWLl3pY5d
i4mqKxPbBsgwWsgtDpYmdqhsWMltm0wWRe+m7qtgmnEYC+LcjmJY5476eZm9BZtDNE67w5Sr6Ljq
tWymndLaeRsoK9fJx20NyrW6NDIO+0mdPlmKnoCkLWxesCtcN94l2ViXb8ZxbA/W1A3zjRkVtNRb
pNy90By91Hgj9TjjjI4HgSALEWt9AnKSxseKTr0d0meb8S50gSF9eH3yt6cpE4JiLZhHrnNu9a0Q
DfovucIe6U+pW7unoZxaylgYScqrFuceeQAFo997VTLF55jCP0VqDP2dAUJRCdwcqs5PdzwGL7qp
KPZwMtwmFhiq1FhJJWMV/65WwhmCBH8T5cLukKI+aZ2ifXTRw5x9BUcv9Yx52TNfYV2SJEU0r6H8
bx7F6TOQ8qDBTkjHN0EGcMivRKs/eiYNCbsu6sB02vjMHf0TLpsPgAkRRD1wdB5iGOvG/OG+hNUI
BKWu+tMIdo6xjdi4QaITlfmO0nwRRPYoHpI5qtTrYorhGMpYdvZOyeqWjpsWZ+c0DLcnAWkLYR2a
uyuPFlbJ5oGSMs1SpDXnk1lW3m3cK9nJVUdjt8hWnDkJttcaQ/GxV7YC2cEatT5995xzgkR4XKj1
9VlodgW0YLrnx9dX93OjrEEQTWrON9KBp6MUwlsiRR/U05L3xS5ZRHPUmvwcBeWZlQyqAgF87IPW
6taWYmQhSDW6ghM7hRa5KpKr6O657d6RvbbTxWoZD/emSuWlp0j7RivLc8LoPy9gnoDxqSSiWwfG
/+mLVmNL182c1VM/5lFIwzwNJczcQ+pEzkkYzRxUdrycCRp+ynbXSYRkvKKXyfKcLbTeGBDjy0fE
C5HQoLumRw72tQpk5+TQl5N6GmohTSB04I40fQY8OZgq3yCzLUwCONg/D5bRfRscxFPOPNp3tsuP
4cT3RyOBWFUZqetvNcry2EPAI+mWU67l+mWVjfYKbXTlH86Cow4dqaGYELIDRrhrVwgdDT1vKU/q
0JhJAAg7LgMwHahXIa5dpn7rtIUeNh1xR6B02Ib6NnpkTWB0hLpBlIz2J8No7clvat3Qdr0u2zc2
+fYUqHRgPuNB3NZogMsBOB8Is4eRvX87FUnW+NEa2PhNJ4vSV2N1/Ib7RUpZtHOy1Lc6YGt+DvL+
jYn4/We17+ps//om2cZ+66eiGEsCxCyBhNKfrh3TrqPU69rl1FhadKNapXNVZDHmG+YivK8lLfVv
WB33zcGpGvv962M/cwauKp/U/ClIIC+yrUV51A9ats9yIjNLq70z69Y3EaNc4ZuiIP6gUxrdyqzP
8qAtAJDu1hDiU95NWD5oZkfh/PUH2tbG+Bg6pCXKtms4hMDO04+B8xPKdrJTT45ljQpgvzkbUO7C
tE0zELn2u0SAVNRo1xa72TRSYktVMc4kUs+cw5xVsFUAV5NNbe3CJ1Mp42huxlNdNRmQLXXeq4qI
3hEG1mdOyGcODsqcaNBR56dY/T1g++EOMtsoIu5fptMCVvBWdgLgcyHrYIxr9aLk4N8VIsv/9ZH/
58v0f+LH6s2/9mH7z//lz1+qem6wTew2f/znbf1Yvuuax8fu+qH+3/VH//xPn/7gP6/TL3S/qm/d
9r968kP8/n+Pv3voHp78YV92aTff9Y/N/Pax7fPu+wA86fpf/r/+4y+P33/L+7l+/MevX6q+7Nbf
FqdV+eu//+n09R+/OkQO//Pjr//3v908FPzYoXksvyS/gGt/KFkS//qN//mxx4e2+8eviqX9huKt
A/8WOgGgxBXCPz7+65/M31ZlHKSSDYv5gvX46y9l1XTJP361fiNxgh0O88hB4YWL4NdfKIOv/6T/
tjp5QGuh1AtjdL1q//OAT2bqr5n7peyLNxUtnpaf/m7f9NfJyhEB6I6CHipFJprNtDee7hDZaboA
FWMRjUQD0Hhl0btgNlFECbxWDKY/U2Zt6Q9aUw6RRY6fjSYx4TR3ghYIWp5LUE20w3fdIpEFqKFj
Q1814vgIIFIzD9T1xCHNuq7Yo68whhXpp7lv4dZ6fipsZQTvHaPxi8+x8LsmiW+bVqnSAy3cWPpx
jQxtEOl1AoZTWxbOYmBEp2ps2m8ersQfh7oAAJtFdWeFixOZUzA0RSX3wG0j9WjOrVIfm6xfBISG
JJre0SiyL8Z2aKeAj998ZqnRedQy176T1WTc2TFXSVjMVfZVKLN8K1RPADyIhxFAUALoVe/og7TT
kCk3TjlO4agaEhpBIufHQq9UfVe6lfOlr/TkvsPE9q1l5AXM1cpZ9Csz0hQjACS3REHFPfVB5h4A
GETBkZcHzFN81fTILj6qMXjsj+hFgRWKFBNvFFcbjPfgcZBCjB0HASV1sWASRcWAk1NnTyCPe3Dg
GM9zL6Rv1CIGNyQ8UYwwA42eWUwGyAJu1ivyGtHdouBbi6U59pjwUIZLYnlBEiu/Us5SU4DGRkay
4MwubcUsNyijRY0+72tvqW6KHha5D1u47bHaNqh393W+FBepFo0rIaOXoLsL2ObHyMOnuKyHlunU
7QKb+IImfQCnuvuaeJPeXPUiVtA0QYb3flYV96HUR/OrnZQ0EqlrzB/NTIk/QTDJeBsXJaC9Xpt2
70/U1mPQYZSjYD2MLbdxTVJ0bSLh+BiXsixuhWxN7YDLGxkCnfgp+9CB/DV33VRaeaAUxjL5es+3
9Us7FddagtyIn5LaAK7P695+6zhwbFcMtXoi2Yq1XTk5hBcAbOoCNggm3O+bKnO5T6AnjJMva/ZZ
MIBcvUdqv0Ahp4mnP6BEoqwNYCJtd1E6N/eFnLTdJBtI3k1hu3dVklbKwRi4B+80nIcav0dKCiXR
3By/NV3kpRd5S5HjgQOsc9kEkeFcFq0KfrOYtS7aGY7VZj4kVzs6lOD08JJqidSCYplKm4gjz3of
rZ4O5JWD/GAgW5nDSMjiODsuWKvcq2gbPcrScQR60k6t+fR7LXoWhjEWzJVRhZMVl3fd0pjTwQDd
wmoSrPdd6phLt4N0Yrr7eipdY5dmgGR2Cvn9N0XEdc0q6RQgcpmrt1f2kJQPDnpK5Oem0bwTo4ES
AzZZOvmYkrtLUMLAkNd9UnXTXgc4p+2UWKW8M1RrTxkMbe0X4IsOml6raTiBDzpOwNDgzOTqcLdU
Mrqvk7hZayude1OobdTsOPm693lTJICIdEO8R95DYHCgT86nuFC9tzUtzjfqrABoQ9IlyGO7r3Y8
TtLviGEqWEFFAcxHJn3Vs2lBrnNCpp+IsKaHCF6Be3K9Ps4DTmpZ+MaUEpwDFS1vRxcx47096uzN
uMzGN3Nea4YP4yYyg2IWgviwof0UAMr3IpYo0MCdqwuCzDQrnTBebKwCkENup4s86qdh54LmZdVj
DZGj5zw4/07h/6t7/MXb+cmN/upt///jPc6t9so9/pCL/KH8+supXf+vfXKV85P/ucqd38jHUFKh
rUt9DZGCP69yW/sNR0v6KGSlCAmh9P3nVb5GAOQtJOAoYxAHcG//eZcrlv4bpWtt1T1ikzDZ+n9z
mW/kthW6EJTgVs20p3d4k/ZI2hYiD9FWvZ2SRfoAQFPIRKlxmLrG+F1thQIELp/uYYaIoEqX8VDU
GoqD0TQHOFF4R3WBXDSokfZRNHDhfvie/w47fgwzvsfZf0UZfz3ZJhnBlEodWtcUYW4kxaVuzvWV
mFA9zND4uAYMFgVq41nE5SDhtGEGYG0sHwYFfD04eJlDt4LJZC55vFMh9RzQ/pY7g47V0ancaY/a
kfH2zJOu+JnnnnRTwVCr3uaMFCLsI80NjKZvgLfXeD44Ivmi5mZyaZtTtR8W+t2+FZkEPLI9q0Hx
0ugbVA/g18gbkkaEKtytA6fwuMO93Nq7kjulSboibKs6D5JxrHe1NoKSlpgqvv7qTxPHP+doq1VT
4UWMb6kuwqWMuQNre0jvYuieJwWKU2BBMXqbGuns+Z0D7/b1MZ+mRn+NuT7LD3kK4u+qrsBiDWG3
FYcRtQm/csv8uorUr6+P8N1D6JkJ3apMuLQWCnUZRThocXK51DLZ03+o3hd2OoYAlFcjMTEEXjyr
gVMXZVgsQ3dw4+VG5OPOsxREn81yuvZE+0cpbfNQpXofaIoWnSkcfldVe+4JN2VKRckreP9jFuoi
m1aTkGxv0yw45JRYQwOXiwvAr+ICl4ACeo+dvKcGD8xakx4GScjQzFEMNwBLzaMhJrw1Rk2/qZd+
ujRkPUMZ9uBeSaf1i2nuzlRYX5q39e9/mLeiHdMuRxwnXKIJ8XCP6juA3eFY1s671+ftezHvua/C
KfvjEH0i4hyB7CrMwRpfYKIk/aR0ldDK6+lyIHzyMT6pjkoLqnMp5+bUNxIxg0IbfHXqtTu3Sed9
gsDtbSW4kZVkEJ+6MjbDuE760MnmLgBQUKJIEMujAd1oP03VcLQSDdeUttf2Ip8hb+gT4kKRfhg6
xGjNoZcnDH0BLFu8coON0KUZmxKYH7RTWluPLTqG1zp6NYcxbowzOJSXvvbmXEe1BMFNWDdhibJp
sBIrdrO9NFCfZ+fw+ufeFD3/2ombE1o2aNp788TndrL2gIybCp0IYfiu7G/quPg0Rs1ns0vK3Qgn
yscwYz4z0d8LUs9N9ObEhVnRO2ZjVqEALUUFzspMOxhNzST/SYbHYqBBQMaSO/bOdWaBAVmtQWP1
OvJCaU+WGi6gPc4VzV98nM0RXE/wX5bK4mPXhXE1LmLAUatNi3CeLRB/pXlRunG+l9SnSRyqca9o
AuhxKyEo46555mDcVNL+Mx8/A3RL+jqFqlVh7MUpbSsIzWJANKOJow/SoHqPwSLutSo9S2h5Lngv
zz26Ln6Wry+I9fD5eVZQHnq6/ai/mgrJbR664+AEGknZLq5yeVmqbk54ap+D5j2/timPPR0HDV12
1uDm4ZBNBeRk2+ay9+RO1eT719/kaU3sry+5OV4btHOXqPZEKLo+20W0qXeZUDxmUOuBOGbaPtNn
7dPrg9Fgf+HDbY/GKUPIGXfDED22+atjmagTSMeZL2xrUbxDa01Q2wSdRsfvmzy/zGMV0HnXR1Pv
16aX40ZDIr8Xdo2EvdKK68we+TppF9lBPrjiesobqDBaNqtfLL2LHqAWav1ORb/gMzyt/nOiDvGu
SDrIGkDWGth/CXQwlCUzfOw6B9DaXCaeONoR7BjV7eFzILupAYd0AYv586Rftz3dTCPK9X5PiwWl
17l1iT9STVn2eBpDG1HpWE87mxDtaJe4WuzQCOjfKGsf1R+d0rmNLbeYfUjG2WUKwUsLJtjK8NZw
nvk0m42gbKMU075DNgg/ZpS/P4OKdy7THnLPzeCV2h6+mWkEuDPHGNuRHUIXwy/BDrzEkfY+qcv4
YExV3B1xK7bfo6INtXIuq+WbAgXiy5il3l6PFNcK5Vwad9IlyfXRQjCvmsz23mPOYWl7zYzSmkHn
Em7UUOimn1d9c08iBiPCS3g9v5Xe0uwL12isqxntY0Pp+Evy+bA38otcXTC3KKdUo5KCKPJAS6TP
HjLqIe/xXBO3giT8JMu8O1qxTsGG2jYzT+m/dv0hr5OZNNsc07Cd21TZlbrXYASHB/NxEaV2b6sD
NfOxFjDTRs0Wt3bmeMpF0lntIwyS/NuY1d5lI50aMnbdlnuChGqvudZAHzul+xDIEqZUEFk9/Ait
mdz3hbswyxpi4m9XQ/fCt2rdBY2RAl5WFtQJqRuYAkSd4QnU4AetuB/RhKB4saQmrLYaxw4/wcqi
QLMyMe4hzw6h4YrmQ1Zm2YMmbPtLYSq0vbFdmcsPVN3tL541LBifm/bU7TKS7vjOTo1SBlqt0FvC
24eAU6dt+pYuSvEx1qsSkelcF2oIZIu6taF16iGxEyR8ymzw4HRjw3WAn8l6bIS8T51afddas2f4
hjKIxkfye4h2NmhtqkQ0wu/QZiVkKHsVfVI3bfV3vano8S7tkMr0tbnMd2Nt2TtsuiH+NR5kNghP
O2oB0V6joNX5OLGRl2ckT34UZ8tnb7akRHxiwX1cj6bunaytsvTpOinZQe1rlEldMzma04jDk4lI
xV2ssayDPnJZ6znyiJgw151vWuNazdMya99U9Eh8p19kqODScJhaWWe3kJPsd4hD9veNipbEHuFf
liErJ95Zk8FlbatGdtcmyXd5Adv7o2KrScQEGudd1NflN4UW1hc3HjTYvPNgPWL1YqeBhtMTdSrZ
Dx8AXkDzpG7t/dENbZegaWCUj1VsZh/SqoUTiIWd0e9yc5pMXzPMWfMlXKgHqcb9TU/r5dM89f1B
V5r+vd2kNSIOEfDxzq2ieh9ZSgQoP9Fv3Nbdx1NNqa3u+/Qbve96T1Pe8t3Eqi8g4E3vO62g8jVl
hXwAFUC1LynURoZ6VYA8R44w3+WVa3weYBEle2gdF2OhJifZRQ3lTyiGdehOeUXDbc5Q5TVzR4dW
qC1/CK+pu3BucdrbA8lQrqJ2gVDLmVCglpZPHJpd/RmY1lxcqHWkXqc9mG3Zo+3nG/AbP5rATCdK
crN7pSGn2e1pJyENrYzU6eIovUEaV9kxkTK05DjZQJOqtA88sWQU3ZwFYf8055zo5jQckNUpViiw
92hV0FH2uEOrX4qYippPPmkJ1Omm/g9JxFoe3Jqz068dLS4Cm3LU9exVtC9zu7FHX9A19JvSSY64
/LjY1Si1+Vn1uuJhyAEs+3mrA6vxCpnWvi0E67kdUJ7hCOfIDFLpIRKjJol15U0m2/D1G/CFC/0n
RN28AowaY00NgJnJWJQsAYi/YtTO+UGvKcAzsclWybYGvjOgwlORC0BZg0he7QBvaWd0HF6IfLao
ETcak6Vw7DKU0moC+jLvq6bwLtt8nGEonpW5Xxsrz73EJk4oh3F1PdLKMJnqZa926niTx8p1XM/L
FWLyhMCz1gQ2bNXAHqJzlmzGS2+3SavKqZi0pC2rsIhU+VG4KS9kKxnHtZKby32KKHLi40ESEwlg
GDQgLBRVBq5FxdIEkVTEVZc3K80wSsU3ehzVx4ruiuu39tAox6waIFmX36MMZeaOXEqw8ZeGJavj
XBfjm7qYhvsGKyeCZ1yMKYbDM498I2L/HVWasKvAjsQAXnfn5k4TNdzfwmzwOJy6driDDS0+tshL
474ke/0cCeWlNbtJsORowAWsG2L+bgbMVRrxCc2xGREn4xyS/aU1u8mvpr5oC1lUVUg1t6FrNhth
nM3nyGffUYTPraZNEpUueuUtjl6GU1HR1C4FTS+PCn1vxWiFiap9l1s5nHfkDSDfemYwRYZ90TeE
216VJgehAZ93YY/4mVlZVOPHBOGLLP1YQ2U/KnpX7KYc+ElmOZnPsUNgiMbPhTTd9kZtMvNM2vPC
6twK9TVT6jTSbTNiNj2YMgVXjZJdkCjp14lG/ZlRXpjurbhs7CypEstaoBFgmFcxXTyq+wTeI3bE
Z07BF/O3zXyXJUiY3Jjy0LCW5NCMiRnkqUFJFhKks3O4eYLJyuY3GCk03IcAM0d3yY4q/pOPrx/E
GzzPX4nPZk04+A57A8WTUOmRPKujeT7qXpm80USX3skYjnRPrfFDqZU9WbdhXWeysO4WKWQwA2IM
6yg/pw3+Ug62SarLJk4jMJICt2NE2dwclTYQcaNf5ZUSaEWFErk3D3+rXPKT2ySFGkdkHdcDqsEc
bnbsBpVRKXujiaq3Z77t+g2f22+bF5pocEVpt+Qh2kLZFV1YTHoy8E4ZNJVDukAgbuNqjWS89iRJ
QY95JCeUAIZzzI0Xro8t8dFJrKYQrkxDa87U22wwo+sJ8PO9ItHNmcei3eE1HDP1ZXLMcKo7vP7i
32msz7y4s6kLzHD6h6Q30zDCd/5rZoyddUhhnWqJM9ZXyLHYlm/FfST9QRbjh84y24eOUgW9iH4e
VNRKBKA5hMGQ/3CWqdhP2pimoIDsBdEqQx25AZV6bY6XSD7b1oCKS5vH75W8ADJFS3C5No1Re0zK
SgDm6rhd8tHBgkWaRkSYZpb/nRz2n9vH2VQmSrPOKkLYJEz6CW3HOVnLxShP73s84y1/kqxo38Z3
0fRLNSq/Jm1WxbvXP/MLJ9SKP/mx+LkgqNbZxhKHXmkXn+14mve0JqddVmfnDDlfqPjRHn46Ro/a
2lKgqBJSkDAOs7DFXS4c3GnW+qjQbHjLSNGeFLP+1vdms0NloXz3+ut9dwB8bhVtohDKIe48y045
pmlSXrQ1cAhkdsQ1Wc/8Ycpcanq20x/pQRgRIhQ62mKqNgCl0/JhygFnxZxZHTWieGeMqXdTzlFk
7BprRvfFGouDQtUlNIpUA57HPfiHUN3i3kyT+uj1qLgHil7QVZKkhM0uNWd8x4yxngFKIXl0fP0d
XzjynE1M4XUjLa1cZGFU8etzsdRIsHXLlZG7bZClIrvHsDI+E7M+37v5iR0M5NaoKyxjQ6Evj4bR
3QGRackRM2D4g3Zs3TH/HUW5c3Dfl263raGXamczLlP0qco+udLcvr9TkYFlQEAOjp7Whx65mUPu
iYdocZR78B+q37NZ37z+bV/aHpvTV2hRvmI8RWi2HnKRceXsU5qKB73I0zNdmReG2MqgNvRd3Gko
k5B+XH+K0OOC1JlWl7mNpenrb/HCCtkyCRe3FEXdK3HYGYWBFZoc9qQc4qputPo0yaEnyzaVL68P
9tL7bE8z4GWUR/AvJ0FvA3dU7RNGOF4wTqqzf32IF4K3rdBD4pTTAlhBhBgVVG+0ZZX8LJEw7dDn
PEYdFNnXx/nOCXvm9NgC2r1OWhi0cHKhE19eZvVsBK1dRTsNCMqhVAzlundbcdGq/a1GMvEGR0xM
PrSq/tiXuvaAf3RO3qs9lsTEGIVoFZo96vt4zMpwAAEc1WGeSMTJYvEJY2obpSiEH6lElMGoKGis
97E4KE13TKoVP1UX1n5wVYfi0iBuZ836glHaTBkh7QiX0cUcqtjwVSeRfl8Rak52UtyVTO8+Eg2B
DwZyl6JHuLFtkTJb7Oj31Xzp4JDon1loL23XLY4cnlUFnEEnHHCRj0myskLnqWtsVDArxFdyWgdJ
o6tho4zRYZC58jluZY9yUK6Gr8/ZS2t9cxoi7VZ4i6HFYVs48e+IqJTvFl3mgd6rWjCgpVMjImoO
j6+Ppq+/9rkVsom+HTkoVYdfUph3jnrt2G21N6JyCeu2aU7jpCfH1QOdeKPVd6YzFPC+qLtCoDf9
CNm6gBb/By/BnqUtEMntrUY9mCOS0y1Svr/b9FvWPmEG1yjXd+SNQJPmqjqzjV76VJuw3Ru8VnHS
Pg6daWrRXipVn4NovlkK61OXivRuyakivf6hXlwZm5N0xs8qK2o4TnpB8oiodHtU827+wxnm4TId
0uFisEV7meRJ8m4URQUQLGt3MgXU/foTrDf+MzO1gl9/jHQy4aWpgtJb6KwIsRlpehSIUTd9/be/
FORsuQyybTxElggGYi2mRK5raVgtY7N38A4IvGlyLmtl0kGZLRlAeUwNYfja/5UGxJ8B5JaBjPkf
0lc1VRHVysE19FO5U0WW7mA9n/NWfeHI/Y7q/bEPL9MMsT0lCR00du4NBAOvQbt9ad2lHAKS/XNF
ve+81OemyXo6Te5cgimynSQUDggQhNrmO2NcUDppOhQhq0g/ulauHsYcgCSm2eldqffKPrVTKkh2
ndEqon8CXhZRRrzujYvZ0std69jR3/zWm4ASnLHRzS7Xdd6U2V2kU3PXFj2nLWVpH19fS+urPvcJ
NkdYOrtVXw99GkIW8I7gkeGyqa51a/bmObrCC2GctTm22jFXJ8dIGaLN2gtn1ADjKMI76AiuHxHM
1hGN0vo9fblz7nIvvdTmsAH/KpHc6tKQ6esCG0mZC5ZsG0AfOadP8gICB5b407UDMjgezNwjVXWU
BKE9WRwHr9Hf5E0DYT1WsL2V1fCOcRF+adMkhB0tAyt2F6DHJTo3poZIOIp6weJN+c4s7T6gXNPt
mgaH89cn94WNZG6Ood6T3UgDLqUaa1EyH7FrmTNnPlQ2nTQnXeTx742zzvwPGxZfG0V3Ys7vBidH
OurFfLlUHgBl8uogKeZzbugvzOtKHPhxHK8oAYpJK6Xc2MOWQhHEVyJP2Tdjfs6a74WTe0v6rei4
dtoCQmEYxmi/dJ553cly3r/+oV56gfXvf/hQmj0A0C68MmwwOvIxaEB0GM/LnTvTuv97Q2zODCGr
zsA6tQyzMqZxp7vOTVsvtyB4z/H4XnqJzZERe3PvYijPSySIGtSiAmdWNcubYUAb7/WXeGnhbo4M
JUkXzzO9Ioxl1H2MIrUGg434tK22SKznUXd6fZwXopKtPhOP3ky9MBB1t/R3dlvfQGy2fa1S8t1Q
48Jgo/vy+kgvfbTNcbHYXCwjuOjQLClg6yX04cyRGk2JxDszxEsgjS2DtMNFFJ3bIQuRQuiJ6qfo
Qp1SJciGUj9C6AYev/bFdLoViKhrnd9opn7RFK6zzx33bFz+wuRtzb3cxKIsUJJGJ5WsJ6TW3a4N
8CHRfo9kBWxen7PmNOhR74Hi6B+KttJ+t/q2roKhN40v3ayMF55AttkU5Bz/l70z6Y5TWbP2f6lx
cRZ9MwWylZTqZVkTlhqboG8CCODXf0/6dr76ru1VNa7BmfhYTiVJBhH73fvZ+ONKjhF+ajCP+f1n
8Sl4+c89zOcgX6NlDsd7jLvWCDw3X/X7xR7xR+Tz1uyLfjPMCNv4D3H2uo0fSQu8KbP6cRuAmg3t
0nFi/FvLKSMMGKrSrhmpe92XMTX83eBQpDBVybzBgLnGFbGRTX6OP4+FuOgVvR0TxQyNJKExQnvQ
GcleTkvqfnGFP+0qmiG2Y9pf8Al2u2nQAooqUvM06zI2+j+tEb94Iv8Yo/20DJVtl5utwY2Cx8Kk
CXfmnBLkmG/1nsPian6nSYmze9//CfD3i7vfOv/5Ty84FoYWzImd7h2sEVFTiiB0IH1uKej4k+6A
q/w/7mQ+oyFGbLfCIja9J9sRxHS+L9s25YlHH2/6nvRMeBrKbnG8duumqZP0K9ScfgdRAraGuS7H
0kzKMCHev1sVEY1KBslVko7ZtioXnJJpcNPQ7XZbDM177wTZ9vf34q++LJ8WUx+WqU3Kt9gnfuvd
Bu6IvMDqEJnBiq2r9/5U4/aLle4zEL5I9apICR/vRLDcEJFudjSQjCE51yTkKhGWwSzx+7dk/8iS
/4dN5TkU8PPHjTdXFP4sqJVcAx2L+9hQ+9FVehOW7LjXmNrZc4KudIOoBX9yZWTNBGMURkW/sZws
i9EK8Hj5mDD6KGNbZYTe3LJ9Uvlah71jBUdGg1NEOcwW4nKK9FjzRQLDUaoXPi7LI1WjJbuh8OXB
BCFXh2TU5g8xJb0KBVu0G6fTpmvkYeu+tIz5BvC18yE66mvPuC14GYPM3CuQxG0WkoYZRZRbZnJd
BRpNH5MWqLsUs8IUp63bjFstfcd3UDckXxLzVMPdxUxVFYz2TKJjNP7QwB6sQ0fRhoXo6y3kV3cZ
w815A6s3pXjF98r9uM7MLDVPW8s4WIzCo2WUCFroQ9X75qLaxbPnaF6czZb82k86bOvBxzqrdX3A
mI9s28KvtiavOl+rJ6KKd4Mr1NFZmP5KI7hu04kI3bqYaWj3YqRabnE1BnbSMy8bVes6VGphT2FC
v0m74f1lH2NZGpe0DCZO5FrkqmNcZzQWdI14Nb1eMnVNcsyZTlaVYmPRuvPsDJ15LEXdbYTwZbfT
qxpdCiwjRUSFgpoZ+W1C573G28kUgPnIZ58ibiqWfiOqkzG3InwW87dGb4fpDq9sd5eD2sZ84gdl
cnaNBe9dQu1HRFFOuU8hKTRxbbgJQaR2qTRE77RXpyHQyo+67Z3nckFyCDW38OiRAA7/5OcZxUkK
8AlgbeHA3VH+nMTAtf3HgXRWHk1r2r7l48K6uBYl3SR9ukyQ4XJrDHX8KREun87c4nkbuaVX02U4
ha+lDLkh1fNiGE1KYHDyH1szyb5reAmzHam/qog9qiH381DnTiT7GqOLvWBsCm1l5RiIfIclyE2H
0d5Bx1YPHC9rTIFj1uVbjp/Oiie8suddoWxquazJMjdtntp25Agvu1JuttJl5Cj9VqVi9cAokKnL
TLDNqWXwF3yjJhCjtzSdHSbAJEZYLGlZb6gEwg7ZSa1+ywYbhOQ8DoCRvWCb+HgmIuJvy40fLAs5
xTLwdpPObQkcnXab3JUTrUKUZF+qsl2KLRJmB0I5S1+lvmZbbSrzs2Qp8sh0pR4cJ6bUTdT5Hr+6
EiVep8wwp4gKk/SWvGPr79nLM1D2e80rN2Pf8oHyqLbfglyMjxoQ1jnkW+Edc9OY56ioax0ymafn
1y6YyGdw69MF46U+CU1ItXnEkDa4TzOpFTismX0x0Az6/I6xQrOrc815h9HZxtwL1EmNSQVBfCi6
7HGsE+8DlnLBDi2vZi5JIGW6yYa6wRff4TLZDkG7wpcakvYqVec+HUsr5W3q1PoS+YhcTgSSAEZb
7/cjYx3CLQDfxQrARx9V8aARlSRSB7v8ERO8ZoczGKc332iQFQrX7iDVwYHgxWCyXK/+ObZBx7Jb
xrk3JDvcp73YaEHirNsO5fhUVjMNzDMrSEY0djVYatpJI09USvyZY7lom8XSWiMuLXIim2b1h61N
L/wDISkM/pPuXRaWKvytCKrhY5oMJwipS1i3SxboWIRAQqIi2TRirLZZUqUFRJ+VcWIoYg3qarLB
jIb8e35kAqTY94nMzeM4rnQa8dbx4baiLz+CYFJjDPdq3EoU5q+B3essXVQ5cIW6afIPFlRAJ6yk
wzvg9p0u5rVIAcIaq3Ot6wCKwqAf1KGyqLwI/SBzbvnWd3hyRQBnvuJOXuIl9VXUrPXY71JGNm/A
M6/8qntKdTfrY2gnwcVsaum3ip/nTsAeB7arzq7tyrPeE5ESjpnyljrc3DWdQ0qgwttagnVqE6wZ
xoZad7zbdpZFtm30s8Q9l54duh27J7o/xilhXzswJAI9tsRBkKfMWSvD6EKkOP05WZRZ7ocKVERm
edeVNRkPWcMQfy100YSd2YL/gCEREPlA6UtwM9b2ZYlTixu9VcnNrJeOHdpDa3yFhDU2G4cGEghN
SXctE8jkc7Y84gA+D8uDvH6AQQS7E31efoDfb5ZIYpVscPkX1UsZlPxyTUZ5SZQndn9ETq7WyOCW
jZe20VQ4Z76uxSaNXnd4PNWdyIP5JW1suez8wQLZ6BZOP0Rll6mFgwblQCGPdB1/U5Pq+5pLENLm
XL8RHZ0e1qauTq1V0jOQ6ulKwUytuiyeKXoAXcSNs9cbuVjwjBqVRro3izHKsjGzdi0RxHfBd/cr
G4PeDCvmti3GVZAQ5I/Tfj2PPRmd60ESDEzYveRgjzXKLkaJ8RK7iBNijbRIhJtaiAX0Mpv6tg5n
x5R3/w0z283YNfi7qc6rL7iJ+NWEVrdffr8h+tRC+M/zhnne/P20/dWxCbsaEuNuMtRDSiNjtEyC
uA0h4chM9QmWtkMHHs0Oockqcig7pV+oTpE8tos6tmSpbQt9ev39r/OL3f9nZtu8mkCiJuXudNWw
TKaTu+3XWp6CTDQ7rKtllOjZuE15qP7hFX+xyTU/aRIs80PhmgVRDi0vnkySTLEFJeqY8QU7MK2f
/3fjzR+Dk5+us9HAKzBN5e2cwa43ojTLK/ZCU9yaWXH7+4v3i5PMj9PHTy+xlrRt9K3n7+jOQRoK
3OtypnKjB2n/h2P8r17h8+aZ2kJLY7K1c33tccgt6yYvqel1IUf/QfX41cfxSYuAU1Ay0OM05mUg
4xWkCTonGmNLbrXZGSMlR7+/Vr84c3zm0yS9ZctWzNouLcQzJ2xKXBVu80p8UGeyHAqqXf5gjvqh
AP6HE8cPlfanj8XtS/otRS72FMuYUQca8cYL+umaMZgbrmcsneWO+JNlXl+RkrOipk+NjSnEHBtd
r+3ZnXPkUz0P2WwoLqdkNp7ySlnEkCwFFmvxNn6KX9NutIXeCHgf2OLdjVlm7o010DKceUyCXVRz
7DS1d1AazbjDYlebafIEXVjUutDJUF6ndJ3sLK8trhIw+JEcKSeatHbeCPyfh6osGF6XQD9Y89dN
rfJqUxBWiL1zmwZHpwHbk1z+cKf9ak72mddJO2COv6fUdp1by4PBxmjDuVnE5CxlbCd2Du9jIQtc
FNpRZoN+JwyDHYQvxB/ukF+5+X6Evn/63JK8dHhe1snOAc5LUIFWsBMzTKsPe/I0O89wOzMGCRAY
WKGkfHUT2F2rP6sPgALLkThEvuxJIAR/mLj8Im1uGZ+UCoZNxehVzENmalM3CgNhVE2F2v4tq7wO
3k1vue8zePzLcrGdfZAxujAz3Y5bthM3lhHMJ7xkfPiJHdxT0VJ8/f2X6RfC9I9ny09XyhKpHGxN
iX1fdsauzrT2FhucGf/+X//FkmB9WhKACI5G31CmqvfzdLlgho7Y5KotGHgicuQ+Ln7/Or969nya
SOQJB4YRtOsON5QMjcx4t1Up6XiowZCniY2ph0PXVIzB//KR8Gk0wSlirsX5BTmatbcFIbPv6Pvu
AY7X++/f0q+msZ9h5Uq3pbAh4u68iWlgbVGc1lSi2FKlJd8G18PHP0wl9we4ygxLYDyUzfz248X/
j27xX7Qn/PQ5nClY/4ap2o3LJz7Vjx/4B9XC/YsSOcOAzunzVTXOo+S/A6rOVAvfhHmBiATj9WdA
lf8XZyqTLgzrzBoFk8dd+ndAlfEXPwBNFfKc7wA8I0H6PwBUOT9yI/96XgGoYkNiwMhy4VhC3/ms
lNER7rtFPYlIzIS8QfRYHn1WRWO3EU3U1JxCLVhfptWwH3EwGhh7/CDPImftBMkY+Kz3Crgv/muj
sF6k8KEjmZy9wk7U2sNSrNaHWtvAjGVaHzuOZ3fMsgkgDRr9k2HDGfTCag28GKk1pXdNYkMh1uq1
uB3HwbkkR+jRRjb3ztNcZByp27VuFEbnVjk0Ay92iQPQoLpRrql+r1I9QNxHLXrmwD+cOIlmVixV
YgxbrBC8Iy8p5DOkzUQx7rTOvCNsWq89LOXbrk0mjLCjVXxLpaDZrcdehLY+F/24ydXghFrP8t/r
AlDX0p9ds44Le2On1bV30ZmJQzqUJGIat2XlMtmwebGNYTZgZ1xlpF8pjR6vpgFIMhpvsNjhlFbL
reDYZ+9QyeSx0n2No2k1adf0YtvlVnrDuW8ZXW+i6IADaFiNJP7imrBccv5cKufQrrq5T1OQFick
F3tFSp29r4YznFv/UDO0OJFFgN2U4BKHOm/KHa69IjxLCCVDA+p6iWuHVhbqIr3COVjKuWcqldxp
ICHhkElr9EPsucadRr9bGXee713Z/H5pTOrVGWmS9tbHtCdwEpJx8Q+6W1EPw2jJh/ar4Y4PNVuY
Oehh2lPDstKCN5dOGxG1rjO8GTP+9dAqsHDvTZ3yaWfIFs7VWjk9KKovJs788qyjj11C4jDndD86
x6ymmlqpLCFLMgbtFXQfJiIUFnAfz5pnfPdxq1UhlGNapsfOkJKrXSZFqCtqJKA5mXZHsK13l9ib
yIxGzaLh9h7t5cOSTfNtWl39+9ys+rXbLwypaaG3WoyxYGCiVuFi2xToUKASbG3gI+uW7E24ir6E
Hh2fGJkvp5eJGocXj2YzSBLERYjvLPbKOMeFXbU66mrVZy3b6LLGmqP8nJyZufb9S6583w1dBROO
Jq9sa9jFYG+Qq9wjnYplgHabeGu4psK0N0RfOPG7cHH7t0VLyhN9KyUZEuHJw5idG4Ep9a7sDbYQ
x9l55lRS/uqO5hrDh74wcqtKNnCk2gdbryw/qjNBCDc3XZqS52yqOSWmBJR2cBWn2z5Yqvzg2XpA
j16NZh35dHW/tfUK6Ka3EdHCYDIa9zRrJnJTxqjjGsmBsnfijOXHYPiyv+gDT1xS1G3Noa3PNIEZ
brtkG7A0YOHblc+Cw3TTfke0Fd8Ks0yeSaGtr1rDRx8xp3a/1iVZ02jQ7fZrKeiPDJs0n7RYVwDO
Qp1Ycx52a5BV4DvE/OBzrs2Rd8zpNLVEOUN2v+MLcHjrVRVESoFNi5w6elVDUqO/+dUbHceKZ+CA
H0M7QyZI3Vk+kF71hwNt2IjMzA6n+zwr1S33mAUhRJqFHvUr8usGOvS5/2YJsNrPpEGffA6yNQ5X
btywp2U13Y6eqNJN3ZjteDHYbWAcR71V82mys9lDpKOLPkrmaRyObhOcwZ5dj5+vcgwhotHErg9P
aIUs2lCEZglskh04sdjOcxa5ZKyaObZtY7ygLaspTk4rM2/TC6ln8TTgMbrKlUjta+Kg+puWe6Ye
JqVI/F1ZrtDB10w/u+/cYZ6vO8dvyAtZrV5cNoR2Aem7rXMzltoy3DYr2mpkyzpL4mSh7evONjTB
JFcsjX7UuozBbz9WjpuEa+Yaoxna1C8CfPUq9o0IaEYmN5JG80ca29yeohMK5KLa9pQeoX5xfwth
Qcgw/XTpnwAjD+W3ooTCEsKB9NWWzuCpjfzO95ddweaQVYLCyy++qPwbyb1Im6jJz8fVbBpvVKNr
1JQSxgN136LtFVamdFS4anhQXBu6mOyuDrZ5J70Zi3vmzrFchDg5eqGOEjjIc5ZXCeWPa5BfreCm
DFrHJ3pnGA5rjIRU076nQ7q+O7Lor5uuyF/aDgucEK7xJeEL/W6gNK+RGgIggSw6Xh+fm9w/PKXG
R8tJG6yI2UQbqHUePxAfohM+bPXc72GhJL4kw237X6xpDpoLlw0lw6G14rjYDb3cgBWkNxWE7vQy
KnhyYULrQMcFsK01JpjbYASlNXTleemiOmGBvDfd2l72SrbOU6NUiYg+j8uj2dKrHk1FmaYIzClz
GEupWtB/iKSxLaoehzaqABewwyTcUfJIMzZAwqQQW2NiyBUWYvYUSexufKJ1E8qARoFyEjrGmNEk
ufoG1gnmDI+Zp6QfLV5AfGWwAn3gcQEwL8yDpLhcAyrlQ9Zjd0NdwcptljXmCyxBBmENC8rE478o
p21eBc6LmzrVdy9F5Wam67b9VhvhNdRNMz9RseuAfkh09w1PwvAAWdfkCWrPZRWWpqSqZCH7+O41
Giz/IZAflBoXN0E3NiwYlOLU5B5kUG3ofC1vF2DfzbzjaRvU+kUNPO9pzBMaRWU6dBggGZN/L3Ad
fZ/0NPhu2K3O6kR/AtE0twkxu8prmgIqsl9Lc8UEYXiu/Y5zLgH85iGTTleEK4EjrMy2YR4yAhbe
HsAdZ7+agfBlOVgoc31WW8PG0/EAxjQvD/sk8axxgyGvsuhHXLQa4K6lf7hqXpeYcSXwF+AqUPqs
PC0P+jwFlFzmpvngW6P9gFs5xQNH4oCeOz1PmOOlLXuuOfcfBpnUtEYHFM2HFJwyMIFWqJ9ZhtNz
oFN4fJ7OFRncCcuidp4w3gm9Hl6GHEd5wJ/o22HWlvlptNNyOlVVju7i5FX6yBNFLw55UBhPnteZ
1CXPMtkK6SLszzhW7XgRvplu6ENbrK051xCE6rp3HweLQctuZef03HuinGPLEsUD1WbtDSiPLI0m
XeNEN6dFecmiDtExsKcPmgPSD3azy1sJyeKFSj1sD8wv+OjgcgGmQDYx64jvvEfYqm0lX3M3GW5A
gYtHZHU/idKR7ViomJnqUaIVxYPKx6RAVjfcr+DY14s6zZxu61gqCI6tB1Yg7FUyGAeZJS2h+Tw1
nrpqam7wLTXVHtDYDIiUtHBsEXO6MJJRibi3a2NiygedMRRJ5x2Aqkw0dxq5cVTrmpdosLl7hCGG
Oo4eTdhLCgmek3u44KFpMhIjMt/SS2ZNrI2ryfZgpdUs3aYt474wbWZ6q7WkEtjl2STSrxfIL2Jw
Eb5lgsU+BI5JUYkcAgZcmCW1fE/jYJZHmp2YXlz3a3C31OvC7Nb31IOdd+JLYwVtC+2zTnoQPqb4
UmuL+uZ7OUS5umDrFNaGg8umwPByUdiVuB0Z8sGdVcp7qNqciADP+PSUMaI6x6PbBSxuPZM+pyaU
n/ZbEZxor8msTc7XrLZG7dmqaWLf55q1GlEzqvqoKUpBIYMuDj0Zrv2YMzphge0X/oHGkck1U0p+
B1UnTE6mxUjNEEnNwpcxCsYE/3cMHpYzdRm6ye+OwTev/Ws6vi4/0x1//Mg/DsL2X6ZDqh9nh264
Lv/96yBs/uVi/wYI7PJ/4Dua/8I7GsFfZmDQFGDTP/7jf/7zJIyj868fxZj8owFxVKxw/6Oj8L+5
dlybEkibEgnLsTmkc7T+JAwtReObCj7xxkrL+xrcTOiSH8Ieknp/kLj+XVf/xyu5XqDTIAGa+tMw
wp4K19DsvNiwIVtO7ag7N/CwbJRP/Aw/fQY3fzvH/0yG/E8vddYQTM75vMPPHmEaTsfBHHhT5HJu
BEnziH6Bu65P/iB7/7tq97e3ZFlkXQzaecFwfxoZoGRAa6QKeFPMpgQ+P3PMZD0wLjBBE1zNifz8
/o39u6L/9xd0fJd2Upqe/r/22wnTQWYT90MF78vroPE5OOX9lUZ3z7YQgRZS4iX/pFJzqPp8k/ig
7vnMfLql6Lf6oWP/pIEmley0QFpiA0fNu9FAan6r6dzFzIhH3sJwcj/NrTotZ7neGmS7zwy/PM6k
/U8JR4vY6WGtOG1RfQnYAm9zjCLHidqzG6rM/ciugCGJZewPAUiavcGx/j7HJ8G+Z6ZVQcoyidYK
wZfZJoJoO5X+0Z2b4muJk33jmYJNDbTxRkZ90Q6xPvUJO6mShT8BvoirpfC+wiCtdgLakh1KJbVr
f2KumeiJ/WLz0WWEh8EyV31BuHIYh+XSS6rhlQbzD1FMeaRb3mmSHvApM5gisv4BuQSLdnobEDqb
WAeVnMn4hd/3IM4M8hmE4rUvBgWvJ8fr1MaooEC6tHdnZ9vP/FR7jtwBbs6uC+WbYdm62cHGTbSn
KeJVbzpzn3RntaKbZMqmsjFee7x89+3Arh4gIewxOM3LO0j3hvCZ8sstZ+txxzOLQX1ZTVOswfrg
3JCBcolKMx+vHfZZA8PyuUQbDXimD253KUqHfR/KcBEXldY/48Aq7gy7VA+eaI2Dv+RObGqrKwHD
mG/uamFqzfSa5q0UjWlNMu1yNlMfrKju8Pj3x/fUXbQQKLrxoFnt2VTXJE4WLUOVX7oN3tSpKpND
z3B7Y67kbZM+kEeB+fI6L/v0hgbe5GBQqcHRhj/cj5WuMSGvyjLum8XZFiRUXISkOYmy0pyOLYCh
+6VyOheGc60MdgeVdxxyR3xNDcs1GFkkpIym0iVqVACaXnXrSEdr/WqmEth1M+Tm+wTxbAyLSo57
lZBeCAVhNjbLvb83sozzE26AZTPiMo1tBiU7vcmuM+mtSPXr+HEGth6rOcDRqqNftPiDeuNu0Kk1
GHVdXuRJ6uKf5uKuDhjwTCIhUvihqIKrO/SO1mSXQ+tk99y5U3qgKszCOwTkeQw04cXWiJmVTos6
nKpsja1lUpCyDOcJ1ae5wbOA4Sutiyhp2uSLP9COCgAV9pZd6UcmfsWTwxSc5pKufFk0DMdd47XM
svxvAw0z26HOvGfUC3ap7rA8ZEGV3tWT44LVtoPHpCpMCPWuv5PYBo4BwMYrTHr+jMpg6I/WKvTr
0WqTk2FkyF6gEuZ7QVVJjI0g+chofLimnpa65sUrLoJsLm6Bv8pnHwbSAEKr7cqNxq8h3zVht2Jj
LkGV74d60Zutqie6KT0cmsOEx+vMWugLaXU7XCFdB5fJnavbSTdzEXfQ5/WPOihVuWUTOCY7Kin8
epc44GhCK7Ca5kqQY9oXlgzyx6JADQ7TpdQ/5ATqfbvoKl02acY+DH8U0KwrHilcb6rhCz9KlsF+
WTvNHeLZXD1vS8x2HOi0LGx1dLPWkxjH/BsdmK6X64azQ2RL0UHBpaiYbTv7yRr2XPWK3WV8yKbG
plQM36m3QYO2r2AsQqVnolWpo3BU0hxr0BVfavoCJ1Qia36tJmT0kCGcA5XAlPP7qOfaiqFCWk+g
uwPvWHhi+F61crmnEEpYD3mRMDGtgeWPNIyZqzj0mlbYceVVwE5FzukrZkdQ3uHg9EMtSx4zsqM7
Hc8Dk1Rbo/N6uHTIm2PoaUC2SwpYx6Enyzkhr6Jlgdxv1DH1ma9ycI8M8vJP1pT1BGny/LstljVC
doKz3AXghbmdZv5iS8O1TY5ylzrWsa85YTBs0i+00WW94HoctEn7BhBmuuxsrb0Z2syI9HJEx2oc
c48lBq/RMt0X3F7NoNM9QpxJ5/V2xnyGyIjgQY7yunfdfVJXfstr+fq26uSuTd1jlvrTZhkpN6gT
27gm3f2E0B7Vq9jxBAKI3F94g7pwhXaoWu+inMsnpbpnp+my3Zws705nvFrUNuaDTTnUdIl+9+jr
YnrkObRD4tnrLkdNt2cOhSOH2gQFlCsxaS5I0/HQ1M1uZQ4WTu76VCx8bYC+oZh762uZ9ZdNUVzx
lESO7r/jyd81ln1t221cle1905W3tRXUIUU0O+Vau8wT48vI2hBWgjJ422OkhrcvpJzWPk118l3Y
6gFW37VncJNQENyaIFc9s980IvjSw1SMAk7jBHaTaptKeeu33EfTuvdoXRIlou/SEfbLxfus4xIe
lzANvo0tPrHOCWjHKp+IEgxh6UwsmSUiYgEoDlwCBLj60nHmr5nr7S3bic5lGFbDulsYmzKv8E0N
r/3Eb7wal6JYruEwIZzJLsR9zH6zXfkb3Vb2igyzdz1IBUtQd09pY/Lct8Yrx/bNe9vrNw754m6a
H6pUFZGLRnfV+ckenYb7yKz2UIe2Swu6zyuXr+DiWryS5VGpYWNnPk5Rg3s4aTQzUhjXY4UDcDfO
XROnswYstIbKbyjs6Y0P9M5zACoGfdT4pRaanrlDfkQpXvobTeTdF8Of/Ki17P56BH5pTTZBumS2
mstyHQXaFMMMEn5HGyd1zLlxgHtVPmQOW0O9qK+QtNJdUdbbcc0O+upfOFK8lk1Bm5Le3Qk73Swe
QEfbNI+5yzn/nAxAYrgPKv9i6VLrOtfymuw9mXBegDef1xsvWUgQW/qW/Cuq0Ox/WZLlm92ihnWO
O0acgTE9i7GMVskgyh0M79b08vaU6Tn9E8xHQ13vT20LenYOtPEWkFZwCBrnWWo5l0wuF4GXJ1uX
1nP0N31HlcpwN/Vjsm2aDvy7lmDpMNWrSWHgVeet3hGjxU2S1ftFR0u0mRRcFZpz6Hyt2WdUu/UA
k/BXay8Uiet7DNRTWPnGFaOI23qGs91D60D+zMGR6j5W9fZEiEE+C8pBI9WXgCCkuVsSBX5SFoBP
s2e8QXLbzzhf8Cbzd1IZzf58K6fsqTHUXeXbF4GS+BnNRnBzJ7tWmebJ8LQrnLcwGF0GGs0g7udF
PxkWzYNVextYy3HM5OUE9BLuI5OcOBC12nWNf4UmtW58HVNfl164dr9vZoUc6tTbZaSdxZkf2sX4
XmRq71ndXSeSp7J072ikO6VFf+mV4qYIxmk7rWhay3o2g4/UuSzzu4t8veAftQv/EAxULiq6Nc5d
aXxdUSOIE8riikHLqcyLfOv72amZjDdrruJ1zDDIIr5nUNdCQ/NfDLu7Sxdarh3bu86LcsNsdGsW
Br04ZYHjr4oNsWqXrl4/DKv+hgVND+tyioU2Z/GZq8Qtq8RRWng2e9546iOqLfO8hG4Jr0eokYgj
14Xn0nqJw/Zyzfmuk49nLWyYPWWZY9153QDacDZC3x6N/VBoQzT3NPa0LbrO0NICHLTmoyaNQ41P
eKP3qxdW+rQcAkWjhdabH7rPh1icswEapTxGob23pa1vQQS5R+hBOouifCwb+74Wo0bSkt5VU0El
lZSLMdu0+uzW6c8WXxNgUGqaKxoNftbRn96ntEmiemqvRldpx4xeL7I451sleJZl/TL3dezJfL1f
UcfOBFlsQR4PJyAs3bZVhC7xGnxxKO7kn1Rf8Z1eVSXPGwq8uLZ4bqHESGNvr+AFh1nmH+bkvZlD
uVukdrH0zWuC5Wczk3VgmdrYLpe3TGkUbd2ChLRrrNtcUFLS/xCi0+m+bzweLq174P3zVtz6lGft
t3KWF76eEIRyz47zzqKvgRIAzIaEoGbI81d6HnihU0ktHMxSXiSThEE/zNq5/ZDGl8Ro6r2bF/Wu
Wd1cj2u9zdmzprioOkz4VrN8q9axjZGi6bixxjMkt63xY3XdbsADVscAa2lokfr8BFlgPsoUrzfU
6eIBauZJwszEntVX9+sIpQSoBwhwkZiXFfEezlmDi4Zee0ZEHyI2XMjwb3XPOCQyK2FsKqvx72Gn
sANIOfOdv4vcdWmaRmgszTeDkopLrc2cpyl1AvRxMe0GZcHYcCtMqwstFRSIFkOw8c+gl3QqxR2i
q/ta6OW8723rCkCf2CrdL05Ej7JvNDx5Q2wFknoWN9Ci0T6TFJmgiGhIk4IC4i441L5AuGPWtByy
kcFfmM8mLkVcajJMjcq8pCAqP0IXyiJb4UarAX3dJL47bV3lzKe+aIb7YZDONZVW1VVfBF/hBCLN
Muv7lpTQYmFIDBxv3NSN0oJ7tAmG5rJnFdzZQ3PmuxTufb/U+UaHO3gaaq0IG7OctwkjtLjVkHwT
3ZmuGbi7T8skaYmyxcghamnllasm70JmhhzDnLaI2zZI6bknhxlZCdMiqFvjl2wR5kWtGcYt4gDJ
iUBYxRX5muxBSwu2v4muqy4qnP/H3pnsRo5k2/Zf7riYYGOkGQdv4k66S3L1TYSkCRGKULDvzNh/
/V2eVYVXGVW3EvXe9CKBBLIJUe4kzeycs/faSXngiZXfmYm12CNa9XXhKfwp5ajjqZjdjyX0qmsb
j+J+RPt/ymqdgwcGWzfuMBmYjLCwucagxrt/hWUlPSKRlRe9SIYbPyGdpsrtz9H08oDgYUAml6nn
Ylm8u54M2qd5c61oNTPHs9q5zPwtgXCufkzaYdbLQnJltpAbTTxUlNldu54YsoyP2q/PXQ1ZLP0R
4XzfRMv5Tl0x57dmRjNpxqkJb7nNc7te2zWZgOpng1RatbHyeRzuZeau63hjiz535qgPtrLAbDIQ
LDLsVoZ2XtyvJZrEaiaDK0awXmECWCznxmjyPu6DUjlfB1EjjDiPZ5FHiDZ9rMV67fiCxbWezaWd
pRMCD2DKx8Ht1ddm9T2KLXr/IpnrmiWmjQN+ew6imXegKe0eHIdw3o447piZhIlgD9lxu/ZjjPlr
jR0g38cRttrBCYP5YhptjifbFGtvBdaXeVFLFDGjr0bSgikEKG9viOgTqutzwOhOjMl9P3NacjBn
4CoNl2PLxg86qXDPvG5uV9lNRz7qcsUErztS8j+t0wIFOp3VZbJiwZ6GPi6GOb0pzPIm1PYZ5JjK
VwuEzuQNVgwr27vK6OtPk74kwYmDu5yp95dpADGZTtdkDQ8RWWb+YVlwZExAgK+Ip9E33aDm41ht
1SlDKIPUGbOvtXreaxKiH+SFPqa2D6eFCfWB4dkYQwFdMSaK58TlFLz65sDcLqSkcNMBC06Y7Rmc
BKfBbdTe963pRteyOyQ4bS+H1oc/XCcMlJttsW7HOg7QRxKP01qRxJaz8/3tAzAuj55Y7D3c7+Cw
OqjMGV2M9b7OggdfiJP21yBWGFL5fQhHWREOaR6kfteGbRt1imzavJXXvMsLO6Zkwoj8h/FoJu50
190uOcDHLLCHQyqW8KoPZ2fd0cUqvpq2ZphuunS+BA//0bUmiIJqKIkEcabYqLI9LivJecKkUKNt
r8YbZr7l69Yc8F3gGM2VdciSNL/MNtXf9e34yMQyiKROv0w2YwS5zmWs+/Wd8DTB8HYCQIy/7oIX
nrCpJVhjhDxs15N9aEmo302N472uddMfkrNYc6FRgMHMu5W+Wm9BmJmIsrKOqDHGk4/udk+QusWZ
yPfhcTG3ajly7GuHJzO1ywRxQULvjrS3E5XaN9stf2oYTplibYYnUt0Wy6pu8jC5A0hBPaHd6c1j
JH4ZruiZdu3kMbR0oQueAdQv/sQyCBjwoRvs/FpZEMURcoWHyUbfrIhFf3NYmS+70tYR/G95wxpf
7P1emQvqmCpmJxh39FiqPR4ZN1619MlL8c+EDWd53eivxiZQ6zWN8PquWOaVSqdoPqwkmR+Y7/sF
k2C/ePOHpow75SSXCR8+Nt2yxb07iBkaOP9yJHTsyrXJ6rA1yuCw84k9XTUT+bS27BfVj+yWlhfE
ed2MTw0AqxPFeBe3Gqd0agHohWLVo4howksgDg5WuK2gs1nAhsZdFHb44WqV3FrB4qCT6r+sY7ld
rknp7Sewf3vf0/i2XLdmnFV9c7Gg7dkveN4w+mzCu3XSzr6DxWuzMIUcy2TfFOfsRtTVUbmG8otL
DgQJrW56XEJtXZFXibcJhQddCDBJQelguTY435YsSopWcFpEJDEjkYvWxVM7x99eeRyKcwL52eNU
YKssgF7s3IkzaMbrsfMnnhTBSdk477WAkusNDl1njxEc79N9sEzguFStDmNJw74gI3Ifqi64h1VV
3wrt3WJRqcxuY/YZhTlsM6IjX4bKeXEUGgvTZFTyrc8BcO39XUIYOM4+HSlNJqBH8qI3BF/6s0YG
6CNnmO1AIgVinOYyHJtYLN2bLNRFkXj33qreYQJ8cJbyOeOSeIP1ZLjLxPJDdJs4FMLUcSIkdYcx
H1k6owgngwc4OFVebw+Xjp79e945fbO15XCt2eMv6sIxUYet5iLr0yUOOoztaS4t+x4ifnlFqOaN
n69fvX79ZjFdpGSb16dms82jmOlw9IQJr3ui7RDZD+5dN0LY2oGdV6iFnHkn8vk0uuN8aPwm/JqY
lSh7YIHZzlPWDUSbm7HKBbNz1G2pggsP5f0pmNQXwpdPrVNWhwozZlX6bHE6ZWK89G9NsPaRm8zH
blquJFAgTg0RHd3rlUT4935lIy0zO6Kgupjk+DRrhFOLInJ2eww6QgdpwR/8gl5Ibrc3xBG4HH7x
7vjFgAkxzx9mbSI64BFxBVHr8ywWxO6Q13wpF/9W5uFrqO1TgbKyEy527OIq7cWF2urnRdjqUKGp
wpVzMbasl2H+YKzxecq6F92Me92qC5qqhwzw6Eg/JKynq9TkUZUFB+SXnwMTAgOfdw3MfWNt/rvr
gpVEElA57LYkLERub8VtqmPTrtvXQtYX2wQ7JPPJ5jjnYhLtUFkn3fP2NuHJk86hTiYSByaF33NB
6WjuVegdQr/+0iFTyXL9BlIcRxq18bm22dIrPL7IqDqQzEDHEDG9TTW2oxLqBky6TruoENHiXq1h
8JJ0OIpDN67EyFO0RWHZA/Jkll/A1Ja0/gOX/U1KdHsIMdP6R+11/e1Sh+ZidtuIXeNqdufudfa8
q9rXx2yaL0XGtp4ny2WaelHWQuAQ5CnQ3b0e2uZIZcqzmnjXDdZCOgb7JTP7id+0TNu3rtBRWhR7
9o+obrp7xqGv0mIZVCmbth1c137z2Bg6SEhp6K3A8ARQQgC1w1jA4WaM+0IG14s0xyyArjRW957X
4Z8lLBSVSiwHdbDCsrnmq7wJ/eR5GPRV6X73Zvfa5PkBa+m9mMWJYOkyMpV5DpLqflUZ7eWFH0L7
mWondCewEel1Cl+PpI36CYfqTbXS/mJH9wY32tBAAOmz8dzN3kOagZLawnf80lj38HqxedAgtS4W
t4g9b3ORYSzX6GZujOpYL9SNNXYn4oAiknLjwGovm4S6f+QdCxcmf7tuJlKOXf6hq9JrbyreZzPe
rylp5Lk7XLnFtiflQj3SWV85BlRRm4xDHPjBDRBWzNnWuYOpEWm20/LglS59bb9kQxiKezb8hyoY
bjRnys0u6SC49Nb49OWE/dcPhxPO+EfCAMadltOpqwyGaTqxxA8cc3CdnXBOSz0iUp4BsNN3ukeK
ey2gAO6DdH5EuPCUVUkkC5fEFGAFjWfmePR0tRtCVtPEQjabgQU6DLl9kWfYzD2eK4rbOCjEu6cS
YmPK8a0V4xctWDqRTmxRaeRJuKuM0kr/sOeR3WX8uWTLpZ6LS9GG0dLkb1MmHxgZvbh+o2i9j++V
N522UoWXDCOeBatWx3CQISc2s+xjndarbMKSXQT3a1hcpCphuWTa4+QhApYkPEhHP84+XQV3DknC
yJdTL5xLv6zPUbUvarPupMtBubU2FGapeBrzxuwTzJuIhG7mqf4sQOIvvXvsFusuDLJvoZmsPY2X
y0RQ+Z1ruZaPPlvtHcVJ5Nnlya+yUxIuj2XQP46ElO8z31w1nbll/3tvc4jsgaNeqjRbjrU7cH6S
hGUwFiS/tbmTurzW2FCPibV9ZYS9m+vlhIH3DnzARmGR2NfgDfInJ6UQt4jQud02xnKzakkkXSd3
fNry+rks5mWfkWwTl0SOrwhYNXUXYcSXMgQz4tjlek1IA8H04XbbafCVyvBe8H5Ul2bt5TFdhMI+
7XUXQy+dl/U8GCSji5M+qtMV8OtAVNCCYtkdGzo+SsOenjnOvlrgYjceunA75bbn3Li+P+zLwVT9
oSXnIna0Ph+BVHBgkswUua/OaU1V9lQTIvFRem5xX609bZ8yXHvUfokdjXnuPk5r7t97MsN2veZh
SqZBaX9OU0grBgPdyEKUoAtKE9i7vZ19VNmS6IskJ9YTwkk6vllzv7JDzu18TxxKN+NdVyObFVE0
xHTkH/CTCBCpG/3QMz68aEtXPnl5uH0l1RieUz2pWyvsHWgWFSVzmKdbZCZhEztXLff0Dr23xMrs
95lW8kU7n4XYPq5IqBB2si+Yw1VxnpJ1VcuhPiQynx977kx8jsCOkw69J6r8KW5Mmn8Le4nDzmwj
GOZh2TNW9ziPA8kPimE5+ePiHZgnuBzskvARNgJhI7ahcKw4XOQI6V3v4NAmYWGf5htEgyAOVj/g
HpG0/KVqkgWIzySvJn9W3zL4rQeE2MtzWo5ipxS+0FlUywteBRR4XvqZQguJ2nXNkUXObABkK3cX
xm3GK3WG9My5+UFU8bsc/OEup30QO0ifnsda2ONOtGYicKRsL9dtLJ+0T2e1m3O6MjRWo007zl62
frMvmaXYNa2fhIWSqSQdVF9uHw3DQcAkYThfLpapjp0ZWH/sTR6k6rtT3+qGF4ilrU/tSLTObUvT
/bDQd3sM7a085YN/RJnwwGzIe8zqjXMwfHYT28h6okU1TTxx2v66mAVsGgCA2DVDA1HIZ//304qO
er5O8UAPNXI9ek2TR7ehzxN1k7TSuiXzog12clrIKPZz6NJZO1V37jozM2tEehJ6mdk75uS8myC5
2ME6GG9z1IlQRp3ilGSigKUs33vt9gcaQOaQlkF15OwUolL1a9ABLRv7CL7/1p5km/MEGIrtEsby
FRSG8CkcSgzxZmzNj81JgMOgC6wPvZzHO9XZNeVaAFFk3NzxOM0hElaMnws1vhTHTRg9cCwomKbr
DHLHDjGquEn0Iq4Mrs4rUXYV6tZ+IxwjyLpyOtTkPl6QizPpKEyLhLO/q8Wz06VuF/mLhwYwtOuZ
7tsW3hHGjtmhW62VE+Ow3i4lUBB0bsOrY5z6opzyjMBNRIbLMPg3SB1bfqYV3HaJkZGPLprvdK1R
2xWtu/vL1iDZ6UaHAE/HAXo/mAWxRmFrh00ntd2EpTuhqmirxHkNgyLIXj0y01PcGUy5Ihmc4R5/
GTKnd3rGknE6KXbZ0oKfxZxs6O3boJdmOP6lrMuCXEd6Fl1B5u8uy7nsfuVxX/bAh7MvaUKW1eF3
3dD/2tTQ56GR+p9TmO8/9fhHbR7/+9+0eYH6LfAdSNVOQPX+1wzlv5nUFCY1ePRhGPjKZQ9xUZg1
rR6y//Nflv0bqjxJIHMoJSo2Imz4j6Ydf/+PjvoNuZntqrMO9q+Zzf+BT+2PntOAMaktmbhju0Ds
b8vfdVn/oLvK/ISCXRdp3NtYs7rW346BU/4Z5fSPntC/XQX5ITN/JVxcdn+kJGjmX6j3U+aNunu0
CnXswvwbmvYbYpzCKC+ne8trf/7DXfgXCr1fhGy/fzLp81eAr0fa4hffa6M61M2ZIeUqwcVvA6J4
TNWYXPtm+7bgh7lZGtf9EyHbL6rA36+pEHdgOsSaCEPwj59zHsp0ZbuwaIrnX50wG64qk2477IjV
X1830srTz/ZffLp/9Y3SygtsbIQiVL96hp3Wz2WqBhrSi5m/tA0kDy+1K7xqFCakAzoXRFMMB/pg
1eW//17/6TNyPRcTpXQDz6b2Oyv5/uGJAV7m+aVwezruamJOIgbnqW79syYncaF6/Pur/dPzybvj
o+Z0fC/AYe15f7yaj40uNY4AgMyofN/lhhXcoYL/f7gKV5LI2egw/fqZhnNKSFUEOh4xAN4Q6JxF
uG66+D+7iu9LVwrJm+bjEUFq+cfP4jWdZ0Se6LhCgXQfTq51cB3S+P79VX69P+erKN41FQiOpZzM
/3iVzsmwD1Wpicdh49hYO/NT6yXBVdc7yfHfX+rXm8OlJJdxhO2jTQ1+T8v4h0eh9BAaoFE38Upx
TyI17BmOz3+WevQvrqIYnrrcYF/hs/3lEdDrUo2KkD6oUnQ6LA51xJptf5bn+i+vEtpoqDkiOP+U
X4stntNy15t45lgP4g2NXD0yg/nPvjEWBtZ6wY9nYT9Lev94c1aygnEWFjiMegq9IukWLE+D1Ys/
WR7OP+f/mo8DTMeBp9R5cXBtAQD2lwWXm6AnGME2phYD/cJezIVr2eVbKhTtbFWK5v7ff7DfBbp/
uGLIU0C7jJ2Jyb0KfxEqZ3VLnACxAnFOrMyu6rHKj46FVd61iysRdN9SARN64/gSr5SSJ1cQfSHR
xf3JJ8dmfX4g/vFXkT676Xl3tH3BV/Br1JARcpvkVE/xnLoCVpqBBbuzpk3SWQce3yGP61hqwG8W
wj3MpQ7rL+dDu3pgvpyu1Plz+rnaELGumDov5qZf5nl79V3WOkiRTGevQmNltK28WrO8j5guOMjN
rn60ljMw3dUBkKO6FZu+qIq5uzfEl06HZu70td2eIaHYdBeFPqQrn9F8i/oiC2D1HXMAceh311xl
EV00d2CCNQYysrFYUiFMOapgM8/rD5PoYoshlG3iNXV6A1khC+r8ZNNZLGkVWMhoTJkup7Hw55Aw
h6Ge9jTqZg74a7ett05JP9c6uV45qGsM3yVwZyJKr9u83SwKalxUe+Pb7QtILfI3ctt0cdj4CZZt
1OGnggDzIipTTDtdSPmyI6jU3DQ+NSJRLl1JxJCqawnf7fziBmUuCxqOibb32+gQFU93wTBEroYa
K84SAJvy5lF+NVKjSnPdQStiQxebaYyT0ZEnlMm/LwXI1r3UljgJ9ju186jHisiGCHRoLYMduEk9
N4vqsAeP7OUuLjWDHtCHIehuC4XRIh/tWjZM1ZfzT7HLRekYK90KFVXTarFFzthnMon5Xgz9vO3z
OhvT2LeX9D1zTPiIrtR7tzICg895xhNUNlFWDLbFbM+kAbr48PLCmZECdd38ZtJu+bmJhv0Zt9br
2Av9Lcc+mkR1PtNATVoYZniEluBV4HhEi52EEPA7YeT1OdK13NFisO5s5JDfS8RZ2UVhS3s7DHin
K2LVA4nPniTEq5Tah8pWBjySScvDjQwsMwdvbTGiI+5sd1Yq7VvdB/qLaXAzHL0pSFEH67yzGSUl
4Ku6LCD0w4XgGJGfmPg7BqF5GU1DVh+tspDvQ5p3r1a9Bl9nr8Prd6+moFDtQ2iTTXozhk47jvFA
pN8xZ7Dv7PPMDR+5Za6gUz7jyC45HM07skLDL0C+uzmurd8Jg8RbFCdlIW45ahkwFyx1iXogHxRu
abf0eydKRsNodE59eSfKhG5IhRfVgrC4utt1mqUFci5NTFzyVqpN36UpIbbcmzT4sblV99wNC0p1
AwjI3qlwXs6lbT+9W/Po44HrUKitAGSRpmhJ25OOQ/OUzTR1MIwl3V3bupi3u8FhGOmihEaO6mTT
sxwL+hFaFeFzmc2Vf7l4Y3mb6VoQX1wLrz9UFeCyG49Y3Tdrm7DZO8Pi2CdE14AoLR24XpxYAxF+
I+5HetdN5t+4de18yrzbVDQCOriaA9etzhHS63rwHT0wpwqZKTOe1YFJb/pzKUk+8DZuOydxJFiX
ViWI5d083AVNQxb8kFl0PGzUUSdZsmoxk0WEFpMWggW1sGiroIBqGMuPjTX8nMWCVxWBZo7ag0z3
Cc0wgllm5P16BViDuGV3tvSCAESnPwjo6QmncLQtbvyuyz5aNrSVPE0UK7vVX/zPUUz1F08z/T3q
0RVvKxnD7yhs8y+bM3hv1bbQp0uwRzrIbOoAclqWLk8Q8pgE9YzxkC2eBavYBDhh2HkL09JfU8vf
rVKKt2r21o8ZGv8jqpuioHGZDP2unRc5IazYsAXg3q1E7MG/eba9MAeHalH7gywE4LjjG7a/A7zr
+3hMa16eirdiRjnrg3QIchP8pEyrEPFq5nYXiYAEuqv9VPaXaFO9iwmKAstFnfVfK6wbGWpO+pz7
tRPtp85HksnKSjloikPnzd/k9np2f4T7gnNGtystF1ncmOYz0w+x8jZKrxTZJZRvceRZlgJ3cb98
2+zZOPgraOrQTBgncxo9e30ki0n9DJseCCN+BRADFWB1i0zwqvvwWQN+gGOzoAoKK3hw+8FPsd6e
be1pyHB6N7ETxdh2DWOOdsruQ8cFd5AseFTOhL4i3M2Tl32Mg7HQFKmc+Xqix3GOrSIE5NsmTvmU
8MynSEJdazrmukqxIHvtWJ86wAp3JR075MbembG9ZtVYxUmm+59OlntT5Iu0RT4qcwQ0C5yye1sq
/8Hz8fdUjV1/JyMP66mlVcmYj2ii3bZq/Q2MrcYtOhbW89mG+wpBcAB7TnQG5mO3836kcy7Xy8pe
cY8UCRw8Ojc1jo5VdERyInllfOPQETRXZboJvZNDVtxPYItRTRSj82CDYSF3GBlWf4AvM8xn5V73
CCGBOZZrZz7g8GapfoZgENZdZVrRYA621mszepM8uJR+D+6AzRtSSgjLKpuD1b8IRNZ9VTkyhN2i
HRygvTXkXypMnYyEZcusK1u99SeNLM+PxmZs9bVo0HtcWEEVpnBZfJDXgbbPuSStLPsTIST2o6oy
Xu1VB/LKQVVM7nm2NnfOUGJIrelzIycdEZLVQ+UFN33lybMCHisyrlZnOkE7QRiJEz95WNjiBtba
0b7RUjpi15eJeWHNwfvK9h7eFoD3bOSbU/DZ2+58rEjb+CTqD8tntVbFekTUOD5NyGEk+GWiRm5o
zi/MIjBUhDAcZutdi3p7HW2JLAtUnHlMvBz5eb+UfrwxTH9ntahork7sU03gQHEEyqDf12C1z91j
MUAyTAbxFRqH+32zE3IymR82+6503S8ktjNN2XRu3SG5CsxO5l6GHLk3dxwD7A/ByKnf1fxsBsgu
jwPDQGF/OEY49wRe9Z+c8AST5NQfQND2FVSThJOMm3YGWLxSyRb1E1AA2BfCe3CGxHq2agf9V8gc
8nrUcqv22Iynj61Wcx+N7sxLhoa1vEz6QRXojgeOf6USqH0GOp2cjJ3xssFjQgaBm5SPlJn40IKi
E0/MlwIyi5OthcGibTzDKrDw2gowR03UdRibdqHn9jMUk7C4NDqD85sbuhw7tSB1gsKj1H0lWeH2
nLKCLt5EWD4X9IKxr+G5+qhd5yy7TgyexbnfrLP6hClXpueNvnlRQBNwvbWxo2025mXoa3WjBZOM
Y2/1SRWL2ji0xbfEBctdo7a+sDg35DG3ioRlweQ4iAABuaASJqvKOM52zRKLKaQLPGQqA0ZUmryO
/BZ1ZIwPZASvOAboQfwzzgXorBbkbi6WQrabmeULCJxucFFXJj2KyNItyVFuQ8ykO2Qy/ttADNrd
QB4JyehzwUEMhx8vAN++9WHbHXIhYEj1C+3k8AHQDlDepccMFNmBO93LOkW459N8mtAMle1Br+Om
wT3mVXFosiVrDygJCWHy+hLaD9WTY5N4MKEAEOTORJ5y9Pee2SVrhtvX6HR9go12qJKYsVqamChc
1mH9o5fTeHarCPGjZeAS7PueeemuRbjHXhzM2PsCaQG9wCZYOgcxeIjl1s0MlBcp7dpD2ffykfPc
iKOub/KXiRqhj1tlPOaNpBEgvV1WZlpb2XzXZtLXFl2BNsLowqTTD9rsE25Bcze12rzanl5e+Nbq
T8aqvcuQmVnTTmDF+9hMph8RqyfBPskyzsF51YTvDC/cdmdWbfCdrl54Sw0E1xcxLD35OS8APKt1
kZgYxAKWNvEG5ocF8J2XaVrrZ1vSfWN63ssvCfjRHwv+ieDskyc5Z1IswqU3+NVlijqNZZPE8gZQ
ljXcuKPG7ieyUj51GCJIlLd6FNy+lVcItvKkeXe0mLGtYazo0Pz7gdoZpwo/KhuN6j6szvqcthiX
F94vu+Sc0yw/s2ri6FuGG7BBr5rV3qOGY4ktpyo/9P1cXHtanj0e5bLiYWAI+K0bZzUh9CrGNxxf
+lVmuoQosbnrj3Sxu2GfNVgJGqfEZuS567NfdLPY2T5CmNMwAIKJmylVP1TZ11ee2DbDbuSO76O/
EnfvJmlybZkSdOTqe88i7Oa7DAsnAmBZ9PcZIxPIJSitOFdTjV6Aoqt/MmBYzN6aDIBXX7fL16wN
E/x8zYZuQXuo0nfdZLzvI08C1UgO5m8n4eN8y9PSurPaavqBWBAzxzA2HGinGksZDLHCj+shZ4Tf
zHp+XptRPk/F+c2sCyv7qShanxZnrLIrs4JS4Cg+C0oX8j8wEAxtjXLKYey4A1PQPBTCBn8kFTmi
4NTnGXjzjHyw6ZPmo1QrSlMVBGgmC79Fv1jaq14hRLQOMK4madZ9Zsnmu19iR4UsrhUnpmCwmSGO
KecQH6fkt0S2mCaZfISvnpWjvsETsIoYra1kXlO6gpuYd2hOZskhosjz7RSoZoKsniTq+1wxZdr1
laOp2p3KvvI7dG4Rzpb2ldDxbCWiUQl8H9hTXCCdIYoZPWHFIRkMvvuuU8p56bYqeIDwsVZ8DqPL
qNWe9dYBYPkM0bFzGGzL8Y4dBYIoC3V9l/V6fdsAn7xINO6AZeol/5noXncx0UHDd28Y0s9xWkrD
17A1Q6RSKwfETXrfz5WvFMX9FEAc7JKALVO74mmG8ZXtddOe0/A8J9tjAJzeZRBmX0dbVAUxHym9
dtNAWdrbaghcVh0mzIdgBHCB9C30rgfYQIzkOG4ziF/7DQ0HGRvz1dA53YKWPZVsD7nPGSEk2ReT
7gDALgbC3q4xIkOoOFWL6op3dwS+45pmkZFezfREt7M4B4JabM/zwswq8voOG/6UGJ8XmYcB543C
YXWQ5CVjWoORbEiTrO1qj+1KDlQYSn5KKpwHW+bLp2V1hdkjUpnzM5tuMzzzKaIXFwHYtptyAnL3
/RQI9JJ6KwikAUAnCtNDegpGBwmLq4ogsjn4I9BhFF7FrZdhlB2pYPi15FDV4Fz6dO2u89B4NwEs
mhdRJHPjPQ9OnwTui0wZ3EbzSGwFtoRxUejDt8HP9QM9CETNMLnRY0GnHb/KfrMvszLDhGfZuv8A
Q7A4aHlsk15PoCLZHOqq9/EYI1uwUUNjUcqwF6DqUTQ4yWgUy5UocG3HQTBYA1S6jPSZWi7F9wA/
b8UGjNKT3OmiCXeEEvP3cDpT2XDB2jcWUuwvlt2fE1C6tf0Cpkg8FaZW/n4Izi+qvST5V7j0BM8Q
3oFitNDLTze03B9D0bDRuWtFDSTUYlAAGUp9UjiLqjznVGA5qRykhHsXcV+4r4Nyvh+87H6wHNBG
XZ1pxA9eUO5STITZEa+VeF1Gy4eVsEiCSbH61M0eFuDZyqjXDD7Dij+Jjs1YNZeprIL+1SlGZV+H
WwM8u0W7zgpomGHhV3O4UztXVziBzvvrxtohXDtHemaQb3eUcFbhURMmqriuiyZhzrsphA+XE2ZK
vEK+qmGRqjE7y3yNP1cuPoUUyX3FrrdvCV4fKDwzdTV3c6ifoe6P7W3BFF9FPqZNeptoUcxwlWzK
H591Ni+oiBZvwdy2lfQBd104iBFnWbglp27BOHut13rSOX75Rpk72kYGyQph0jSc9+0qvOJeD1i9
HzwwfvO7MkFQ3abdPEzJYXYTTx5Fhps+cka+vnhMZk1jk5cW++fSANC3eA9IftFnm9SWP6AvUNDf
yBEND6P0HMrLYQXOb0UD3Da2SfKx7b4m2n2bNAaeIASKFk2Mjilqhka3U75PM6Ty2HIZkINOCz2q
th/LyD/ig8o5Vbg7G66id1CCfHHKaG85O35KS2PX3c4liI3/7DNzbX3jTbPPstY3zRY744xTJ3ML
sR3XseXguADHL9kdPLqTfi4kxTefoqFZk/f5igd3aqkSXlgOC4g81ibWAYdCOWYTUSJui5ltt9Ru
PX6qecol3c8VvRVDibb+dKdEeToqljqQJ9TcYXWy3b7gWyPongFSYfgivufSYA1t7AnKHs92vvTX
i0r7+dlHfhuMdNMYBNyPjbAlPTO38jHHOHADkA2g0xjL3Uxyd/7EvmXKLwMuGhIPs2DLoGD6ffFC
9pvbHhOvV/2p1L6fPy7oxQmeCBYvpDiHu39aEGZicqvgO9V4jRKGARHM3NZddyzybeBFyK9INdr1
PV7KC6QAlndZMmtx935N7/W1TnTyyMynJTNkMV5Y5cfU10W5XK6OWZwtHtBLpOqId2iwJgRieerR
PC49PJU0lSmY0JN7thmgZKH7YLHdLV1X6etZao9NebKQypbY17PRbHEga8bSf51Z/a944L9cwWjm
fxYPvOjxV7bP73/i72wf7zebqZcMpELvjmgSgM/f9AO++k2EHsNExLP8ETtkoPV3/YCHgEDRFwhJ
fULV759Z6n+XD3jiN/4Ms6G//9Dg/4vtI0PBBOZMuz1PfsQvbJ82GCYhZtr3W93Yb6b6b/bOazly
JNuyX4RrABzyFUAIBrVO8gVGJpPQWuPrZyHvnRkS5DAs+3ms2qqrrLrLwx0uz9ln7aW0BYTdHfc1
ai8+jMzxlDf6CdpSMP2hx1xi1g7nUMIiEVWJ2Ji52ZBsNqKrXjWtLWGzbteRvLhN4gJ9cR3OR2A/
q9zgf7dMmwqJVdQE8ioDaY0Cia0KKysJqL4rdFBfJbWFP3dvnUH771YEHbSA4JjqGtSt9BhkoIsQ
vP376KLLIScMVS3dlZoEEA5NUbcrRpIVhFmQIelp8hjNcG7HLjjCHFplkL/8kFUqL9O6ViQFPyTS
rVuo3RAN+vPkmJvbt4MKGsriD01HS/A5FcoWFxmalIpNPwQF2nv9TBpH7cig/k1Bf8gF/k9f/m8r
q083cFMJrYFJM7iyC7PYLc4lN9px3OwU/kxgcNjyzHAon3O5cl8jfXezVx7zB8r7T/7NIhJcJ0uE
ZKxu830Bdlks54/aCU2bhsHvcrGBT6dviQCnF0gaEEqKsfg3SQNUBiQo5EDJylo6i30RkHzIzWui
CdDlss/nmcIjJi8uJ5KARxoRC6rsY651acY0KQtgxmqAwsxVolnu8BNE6MZxUpNHctD/h/NeLbqp
4fUe+vlO67sw3JWR0F4F6uXZUQ1flGSTyPgT3+VZ0gNlkglj6MPAI4dLtV/uYCmNyXXSV+Ayib3K
2qWeSkngRjCtIwAhIeRmnsSKjqxNNZvTOo2oeEamnpKTyXFuuwZXCX6DDJFMFVZMVNY1pVS1zrOJ
gTmJk1J3E6wqLqxFqm3rZ7FKYQbROZm4DfbuJo/bYFSgxJi95oEdmu7NoQU2QSpAs7xRk9p0Hy1/
3pVJ1Nj7sB7L+Bb385J0wVBBgbKqCjk4InP7AXCn7wOy4QULMUPRqead9B7ggxRJ8e+MtzuvzaFU
nqCP+hILnJjFBms2pXWkrJQeLMUyCg8qwejVQd7Eu1bTImLamRU02xnjKdWVsxo9ZAXfZnmPEscM
fIMo3TDFKchwXxAvV4aIqFXUnoxZmnX7YJakc8K23MCoELbetGIslUtsg7rKtdugVbFx94E/hakS
UdbZydJ5RPK72mErQu3IYKTWmy3HVEztTHu0TgNpor+2OYGdlISF+CAZ2/RFoBfqNnXWz9M2j0bo
IAnVBjNPnCrHl6PJpQUFp1yptUpCwDAm66rCXOiKumrzmkSI8aqzRAo3Tdv0xu5DbiRDaEO4iBJR
gvSdjLn3hDQ17+HIlcbjlsVjoh4z6lZLLRzuEh1CApWyw0ymKzQtHrRKVStOX6rpb45PIk+D0ldP
kZa3mdvwzAL8IVk5QmJZ+y1RmniBdkHyHdYradawDGGQlWYQkFtrg/RJs/NUWS7BOO4hHinfE/Kz
55QN+r8DwshXiHZnFPDRGNSuanb95TCV+SN0IHbxoAyCy0gIAocmGZ3rBpLf7Ii8gTRpRlJ/SzVq
9TY0ZVRSIDeMhOIqqdaWV074OFejH3uZjL7BsSKIu46m1OkFXBvizGNltWckJiLwODi5XaudSEnu
iGm4EIEYSev0AGtrFYyYF/AsvQf+ap8Qja0JTaQmIVZIxzqHj4xUNZoyLXGlqJevpzDrcFyK6xJA
VpAT6IDuDLM6YaJfqlId4ddECHovSylVHxpETbLwiSLeSC708mlhZ7xOKcd9JmWD2wXTzLocKtyZ
GMx2aN3OTOVnw85NmOIwT0rwl6V2Y/s969Ins/ZOabPx0s4TOha7LuIFIqHEl7lfTvdMKXBqATRp
D2HJMDrlMFFsYkpVTFGpwjDFVA/cNOwhCiUofAYU9xOLeqZq9dzXM42LsCHaX1NvZZT5Tq3uRcyY
myyHNAdnps7+5CK08FSNRcK8JZsJkHuSS06UvFKNvVbF2amuIPxwCfmn+j5RWdwUnJdVgjoeND6s
DZOqwqkemsylzo2SyAgmWQh4dko6VyUk+QwqnoQNZTX91Yica8SXxar+yLIERMwQKsypSVLGM17i
qX4WJTwlnTRE5701I3NOtjCGbW0z4GQqbyrD1xFj9IhXHKlkIVyXcYlzV9QVExHFrKx8Ty0a3Tr4
TVnXANSrGp/IRXux02Z4xGcKXOQHZNcdGGvQ9rdhQywKz0Mhh64f9QJmlCL0dBMWcT2fl0DDr2bE
cyrkaCUVjpo3l8Az4nKjK405UvJA9fhSmaZTduF3VbyXp6mCVksJgthrsMNgIMktjOnA0MrGBW5M
CI8aaftWN8FEeBVS54EnWy4bO4OiG7bB2pDAlWfK2O9UOyARRRDdH1wScrCTEQGF7Wa0ugT8Hqm7
2WnMUqY8mjpemSgojllbKyF1u0kiuauo47CAsCYQyqcmTIcboy4jql98XRWnqAnCgfJmRJccBGFq
7XON2lVPzKN+NapDXbqlOQp9E8oJIvI5jxZzoIIfv830QpVOlU7Va2KqBcg1HOOk81ipy3vul4G2
scK+v5AVWTI2QRKn1gZeImqYAhGxjGRw0b0lS0WQS1wY1z1DxmLrTIeuSUI20FMqoORQpJuyiNX2
bilyHTwOTvGoj9Vo7imwHO0byfAZMJwVqnG7vM9Hl0pDf3BYX3rBu18hVYHWyO+h3EdC2kBWEbID
8Ijss2K38TnbKtlhqy6NE21Si71cBvOtYpYRJMDe128BxZBOq30152Y6VbWnd6VtoPEJdZ1/hZrW
8Zll9cN72SQmyL0sJn6fcZ7zosaprN2ZEWKBQ4p4VkPYny31rfSNl2luqo9I/NPLKVGNX20LHvJM
CqWmYCfD/ZBMtCbOKtGAT9Iis022NQC157939P//TuWdytPt//1OffiT/5m7P+nLR6X73//P/36p
2v9lycYiPOQ5yPtsYa/+z0vVFP8lNFMTGqLHRcH54aWq6P9lmDxfUUNqzGbQFv/noSqDrkVbigYe
lrKFSgjR+D/o3MVyEf2/DwFdN3Te0IaKMJbbMCLf1UUVswfe1+DvPG977u3PveW/t46zOdlud67j
OhuXv3H23t77ME7fvFo/P3O+tru6hwP0GHGKmnyvKB4U+bUOr3/+9y91Aj92bPUEl/FtyAj3+t7D
JUII5+05cq4i5zJwLkLn4urP7v7w/uvtcPtzq3/V8z8Mp7V6vc1s43rWM5zPlfNwXTh3qNecX/zN
658zKlaWv/+z2zw9vlycPlycvdy/396fvl0PzpHfYX8Wun4ZXmv1VlWRB6j68jsK59fDdeYUzvPD
r4fT1z9U/Ti/+M9z5szO3evlzcnl891J4JzcOFcnNzcnZxc3N2fuxeZsd3Oyu7k5LH+1ORw2p8+3
F2fu4fbgPt1euLe3p5fX7uH99PbicO2dnr4f+Xr28nV+GsfVixC5ZVI2FAjy+1+XoeT3v77e/bkK
nDsiDfz0mz93Eb+falv+slj+vPtz94cu3Y3LF37kf/lYOldPofP+8nTx/vb0ch06h5drRvzp6p0R
v759f3h/46rJHw/X7w+oIZxf12dnTy9vp++3oXP9dqRPf52NfurT6s1dQkRPKchG5vj3C1y/vZ++
XmY0+3rzJ3BuLvjJuXP2dHh4uXq5OPIiXZbTT20vy/HDs7cdNGr9JsZTMvaV8RjJz0FyRXpkgX85
hfzw8zLQl8/zU3PL4vzQnGVQ+iZ1NHf+fP7r+rA/f758Pv31a7e7Oz3/FTibs5uzze5wtrm5uby5
3F4uM+xwfXt9eru5OBzpubpM9fVvIVBoUL+gscH9jS99+C2GhTxOiWMfBkbgdRa5icyNhjO55n0G
vjEglF+Z2QZA+/M8vkSSIDd9o/WPmpY5vXaQ5pcpuR8oouzuMDC5+Hmkvpvn/x2KJIZGpHC1S82o
vwBShb7XyKSe9Uc7wvlXOhmnWwuVUzsVuyI9Mg+/3Rk/tLmOMGHvnaM/oE22p1d8F52byHl9vXo5
u3p5urp4u5Wdh7djC/rLbkw8hGehrVDRxbH2BXaORQ+RyApDj4p0JoB9FHVWNgRkyfv5989jqiyb
7McvbqKL0wQBQ1UH122t4eClHgGenvAQQNpsbEMip4/DnAYkNDCnOERZrfJ88tvYqxILyrJh2b/j
nLrEI0G2dZ///gxD0TjAiW8J7cseJiLZphrIS6t2vtXnoI3dicgIuZw5u/+5z+v9/m9btkoMmNuG
ydX384JrZcuskLRYHirz6i+0BkH8JF56bVBvyq6Njqyq9fG9tKfLKl/VthjmddDZLJDkaSjjPEho
+qXd6P6Gcov0yOr4bgQJLCuWTMEamtKl1x+Wbl8DkyQybHomSCUPZMVL3i7V3Thx734ev+/6A2Wd
GDPhOttYj5/ZhRQIFOALIPwaRJRgmQwIo91/bIWOWDjoEcOTDdNYBx8bPaxNHHdIXTV1tEOTjfJg
KMN/7QuBY9mm0ImwpFhSIZ9HLSAHPYSGSea8kjGKsnPCaqEdeD/3RV3v8SbNKNRGA61XTJpbHSm2
ndoZ8bfRo+QBM/LkJrNMdMXtvuv8k9hsNqmUPRYWaePedIO53JMv2UiVsVXGbq9AP4NSttHH+YWS
MI8IMZigHiMQodyP8ZEqnC/zaPVTl3/+YR4ZDZA2nWyfB6jcPoSVYrvE8oktkLz710W/NCVkTAK4
WuukRT43JSu+oOKFpkQeF9vWEr+EFZKLjqFY/vwBvkzZpSWNTy2WNBeWSJ9b4j2epaIQI+KyjHpn
XZNRuAnzyJT9srHQCpOV14FNZa0tVkNX+JDdxopYS2T1JgCQaNimQ69eGAhTUfyAT/q5V+v2yCTx
3qF4SeY9QkRoOc0/fKo+FDASwa15QRU7Vpvv60DbqvpwKMAP/tzUlxm8bms1glErUfWm1JOnnNVX
+mX3kJ/Xv+w3Dayb0z7Wp/HDdDVfhC/ze3RlH/wNJi9HttEvl5P1T1jdCYexSimr4icUD+JWvqGO
46J4N3bBQVwPMBquLLhm9/JVDN3gpNmLS+RwR/bY9TQCXy0E3iA29dhURS6p1I8DLsV6KbdNO3hK
j8ZPifXxEUPc+siZrH3TDDXV7AeCRy9eoqsDKiiFr5QmNlFamJ1AeBi8qVd+WdS4EDleSm7QWSVw
B++RZuxG0gSdfW9mQIFLH3Mea3ZMMM129Wsetp2OA1R4mtbDPtMaL5POVWKVigxQAP2eiF/sEI4I
RrTDk6I8jeh1/PJEmabdLL+pjKosPZoidTDj3piQVJLorWhLYqvpVgfPdGQ/+KbfJIENag3IkrJX
rj5wEWt2Ovt0Nytm+3VMAu25yNLNzzP5m0a4XGmCWJupmvzF528YKwauK8ApPG3K5G1f99fALsfD
f9IIBz+WJobOtvC5EYiCNdqQZvDA5KFdTcgEpEi5/4OuMF5LkT+zBVrH51YMe9B9U40HOLeNOKOy
ciJZ1VlHdpnlCPx4Q2TSW4pisMVY3JnU9ZsAXrGhhFU/eGOSdE4L0uXWJjF2PuIrsSuCSLjJNKpH
HLaXrf9Lo4TzGT+ZNaCvBtAPsiKFLD94fWMVB5PajQqbT1T6qQRosakobFPwyvBSv1P+fRZaCplI
yjeXu7G8uhLoIpPyLMkZVV3A6q4l30PSoh7Zzb6bhuwlKB/oJNn61bcTOKfLcy31OJoE5jbW0+6g
cMAfMdJW1kfE8vG0JTZGQTfs+XWMRUqpWy2abPAoUxWkOUhZVpMaXPXDZB0SfyKRlYzZtjHwCif4
qWyaoWie7DHda/0gmE6D6cRpdlcO5obM3RHbbWXZMNef2TAM7sbcjlVlMWD+uKEGagcPhdPSU8g1
gx1q6/y1NizzMrUTQTVR4t8YRp/vZ0VQ25grQXPdjFDbEIxnJnxjkqEvP6/c5Yxe/SJbtXUWE7db
wdL9/IuAdBlQLbvOgx0DpnASqNKgLW3Tbji2fI81tfzzD8d3qNjDgrTpvA41INBnjBHRPU+CiHjh
N/2RzWI5ND53jBCoSb24zXzg4rA6u/TSCiir6juvjywwlD4lES2mivveIIUFJzY6m4W8hxJ9Q2Zj
dP9xVBUZ580lssvhyY1+NarYctQWjiDYRZOoDnC7TJc0uNmn6m4I01o50tcvs55VpcrIX8CeKLy5
VgeojLeRSEmpeVNcXaZS+6sUZPJ8c3ombSwf2S++bFUYiJNuRz3Fn9kgV3NYQokKH95MEEOb7Uae
YO/m3dydGG3T3zTQ3TnOhnSH87W1/XlUv+zMf1terkUMr4xK4/MESiW76+vGTjxjIsmpSuVZ3ZWB
Sw3aM84u+7zIgyPf8cuuRYtc2E3uJItWY31CR6IZCbIbiQc7DhWrmZAiScHy/9yv5Xd/mKrG8lZe
hFIsQcg1YmHnfFwYGbkitKczeSuuWOIss6K0uRnZ+qvLCVsL6cit7mtzGCPD1OATImjDvP1zc7le
BmCV6swzy7L5HQEe3pHkI7OON5U4sr2sBpCuwcghHLDoaQDhrrf9nueHj6F25rVtpFz7cenfRXNW
/ttn+tsKHmcUdQF3QVCzGkB/Jutc4k3iCWzFdrMSxi81jpxHzugv48ZMsJZlZtOQzJ7yedwQugZG
MTNuoKHA1GaiyR9B/pbptqur5shH+jJwgvuHiRbJ1EjBkA3+3FgFtBCZEAppMcc2frIUaJIC9Y+c
yus3hkHiyf5LF1I4lL6CQiYIYWnV00xE4Mg6MUuNqBhMAJCJVq2n2rUMfg9tSF5Ns3FZDnX+NJeY
wTqV3k3xJlVyCJtqBCD2OavT+hX4fB7/sXKpPi8AFw6bELL+QIlXiJbAq/Cf6Pf9rDYWENHEvv55
Ha22wf/uzPISRfLIU8JYTWxjsqt+kuqUmgFduQb5aAGDmNXY3wCpKN8Vjh393y6+NKkocDN4I1EK
rfAi/PyZWsmi0lHPM0/VrWozxAjCQcIVR+a3IvjXfNohaMZQCBOCg+IKby178oejMwF06Pc2LgDV
CK4bpHVwgU07FiF9NR+UwSpvq5QSOkTowbbpxpAyzGZ0FGw9dmbVBHuqb5XHnwf76wRdLsnc9jVw
JFy6VmdOZrValMVQwW0k/vsIZsaW+mNxpOfftkL0G/4Ls1O3loH50HEKDqIsq2glrvXo1grD8GqI
IUb/e1/YPZYohkY4dk2Gkhqw4hTcpxCaVfCVndTtQGjn/8Fc4YatAnthSaNO/tyXJCx0KS3tlOt1
jzPMOKgempXpP+kLPSHCREPa+sia8YGsuD6m3ugr6XsB0mqDUUiYHGlmdRb/nfhYbGp8GRuxtLLa
cjkwG1ziaIaibumaynlQutGMcqMN2x2xv+TEjCBs/vydvu7AisIZSZyAe93yQPs8gnPUBgWS/NSj
yBjb6WSU91oChxxpVXb3c1NfJx42pVweuejQS8Kln5tKkF7oqg3tnDAqLyIlx0grntOk9H5u52uX
mAsG0Tpu1Rph89UGgneThhiNCGwOA/JXOXD7r5ymiVRjY+utKv783NzXz6aS7AJTIIhCCkTtn7tF
/Z7RcFrTXAEKtGaXoNh/mIBLlniw7RKMA/Yyn3b3r80uZydHmsm7zOBI+9xsjBEKcsMUWLWMveLG
UDBe3unVws7tamgaCntW7AVZVh+J7q5eAUxTdk6L2YijIIP79/z7uH/USg/BJJTYKQf/NCzM7CQx
AxybxmkC7kOZtpQm0gVyLKg4eFUe6ffXr7s0D7OKzYtc0TpiacegE4hjwRCo+3k4wzSd6BV4GKnw
sB+xjpnCfj0AiSTJkFiBICK5X79+kZLUI2xy3zWR5PaOas9htoWOElM8lQkCz6Vq9cqRGfx1pdAo
8CiDg3B52q8OAoB2RaYZvu9i7ShtKPBBuBnH45FWvoykxrQF1UPyYtnXlOWff/iQQTdqege12aWE
Wd51WfyQkuXbw+mIjuxsX/rDPMF42SQSSRaL5NjnliRc4+s69C18j8Jwa1G4jP9SMhzpz5eFuLSC
UJaJyc2Va//nVoKgqMCqACHphyq/UYE+PVdcJp4UyMULcoSqbgQ+xt3P6/DLKNIqJxyhxiUPyBXp
c6sUKNjofVXLTfwxP+TIkZ2mV5LrATjz9uemlp3k05WFwSM5ANWM5xqRx9W0MCLV1ma0iW6omvUD
r5Gxvza6VIomJ06EHJzzlAVH28ZtgL2Q6LEpPXJf/+ZD8lCFa2YtMeUvwRa5nfi3dr3uAq9rfjU4
QZzCl8ijf72icBB9bGY1XxL0nGBkaqzEgny4GXqtRGuaNtm/biVLM9yEOCdIuHxB+rVzMxZxiD5/
hBX6LjKdcttwsm9GDezYz5/uyzZCU0SLFd1cLl2y/WWtaaDGJCptMQfzA1BHqXhuC9Fe+4DqDEey
2U9+bvGbebmcDMxO5soS//w8L9NGq0kngg0SA7ciqRQ59oKQoR+KytJefm7ru2nBXqIj+eAPbnuf
25pgp2eFhfVbGHfloUuk4lzVovTI+v6uRzZ9Ye6RDCV7/LkVSlbzTOIZDtJOTqqNpEl2tgmIvMto
fwPzWBD36ydjnuMCThhXw4NcrA7YSjNB7+eV5qYQOZUm77aDFSDqRQcuRopP/3UIaY32VIXkIjHd
1edCqtypyOY1d5ixQjsbKXnPdpE8yvGRmfh1l6QhGKY2eznPn3W8VMtAEs1Bqbmk47St3YvpfkjL
6kYjYHFizJP0KErbuvm5d18/HY3qSySBBwdeW6sJkhE/6HNQ2dwZRIIRRIwrp2OqJfJifZagX/x7
cwYc4b8fkJfUak8eIXHMAXdQaPFGfwrpChuCfFQuzUzLNj839XXqK+pSBajYS6Sfm/TnSalEJSS4
dtKgBfTDtlTzgfLl6t93qs+trKZ+QCQ7TDFodjMsoCev1ysYZpWE3UnVqdL+5y5997E4XegLl2f2
+dXuy91jUie111wscajJjdvavAmoP4BLYuntkfH7tjFuOybPAqjMa+XkHAFZUzt6FkL722ptKm9k
CprOVApqjmz33yxoCL7kBkELEthdylE/3ndmf8I7LqYpxeya63AWyHesRMbvNJ1wXc+zfz4sUSag
ReJ+hZZGWyNwO7uvRVQ0GuZiLRyTTA72tpkVR3bFbyYgDwHWsWWj82Oz/9yrRrHLYkDu7kaRRgFK
nKonWRfH1z/PiW9bIZmG0oWUk72+5Yxhqxa2yfaUmVjnJg0WFcowT0cmw3etcK/gQc+td4EHf+6L
XHfNSLpZcym5aPrT0bRwDMY8UTrSzjd7IPhbBostEInQX0Xbh5tvLYogwEFec3PM9KAqKFu9B1SS
LwqrBmC3kynVkc/0zTxfiLvc6Rf2OF383DV8HyudKjjNLTH73Ui5T1JMk+6iHGPQnz/Vdy2xy7KA
CUMiSFq1RNlEPEbE4N2ASptsO9oAofAL1vCdnBsrevq5te8+2cfWVlst9Oc5HkZNuLpkFSS7kggP
HsoB/4NWYNhzS0O2iUTm8+jJtVHY3YQTspLG6nYkWX2aVnFz5Nj4pi/LfICtx6TgprbeyynVTKF3
ChdH7RRewaAdSIgpRw7gb7YhWrFpSF6uSuson5ACCAo9rSi2Op1oStl5JT4PD74o9POw6fMjddTf
9oqHJMXqFMcTKvg8drmRGJQnLb2SJiyRrSCkmGc8VoP7XSsU4BO5IhnNvXPVSgfFJkSFzDwYTfWk
h7CGYZyVeP88DwjVElX8G33QzNU8iMc4nsC7CRfnR6yjJEk9qY0oPDJi36wgWjEXOwLCzyC/P49Y
WNemTwZXuNiXxfeBHFvdrp6iNLxPNYoKj8y67+bDx9ZWmx776dxAEsbrsg3MNxRD5aYz8BlKqgZh
FIVr/ZFB/PqMZB/nbCfCQBk4z//P3VNBJOFhzpItrUTy4swyzvIsC+AGDcUGLzQbHEc2Fr1Xx0Or
bn7+gt9svdTZq0sJOtuvvZ4nydBIVhXTW7MeTH8760GInHEoBEwtSg0BhFO2bjuSWVrFkYH+booS
dqR2jV0Rid1q8vBOD9u4VoU7GxDMRoh+M9Cd6B+FO+C+GV6ygDq7LzIAdbWL4NlaazU0TVQSCijU
HGlCY8FG+3kcv+3Mh1aWf/7hCLMoVkuMaBbUVhfdgUCOv48scHk/t/LdSuAOSE0VYnIkJqupQkV0
LaFlQcotUQztQsE1NZS6lfxnYZp1R1r7bm6g0yUNzUOZ59Xq5Iog2epAs5c9RNgY9PC5qBkd7PNg
KLE1NOzLfpCDI1lBkksrATuceBwEiLdTA0b+nc3l81i2PEfUOVkYgkXV3pWKXw37VkTtGcpxgXdh
qcPbyNVGehJ5kZ7LmBUjNJlKC3b0HJvbxObmAGmtjW6CGM4uvG/qYnEZ1/DxqXVrcDsRZLcJVGsB
Y7OgbLM1asw4CJS2pUspf3gLjbTQgQa1xalVUrTsBpjxwNswDJ0ssjSq92qlN08ZLAWs1wIwnG7X
Fuo2MGcf0T2V+L81/s/nSakBbU6EueDv+aAwgIISGGzSmW2Pw20x3WGPppzU4aIlLvSgOMjwvP/Y
ko0bfSb8dpdUfnyGdWZAElv4duCGjR5foqReeFnVkO5raUiCTVvJxmuhket0ug6lgtM2SXFG+W5F
dXpUSeYWY1iVMto4Dp4qX+ac04OGPjVyLE4nQ57SAxgKi0QpxH5KVqe4eEzCnvCIEfvdHSmX5KkD
Lp8CTkVO5QRYc990RRlP1JYQyXDwAIjg4VsNteqqUUxbZR6bt0CRitjRhya5s61UTCc5IOjHWprz
a3O2tcTJIkm760UBeaxJ2+i0KwHauTGwfnB81Pjv02BOsJJXsJqkOBgOsAPFU7rCsiUGc08c0W3D
wuqoasbdyTXRcAJIsJQ5BZMgDedzY2TVzsQ5HSZnKobZGcYAdgqYqmEvqSXYaivUxLAJjDB6mhQj
fMKxFZvpuhlV/URKLLb8DrHvnwbZ/xnhXwZtauriXNarscaHfA7O8Ldts42ITeslhrKngsklYuC2
C7nGTZuIwvVWS9tXsxzgWGVRoj0C2oJfPDX6OfaRxnOFjNM8LfoyHJyuN6urRO0G1clsMHwOQIzm
JvDxBndVza9iV4UKM25mw8SrijLyGfPvqc+sTd+U4kSP5pA7JuF3hKOyIHAXJDTmisQSJw21za+J
OqZX9tAXb12Y2o+wY+LRnVEZnAZlnT0rpdY8IhuT7qNK0X4T9YNHCoHWil2DaG61Mc0ekF2kEWMy
ol6bNqB3gdlC2RSjm4c9AFZ7HgxQakK5s9qp16nYt9urpo9K0yV2hUkejnMNSZnQSE8FE+g9hBji
e2MgNbJjDD7WY0YigtueF9BdP9nTL8mSO3CwTYdxO8XWA1g3zQJwG5qVulGnWM+2oIKCeFsQQwI8
3Yc49nLiDttplpod1ztpoKYpMXOCcB2YzkHT5ocs7avTgHxNtJFEqb1NZl/ErqmMZrI37L7a1GIE
8FUTLNKIWvsT4Nmgpmg6tOfuIJOwfSRfO+vbvBfSeQVr5FnCebg94eWUn8oQJ4Fhgg+4jiwr1baN
3wYnyVzBJUf3tiBtQT4kWwkpe38yqLy4t3Mzp+eN2et/UsMab4wqnw04vH0NkIYhgKGStbWMIcKc
3kmVFT5I4JYu1aEBnRJAlQtQjmet4bZpZD3PylhdZDHrkZBtFtgbBHqFvs2gTh96MY6mWzbSZG8i
obJRCXM0YS4YPkX/MMDz2FNI11HnwjudsdN7/ZVo1VDD/ZvHBw4hw9x1zdTD1VeAqW4VSdWBuUCx
zLejlcRX6hRaMnBEXb/rlB4zwFJMIU4Xbd1dNHMG+boHUpa4pWoGmptAJ8cGlEWvuAO0e3ATWaXI
nlW19amJH/1b1ILqc/DYa5+6pmmuZlEG1wVu088qqa732Ygrdg28YchxK1nqMXESEIMpfFA30vz8
TxRx1XLqYk7Dy0qmKgvjyWm6jbMM8XNbxsFvbPyy95KpNXkj16Z+r0wLWGaEt0e/2/5BbTvcFXTA
H07cjPGdVjXGCwGuKtqKLhsukLoq7/6Y5ZeA0bFPtaapeBkqFrXTJY14tfE9HPcdeR2A70OSPodp
Ncgoue3FnJJMkxeJqsgObRR1v4WvxQnAb2l8RS0/ylub8T7XcZ72GbqMWWtQ87Q1Mh45G3/Eu8FR
AgkqriXZQ7JTs6i/DmNfukYUKL1M8jxcLFmf56Hwe84ICKEPOVyLDh1f1CF0AVMnsKAdUSCE+ohI
Bt4DUrcUz/eDyLPuN8GG9m4YOybbQk+9lfFL+R2GghMBQ5SaBZoq1Utg9BNbY+xzkuhKpnI053ju
UcQU5m4v4xLokqXxHwBi2rl8ChOBc3jXtkl2LeTWz6A/NgK89ZiWsZvEdnJVa0371ovcPxnHtvkN
ctcHsp3z4ZhvTF7QMRAOONiMVzsELsP2rcCK7kX8VKZGWW8FJ1HumgGXTWmsjWc7TdIeX8IStIXo
tJIbr5D6ZyWJ8PsbJdnYsK5gfCO3Tc8SE/95JzQH4DtTMdSMDlBXi5hcktwn4ChKONUSpGwfgToQ
74qdD2wHJrHYdZoDMBt+qaPPfhJiczKOfNIaJNoBrmylw90s89mbljqX7WwEUMktcCC9MycKrdpR
r4ZbzSiBR7C/6w++NevT3gD8cYt/j43FqhQWcKApw5spcYWj7PiDHwgg1U3/DHSHXtRWWBS7CpFt
AxphtAs2Xc16bBrfYhoEoV2Dy8XfwdEo0YoxIu0zjGK5j4BSqezufkxm861Bllh7UsBjjGFp7NHl
kWL9TodcfayqEQ/cfoqfScbWlxIWZ7/HoSh/S6EC44bMHzRraj19hcJTOz6vcsnvXLgjieTA+wwv
fC3iCqSqHcgSHxdFe6tGRgx1HG+eu6QIR9nra6mEkIwPJ5xfrZBeuzZVX8sWlxGvSWoiEHI1Wmw6
qfYoU9SGgWSb+tPOSPA2cHWcFKnfSZOR0IvPvdLCZI4lT2+Hvo1+q3aimfgbV4m0TfqiKJ5s4pOR
x1pAuRgjsC0xzTHI5p3ohS+pV0mQkubGhqSOT7NQmeKFgM0E0SbLx3ZcKosHZKpz4iUEgTDbbmGV
I3JHDHdm+kXk78d+NjpvmIrCclDvQPWclVw8xr0ud1tJm4vAq2ccPa4GS4yaS8FbOlS4nUZ2suvR
OWjeOFD1wQ2NrdQk79Kk+oH8eUPH01iOTztcV6HKwp6KMWGLMHXGrgaosrTRhjY3f41VFtyZyVgP
LiKFOgm8oqyN4AQlkTQ/WFJdGZctMr35pMyrOT2YeToDZI46bhhuxNU9PZXw3wEJ0hVtuBt7eUqu
QxHiRx5j+u0FQpbkA7YYgXrQMz1p37SQi2bvwI8BvpXxOEjBiWTdROyvxTdgwNSLkhekaLa/kSC4
Bl7Yl32EZycV3E8BBZ7+uEfOVOGWoQl/sg/ozbPmrFbwynHZUrTuNuWO052OfThp8FM5K2UnMlK1
3vDvFvF2KoLBvp+zlOqKQe8te48/niCNxLXHdweUcPFtUQZ1dm8NasJXVUz5f1F3Xs1tK+ua/iu7
zj12IYeqOVM1DCCpSCtZ1g3KVkBOjUb89eeBvPZZJq0tHs/VTC2vC5csgmg0ur9+vzek4VendQes
YZzYVR+TAmMxlXeF2Hk2UItjA//ScneNWXfEWhOfoHIsgCK/SKucoBiDvVRb2jp+nyQW57kKnkDj
1o8dtswNVvR9eqfVPLiLdsoj+wxTG9FtklISEjzWsdPda4QzTXtcX22t2oUYSKNA6ZHwxs4iLJyo
e3WDgCyLJK76wq8NJVfR+xHz8uDoTZxdQ++l2eKIsLWmlV1ZgXoGYGx4ftcSHf8kKyiSOXURRxei
azH7i5ZEqoiHssdodx22sGDv3NBQWlYPOsAY7gTmcBt3XmXWiyHsFFaEsCwfmxa/YiqFSEt9I5gE
1Z5tzYcyrOsZhmoIuTCPL95VVYs38MJzAly/NSqM5qpSi473R9UtMpW7EnewcxmAs7+BQQAB4qdr
6N8JsBHuZWnnsrup3MwyNlLEJHoPYVN3DzQOnbkE6PNs/DpqsiPYyXHaQFwTQQ0xhqSNpMQdKIsE
xz4vLuWLmrop5ZqEDQpqb0WE7SJVWWKdmu0wvu2mnZ4ols6+pTX5uIqUusj8OCJb5sJrohjgq0+c
bq+pQymoncz2m9Ohpr02BHyRhSGE2r6g47WKtWt13dch0VmmXac365XpCuyzw2zybqBiacXaGGPi
rIArzGiNT3NfbNo60vQQ8yKHU4VnWkL1p0EM+B3P9E9iY0VQV5R19dQ5b6T3asHV0JBv5XfjZNxj
4xvji0RlP/qtTOPwBmdcx1hJsq+Uc6gfqHzV3FDzhaeYyYAOJ+n0O8lDLHzcsnJSloKkIBrDy0x7
69Rhb2DkI6VTbqZ6QJ0/NiQekOrTyPwyTciRu+RoSzlhxX0xbO3BacUlW3mQXQ8pjnp3PJBc/ypC
vQvpswep+1yprh77HjKJeBe26Wx9ZfSG4steVG+BNTSPmjNNZFgponV2pKeE+UINdSvZdmEf3nhe
1OSL0IQht6xVo8+wnKvTchlXc6Z3C/niDN6jQTpB3nKSotmkaHscyUfs5fWBY2tFDgsrTtEH9qq1
KZBmk//W86XQqutMlryxQ4JPVL0sh7H7MYxp4e3xLmuCHzHLdXSWcKp0z3G/c1PMswE0zuNEHYuL
yGh066rjG09Xiqn3/WWOpxYnTy8TbUEIX4SzmBkhT9pW6sC8b/rKtHGGs5xEcM3BcKjrpjB/sNpI
qZ6mpB5e46G3rGJbBFznBuvxMVii9NDyNfkj6pnjiokFi/rHHe9bEoJxiQ9VIw23sfTI97DVLH8A
7S6d9dCqwd6sCs7pcVsE67ZKUCczUslbyKvkrbGxdw0/wuSMVJyIeIkVt+6eZ+Cv8twTKkf3DCL5
WQAK7JHZY7UXtiUwspLEchXr2sJzbQGrW3+TvVZivha07AgNA/lsEX/AIaxxhn3iIOLgrclIASvt
lIixtCnDyOfzEHjoSmg9crwtp83UDtk9MY3RtM5xWMuXOCk2eEta0rwYk7A01mVX6s2mQS+sYRhJ
BNumUXhp4Jc7erQWXeq8TSLZkDdeVpvWrrqLsp3Dqysvap/YlPN+MWk97scjKIqyGNIkPXeKGJPu
lg23X8ckQa61ulN/GE1c6Nsymd9voRL3wfHM8WIf/t+4ioPeuYN+AYKA7jq4kVEGVhdZvS6WST12
z3av2S+DExYZiQ3DdFPJfARfU7X60hGkcS+9Sbe+SpG0FkdldCf1kGvTUhLf9R0DQYLy6rgb3A3n
yaK6Eopa4cs3cxMIXsri8cVxGoRdcyCGTaKYbaXfrSm3LnQvILzOG4iyXltq0t2CjtTa2sRs7DZz
jclc5foUD8ueFsgD7n3YtBU9KrZVj3bjG4kLmG3bvSn05RinTb3QjEp9q4eCiIVBo5+/HHtVTttE
0WhJKiKpXnlwGYZpo1J2SxwpwicXv05AAVP0BFt5ZvKoxYQ0LR1dsmmGXlU8lYQiGn7VKSP5Pnan
fOuLiawJvChTTdtKC1bGejRCqo+EA2K7bJpCw7Rx6DSGeGhMurtFWf1wjKTMV4ESRGuvHfLXRo9h
OHRl+4jza+ssYTQpfGFDoSiPOC7cY9/QpwsX71Bz1RBxjnHZYMd3aiyCaCElPIqlPnZvUQG4Q5ZX
OlUbLwnNF2GQn0hjIu+vjWDA/NGmKga5dCWJIACR7floWtqLYiXtQE6M095pPZqDIR0N6gqQd2eb
tao3La02rzSSJfuoWHl4374UMnVwWy9F/FhI8KM5iQ0Rm5KoU8EebI7lGp/+7lvgphopyguPOsPE
DTF1O+TDme6cT4YwKnJ9wgSfFwMfPKLnE8nhN/fKb4OuCUzSApqSSzruIWczQ3YcSPPcnlaiV1hl
tcFVBX2A0NVZYHsLIFOMvViivY9tQgbGAAP4Gr5UF5hevkijROEYBMV9TxFUERjpBmD6FIUNwTID
VzbLPMR+xmW/xo4N6/iVlFqY7lLcot0FUZWJvcZCMn5TMBa0lpabWI9DStTkKshbovLMFLP4VVtq
gMN13YnoquuCOF0HLGn9ZexmmFlKEmUI6RKVTr2VVtUFNSKBDhFu/xq56s301TSID/adUbTdMmbR
44Ap2xprQdwL3BlZcl5DHPWjJbzSXN96Fmy+c1MQxbWOw7L5TgwPGSZON5vOSlNiaV1Io8GHD0pI
jxKbILJlBMoCGmOZ2W2lZmN+pSiRm671yIufmIzZuHTZarWVzYFoQ+JM0u66mkiHtQvIX7BwUDsQ
k6KF+sopqzzcEPBXTWuCSgLhtwQGc9RRnYJ8TjlUzSIxanL7gNQ7lqLCA65oB1FGVK6lduWJXFcX
dSiFucDwLBvwjtfMYq3gyylXjifJeCxJmRNbJShMb4e9HxF9scTAO48AqVaeG4Y3PQ2aWy/Pz4Cg
6mrFx5tYyMQYRBK+JPA6NVtr1Fdqp+ViXeleN650csswkqzNLli56WSr684a47e8q0kTHIbJiHYZ
ThKhveKU0g23ePM17RxNOUNGjeFcQfjiZGJDp3sloCHjjE+ZeF7NybUbY0LyQlwbFeNKGnp3I1vH
uOf1EHIpIL9dpKLU8HZVsvYK9xswDCVPO8gfirouSeQJVzjf8vqAeN0nhIjpzAVX/RYgzI/XHuET
+IYYkP6x/CVYYxNrA789JMXcU50SUHCtdHCQFVFMyrabBcC6ICXKrUjyOGRzL9VnLYjnaAVQmWg3
9TIbNjGdD3ehd0V1PRQgAJcQotSWk0I74sSld955MuETdJ73FOJLDr5qsa2klYfLsShZq0K3ce8J
uFDY/qr5bDqhh5HhDU2NKN8LThlXMY7E0crBc/nSIrvmuSLKlNhZWc8ZdfV0Z9HMJJ0Wq04NXC3O
sArtoFdogzlbPVkRNqctfjZpK4ot0WFWzIbGIIMnjc310LaTQcLESFGEmXt6LnApJSzEtSl3aTWf
sXJOj7WFdcUCVhv8DQJu+m4DnKps5TAn4JSDJwCtFJxpf6pP/siH8bp6LW6leH2Vl9+r/zX/6nNZ
jSIOI/m/D//a/Pw7weqr7/L7wV/WLKhy/NK+ivEGUD/jV39GsM//8n/6w3+8vn/K3Vi9/ud/POMI
JOdPC+Oy+NUtcea6/HuDxf+TEwn5/L34x+33vPx+/Ht/mSySK/9PDZonbAKMDGcr+v82WUTGiuc/
XV1z1kQ4qAT+jgPQ+BFNPdWDmYdu4V1q8q84AM38J+S5WT8BARu2JULAfw3B/icDmtH7t6n0Rx11
nMBnNaEBPZmroMs46t8LiWjNtDrnVp/I0wjpsNAOGuU6JddxF3Du2/0yRn9d/x9Fm+9LxATNf/7H
u4XXL8Rs3M7QSyKRh25jz4ZGRy1fsrG8Op/K7o70EiOgnwUSvhAa8S0T3YOV25v6hcWe6atgwdvS
M8NNg8i3WGlM37Mk6EjDa2OLRjh76c6IjfG1qNpv5OSE0CQ1zbwR5pg9GWPYbHHszr4GZHJyPCXA
ZzcmXfKdAOBQXXpeMpwVVgEIkJhus1HrSV9XQC5/xvl5v126wpbJ6c+CyXJEOdP0IA+A/eVdZErM
pJUh3tBXdE7QFI66wbOF3Eznh3RmoVGgpX7YlfWkmgmDmKC7gpSZKyoGbedwNF0FjqRlQFezPG9x
1T3BNHrnfh0+y/fmsw4rHF+c31re0FjKgdy9/E7U8ML0uHVWmQSsNOkjLCxLJ2KLYKilLaOLwhme
CXsc7j6fTsdGOe93bqOyUXEQwEjZO+pHqwTICJMI3js2Wf0qrDGvQnfpLQgWuyodbjk0OB1UBI/5
kTp9UaOm3Xk9E09N6T2kjaWvZar0GzsT6bfUBCRQKl3ZkAktz/TuzRR4DY+TEJfkHv2hngzRwczN
hqNtwJ9BwXk0N8KpNYwMoe1ton619XBZKmeEJ5+YGscv+HwRyGBcAHcFbNiOpkYH8KLMQXK3NrHQ
dvwq82rDW78Zkof3R/FHK/xl/Iy/RfkmD5fz9/Xo77X+/7d9QP90H1i8irx9OdgA5l/4awOwTVxx
HWigUBkB0+zZ8vAvl11+BE0EGi90VJNe6/yjv/JgDP2fCHNQ/lswsl39fW/4a/3nR1Bk2Rw41uAv
Z/JGHC33ny7/RyuHhSgOiQC4pIsHgA3P6XDlqHGitSs6fv6gpbvISjcVVJUeOZVJzarjQmPd4ECw
6tLxKnTTLSvZhi9FX64j4lq7TJx0Uypk0I4P3ZQutaZekqO1JLKNqqbZBiitXUU5q0JU0caLKZ8g
xi6Gut2iIf5apeK+bQs/ANuA2rTVCJsvekgCpT9U00qSQ6eQrRAmchPJ6GuIo9JgEw5W0uCh3iL2
c6HYxgYs5iLdJYa3FXafL1y7X3owMhZUZjMnLLnD0Osx8LqbiViLPlbWqSfPbRLVCcyVeQqAQL3Y
iz97734b2KN9DppQZ+dBI3xZl2cVqYm9vTfbZN3V1oll2OQR/bIK/3al+ee/0JuqukqjoeIRevpe
0b912glXm3fC8uEFYBhjO4QbBfgMxP3DC9QOvWR8j4TvhpcxIovcvcWzPtUCqn/CIO9CvVx6VU98
RnpVRedGmfsYfq+S5Bod+FLM3IsqXYg5ilKxVnb3tYUppGoPAxMnIhSzIS+Y+LRFIjE057NkPV5w
8ljQzVk4xhdlJGqDtn9C3UrRvB6rct3QTmrNkP4/taySYr6RksGQkvRzhrDtBAv1XYD92wDMZOv5
PYb5NK+xv4ww5GhIjn0nfNovfGO2mOdkriHar23ZbVPgDULKTIcDB9lqBYOS6YEf8PU+3+yOlnIe
NM/hl69xtJTnuHnaY8hzSOgv2x5ZzUSSaQSns9WemFMzfeyzOz4iWpaV2XnEurMsAIejw1kEVFyd
euqO5oXxg+vY7E54g8416OHIepGoMABhZBv9LqqsXaIGiwwjNIVdirwM4V3YM7pmnoHT30zKVVl2
a1ACnd73RCu3qFTsUjl5/5gb5p+P9szX+30I/v5qR7uziZFB1ySt8LEWAb5yaBSS89nOLddwza66
6Wz0pl148/llP37If1/2aEH2lGEMqo6HXNsZsctYSutkG1WdnwWn9Lq/LxzzfPr7UkdLFEmN4PAt
lxoHUA3i5MP86fObOXWFo5UjasnE9gRX6Mcn4dw17Yml6ePBQiFgcRcGvpaH0wf9NSdth0W21a7l
+Nw6zI7QIhvh+fP7+PB1MFAkeBaGhOax2IJwAo+sZK5TZ3NqwgYQVp1uP78GvlAfzThsJjCXRDRu
aEfvd2OF+A7lzLhcpKxwSKTGmR7o7vRJXcmUnqEbkLkAQJD3fmyfN5bKQR4A0TEeBiBBzvRvuhVf
x3075z0kMxfyvoMQs7BJ3KUlxT8ldQb1bbdVyCHJh/skxcMgK3w6glDDomslw7WwTdc4l23U6iWU
va/S9Gm96Uo6z2r9opj8vlOdKZV6pgHxAdG79A4twDWTVJ4JntZLY95rJQnvO0mARGJiXzR5u46M
8sLh7a55axQ8ZeLCDycCM4n8XEzVLhiGZYSfbgDsJaaHWtHOjC7ZQsDayn5TVQBDTXalF6/qWayV
P2LhvFlm92Bb0y1I5o10NlK/IrLnS5s5b7SIaAXCyNDEOkjUW5iSdAGic8nANRHoa8khhdiJuPUg
bKkAe87K7veCrFOlfxKpBYPB2Fi9tQHYIzmOvKXwSgdMYYrsc5lepY1+kdYvLSXEtHW+yPo5nTYB
e+N8C31h+QGhQKMCBfN7YT+H01NrfhWpx+b03YrzfTAARo/tyhy8VUoo9lSJFcqktfQITMUCp2+S
y4mApnaYHbvu+7r2aZud2R6cIXcBxge9OLlMxt7XZXkxTxclfqljFCxqsnHM6IbHs3LZM1t2inwE
iSytizHSX9x28E03uIVlST9VdehvaukFDq6XpWnS8wvJGup6Erz7bes0m6G+DSIi7MfzXG9WVR2v
W71f6qp9To4V0WGg8vZWza1FP28P4J4JnEunREirWwv6upC0FObGDyVPViMGciZJbvXLwD+KcxKa
i3Hl/pCesrZDOjiQamtp7pzwHO8e4PBolyTfDSOhOFN9xrwAi+zkpan+rAgye5ko7RY7haUACZwz
dvLKWOf0FmTnwdy9Jit2RR3ijc2qoeyT7Y+51UT7ztOvSiSq6l5F7D7VyjJpohs62j62Pquhyldw
tB7pILD7kUkOsWBK81UJv5EoL19HfhzQgswC/dKLOprtum+V2ZVwzO+pmjzF5nRd2OVVOfU3Te9e
5JSypFJpQXiGQwLdumgj2+fW9Bak+j4YSsYp/b6rqV2iahmWP+T42pvRUoW1bA7JFltmCqGRfPoG
jKYgp2ZaZpyxo30bE5GcvGiBuTAk+6Gm4RlIJKrkwB1uzN5mHKqNRseAVvrVgFGJlpYLfVyiXF0l
0EyyaLqoMkKddXme13S29epyCIunik9rdX3tltck4PANFomG420or8u0YRz6tQtjGqdAP1YiTN8e
MouzQ51vWyVnQlp+Wj1B+d5jJ72ObNMvezSDYbWUMrl03Vvi6deBimCdhNZuCOhP6+tGIQ2XYhL1
qR1mX0Ru7foeUsw4B6cO61gUPgFaS0sNHgxTbO3EXpEZ4E8YHhURPcd4bdbDhYdoB/8JSjQScKq8
gprHtMybnedMC2XMt9Psg0ce/XyHqStvASQ2nf5EnuE6KW4tqN88nKq/aspiDzdnFxX5kyuUL7EU
Z0MToLSkTRHiAqtcKATHkjq8aKanBKADKuDCYrmWowBIJ5MwuJVV6WtcSKsq38z7nRlkvmjMrRG0
uyH2eIU732w9aMHhIi29tavuKTRXRg0J2ibBS6GZlyfbUFnB6ryAKbbGe3ITpM55JMKvuIRtlFRe
5PqbOkCjV/eRR0Ori+gqkr0TwkoPvzh6d2XUT5Ye3oh22HXdZeU2K2j3axg+i1Ev8JPLaK/vitl3
Pks3BstdnwxX0H0fRFAQth6dC7u71pz8ckrTbWvB5ifhWVeyXdzcirDbfr4LakeKG87B2LTwB20I
YkNceQ+3dIUGTkTUlfCtuDxLIFegWVpYNCIJQod8kvl5wZFQT2h4mwv43iuUM2vTjc7TTr3Es5f+
QrdXooe0d058td+256NvdrQ9O9jKZhRkgr4/ZFwRXKvBuNCTaWE1DzCvfK/JfSn/UMn/23gcVeIG
JAkxohTwlSFdeuaDbJONCbv182F/h10Pqt355jQkP2h96Kdq883/csSJnAbLWxhQvo23od3aW0uh
2m7lvlUJq1KcFa2Btdb313MBkET04XXoQVN7Tr/oMeRREAta6fWyG9Ol057rkK4sui7zGT3qLZwA
JnpQ5r1ZGxwaYalYIwmAzqpWX6zI4q2xd739IG9kfCfhLw4oKdJGW+CQ2m0NjoQdwpBALC2MpNQy
XWvmYxWsDZPqJGxgR5gQRWCSR9YGFuQVUOjedCbfNV7jNNyTOLWf3zlb6x7gpzxCY16hed9n8Cgw
ir8MusL3wv4hsrW16/Vfmkp/6vNx6US3dgg7E0KPn4/TbaOo8N3abTEGD2NvP2b0diaOJqouNgot
KggXi8pJ3qACo/LAYg6PaFmmq4bw2ZiNxEh4oaNTFmXH5mw/J8jfT+79iPXLk2MJDASRmfO0vFJZ
EyNxayr+DOO4k3vRMcbTQ3vWNiWchNvAO1EZ/4YfIbb/CUYhOUVZPVfOv1y9qd3BgsIjfAisTdz6
1S66imnwEQf3c4r+Eb54V+b8+RRc/J9BkJvX8uo71ILjjzpoSv2/0YWaOyj/vgt1W2ZlXhb/2DXZ
9+Kl+bUNNf/iTxQSDuQ/0WaCU0BU+RWD1Czrn/hoGGgcOSsBE7Pa/iuS2qI75WC7zm+gzHiP3/rv
FhTw5LxK8yM8IkEX/ijoa250/XLSxuIFEBQ806LMxC4XN+DDOaRn0pxtTeM9HK56i8q02NpQRleq
l0H2VOtqncNbh2NRpGuBgHqWH5T7YiiSR5q9r78M3/7nkvdrg+p9pft7Jfz5bVxcs1gD6cqhgTz8
Nk4eDtIkHGUP/dh5DMwSHmRuDdmdUWbBa4+3DjbZSX5pmQMZoESBh1/yUeovdhsY/aoJ0sRaBNjv
3ovKyNFeDD3skmTMCkGHPK5x5xmSqITkWPQn3sV3ueTxV8dDkFfS1o05TfzwqxvQVu1UH+N9pkpP
XZUQq+9EV9bNMkaLu3fHqHKBaitvV9DTvxlGqwyXRkhea9rpV9Dc9Puucoc7NIWTteAZitcMgG6j
DHbwZYSC/aaT6vlsmdF0P0IWu0WqdKNGnfLw+TM4hA1+PoI5eg60HDMZ7C4O70OLoAVDeYj3tt4n
Ozc00fxYluZ/fpXDQ/37VfDrRn8AZdXhzxE4gR2FG9dyiPc5fOdVZ2ooAYa6PhfJyeiNuWg5ejAe
jVwT83jarcjLD2+oS2Ovcm1uSInbt6wjJUByemgUjZ3Qs+7//L7oc879QBrH+rFpJbGZluEKM953
mGSehyQ7Ly2zLPeDwQ7x+aU+eFCePqPCdJZmb9Cjd4U+b0xUrkj2SRHFfj8L9SaiQVf/F1d5txei
T8HTMg5Hb8wtNR4Iz9xnYZ74/AtBOCic5j+9CosZ0AvtOAKv7GMlu66haxsmLdmzQMFEhnTkB26i
n7iXo57pPOtgyDjgnXwMhtnHsnw5mHFcRClTAc7NqtDzaKvQZl/EHDOdMGcAa11fOKOLgnAox4WB
adMJs5XDEvvnV9A1YnEwh3A+sEO0isSxOwRgfaS/QS0VGyg69FiikJiGKYbl08GrlNCVT7xxv78G
8MsYZcyvdNpaxtEbp6W5ZQa6y4NU1YeBwNolrO/7SXbftUA95ar60cUA0hx6q1QmEB0OZ02pZYQR
yzjZ52P1Va09ghOi0bc05VWlFb78fPJ8NKRsnyDhtPEMevGHFyNKKxobs0r2ErbVWnTSWhNlpixq
t4pWxuDVF5OJZijLCQX//MrvqODh2mLNrUJMlVgu30M3DyqwLmpd6NFNtneHp7TpLuFqr3vAEDdR
d3T37hJyZvUQD8giWHmOus6n22jEoVqjsh1RYqYg2+3L51/q96UVQgIqeEoLThV0nQ+Hw+7qSLfK
Kdp7OO49jGWLQUIQjAQvBGLz+aXeGRSH9287bBEOJgI4kUAEOLxWYJBHXbZRMm9v6aoYB9xFUfv7
vQcFkGxZZ+sMSvJN7ckXNvK8uYa+1/jkUp9y3f99DszxZvP8pt5ikh/tvr1mCjfokmQfgaZuq8qA
RSPVYZ3lc+6yWpgcaaeYdqqITsy+36c6V7ZYWbBrwHv3eMVHJ0i/ZGD2DZE3os4DBkKp0K09SP3X
qPfUU2M+r+tHY84hkb2MjFbWs+MLhm5ZBBL57B4GrvbSu5l9U3qKewGdPqE/2BuWssDyoYC9Odb5
Tslin04A7hV//uypUXFQ0dn+TfhQh8++GqH/mDJP9k6leeeG5ERnU8UsqrbRWcXSYgcIKW+TwYmB
KO1hPRjErhYpYO3n3+Td4e5wRGBrzUwvw5pXVOuoW9RWGnGBYy73cSzZPqKyQgRCrnPZrlE2IG9K
lDxrlzBFw3O4nWubwPJ6Af+uBNlAxdMs61zp9mBE0P3LIMcTpmhRqy/KEJeTLU65Ni6qjRHD5peB
eyFkoX8rgezhbIWeu0DUKx+dzhxu8qR12yWnsuKiRvh74wyauMkzO5CLHnkqamVk5G8VQm37xOP4
fRpSN6vsKPzHy68ePY3Yk6GZR2mzL5VOXzYZJWijQSWIrIleZR0bt58P+vxmH405DtBw23VgIgq5
ozEPVJZjG4eIfW3W6XZSM88fg+zUpvX7WoavIWsYVoqqA+nuaC3T2qoepapxV632ZkczHFLLep2q
WXxiEh11Q+eNmUvNpijkdhhUvkdLGbY5Ll7ZwBXU8Fs07ht7+DFq3SLkvIDB7yop9EdgrqUWZFvN
/SaVfm0yf6xU8+mP+ZFdfLHUeoOY5qVxIzjPp/yYPhwLsDm6hqRGUZ8fvm+INiMbNwi5t/OcXgCY
4oJ3GwjXm+LVHz/cmSCIGGbewHEEPbwUDyRh32jkPkUzt86GAoVWKf68tHQNl5Alqn8DcN862rfd
Eb/wporbfR5EJNWV4MVVcXJ1+H1n4Cq49MPlmddL+6hMlhQMnnTGFgKI7S2SnN4L7rXaGXZg03li
h+F6mox8iSnDqT3pg1eErHlgVKKd2JHeA1d/gWdsp8bQdTTavShwvOgtVcLewL7t82f1wbSwWPNg
sWIKg8zn6BXJC01Y3iDEHjfacenVibJSGIXFgBrqxLQ44mK8vyMQKWfIibOAwVQ8nBdG3ridgchu
n5SjsvSKIKTlKNXNxMxcp1olkFpL70I3o2FJghzCsFgnGiGsjdusLpO13TnDvd5L44S9/gdjYFOF
vedOQurzjmbSmMU2nYNCUgFiK2Bok0J6XIY1FaZUJ4Zb++BaHFXm3HZ2PuyDjxZaWZlhpgqLd6NM
wgdlFCmdoNCEO5WKfhOV6H0wPiH+wuwQLkHo7cd8idTEQipCryOBg9PIxh/d4itpA7Tqaq/Mi/Xn
k+KDqUdpgJX1jO1AfD4akBxtW4UQgVfLsYIFoWzVzhri9sSwH8Gf7/Ph4DJH88FxKj0HpGj3GjY9
voX+6NqMFNBQq48QGelyF/aOtq8sT7l2VAxzzLBXNkmT0vXTwmHpTJFz4s7fN56jjcmjvU/IAgjS
vKgfztFCjlEwala/r9CZXyQ5gixDVA5qraDrn20ttujrT0WDAgzXbRt9ZSH2YE6Vumw6KVGruGqp
L3uczePtrOTuMHkwYUQhxaNRVNtt40d4XPQLq8jo3IPAVHu7pCA7UVi+2/gd3wllpU1gscMR45j4
4BbTgFe41+7j2mjWaSQSpKuGBk0P8YST47eU28lr4gBuBdhQngXyrE/pb2KOk8xewGORhf5EK3kl
KvJWjVEHlsoyHZRX7176gk4KbqLwaxraabFlvaFlNPeu2YV+GSf6RYFR+K5Pem/jYtGy6qOm2Sk6
IjmsUPB2hVvifz5rf3+1WC4JlCBZlOxg/fjUWKlOy/Fc7feq0ijLCDbzV9sWJTQ34898QueZS7AI
Y0q2E0c3qovDWVIPbWfak9PvFTEam6jJXmvUHtvP7+f3t5CLOGBP7/87x2+hYtRSRIUc9mB4/apU
ImcJdnjKkfn3yg8kDRYp6xFoMHjx4a2Mkp2TmmHYR3by6LiKb1fjmSzpjemq2Z2YlB89ollAwHkP
Y2vUEYcXC3rTSvMyGKiSRLZAWj36eYoWrlLqU+mVR4F+P58Ruw2I6nw1ttLDa8EjTYLRSse9CK1q
6YVuvKsJFvF1uv6rrlDqM29Mm+9abOtyyeOzz93ehU1lNWVDg7/PPYl0SRgewEqY6xvppP1bQnSC
ODEoHzxnVOoOySTUMb+HU/YNNF+VTXhvjLhpqK0XLW2Bnu/z2fTBagvWwHHbmMO0mLfz1/ilnqhz
XXFyjfGohS1JJuhnzwstNSGPIYuTz45Ioq8oXG3MDiqvOzeyqrmWVlH8qNPWDpZIc9XLCtHZKfTu
gxkI8OdqM6YFnf4YibTCEEFlXE37foq1725iOwsFQOa6cESzono8hS59ADtgePnLBY+mfOSGSdDg
A74HEld34+RlG4QI8TLL7PBshBixQA9RbBWnsW6468qXWWb4BJDYJ1asj548XVvUQLPCCLzr8JFg
fk6EdD5M+9Jq5dbRRsNv4/bU+H6AW3K/vACECnLe59x/eBnsqvCN660JmMk1Nh2wM255ZniepsLd
KlFnrnWnVzcCLfBZYinVXSC0U37s815+uBvxHYglI4mAThFA7eF3UCrhFmPaTvuRN3bh0aS9JHSP
czFGNVsaReNsQTeuuY9nITrlRKnx0UBjxIHyirQ83rR5Cv4y9zVwdZlAv9nj7fWICVTp26lpnKod
5ns4vsdfr3I0zhj7IWTpsUHI7TG7hFLmab6mN5g6epqU15NpA6NkQdaSc2I02r4LhQ7GUOX2ZpIu
TBADjO0ulHhkLUbV0jv4ikKuAOq90lcKXTy7cQepzskw77qYlEm3F5rqJhdFXeIkWVdReMrP+fdV
9F2fRJithRAKhORoFYXKNRSapRh74aa1j+uaspmNIfaRie0Tkq9q9FaeilJwYQx6+cVrKvXrmJYq
Md61G6SwZKxp48QeHhopknpflb1ymyqd9vD58nb8hGE+uA4UCHR3BKQjCzh8wnGMVHJKymYfaIpF
eWhMSHubP0t4meUcJEzglzubdtM0d45Wjt7OUwPjm3ZviOSmq3sXXfRIlN2JU8LxishlOPLRBiJg
j/XaO7pMDu/erYXo96ijnIuQA+aiQq99r8SFs1NgH96eGLy5qv115kJYpYqZM6toPM3ho4ejV2Ua
wfVNpu6x7nSeZZqlwaLWnFCBr9p14TJLnBqWERVvt+QzdIm3igFvEK1V+NIYKe0A0YQC67Quir86
ddtoeNsVHt4TWqNli8malRo51Uy+dGRkX2t5jKa8qm1k2/w2vqOGgg2qXbTNDyG08LJpK8hSvaIk
kOsstcWKCQ770i4CcLNYEw3+QFiImFjFxZKGp57O9pjC6vZ5i/XkKupxi1r8F2fnteM20rXrKyJA
FvOpqNTd7rbk1PacEI4s5hyvfj/sH9iwKEGEvzmYGcCDKRUrrfAGXHSAmzfgVPItgiDFc6g4VYxW
51D8vP8J38yKLj8hbXAkViEEIQ1Nfnf5CdtWU+Msq9uTG2oy3JC6Tke3d9QXo0SqS1c+m/E0fptw
zX1AaKrcqFja5Fv6ElHupUbkPqr5VPzKED4JN/EEHG+bRiGG4lWcK69jZ2s1clq2+ihnSNE7hM+n
h9DXJADHxmh+SOkUiHECdj6yvKxM2rvypFZW9Ukm6Fl4QeJYXjtVsbqJ2qbQn9sIYvHGR9HwMW0b
uBgQFFQqjEibs6kRvyp3rd4ZX9o2gFkX1JFySGMzcJD1SLJyZ0Wif5ZTqYM9RFPuC3A90P55RdXC
o8SOrkKN6nyx6Z3WPNPxQ0rHxB37cTQbhI2E7087qNsZWDl3RCvHaOxqelJ6dP3h7hnNZxFnlFq6
tm4dL6hA6z05cHKelWDqzsh6TfYmCdT/2GEtqjWyRSsnS3xV9UbIk+CWbNljVaTHeXswBZptbLUg
f8hEl38K47iEJt8jZeKlbhEPuzTITKRNjOKQZukojzSfkB6pMr/6IgxyCigsEquxdNK/+paG9AKX
c+WsVBCXFxjhHxAul8oc+QvAt8UFVo9pKNpCtCcVldkdcmWw/elC/mPEwSiUsWjEwoeHtbG0Wy+S
1BTIOhIUG06MTfQwPbjVVK48t1cRx/8NYzGhGQwI8eXyMPh5k7a+0o4AteriiLbbtIuVEhipDMXB
r+2TBjicpUckx6mraYM1b72SPc2P7eI8zijEuVVJX4VS5OInlKWWBB3p74SCB3jp4hUCiupF3Lxb
ZLXag2Xl/92/A676efO0uQUI5AlkCewWY+ZNZ+vofncnO2xrBPUcLeUk8g2o3yuu+ydDDuyPG1ic
jsierJfK0sed4hf+a52jbgLw9kX4QOM3rd52u1Ebq2bj9AGGbA36EisEjLmIc/WB6DhxaZGRgaa4
/EB11gFEb43uNHSdig5JER5SrXe9mKqKh0AiWhSF25AO2Wumu8ss8O0zUY6fn2yafkvAYhtQbB18
qzslLi/JoCBfqhQ1Mibpar3txiQp7MHGxBXApriwCPzqRo+7IacmULkZ+L3a7brBc8KpMza2npXf
wkBJUdYdS/mnQX1vzQ/rxkw5ZTPSCiMWbr3Fo6B3Y52rwHJOtVTLh2AU4dnM0KPVYXWsxAw37g8M
ejRK7jQfMMRaFNNyP/DrsdHGkyti6fES9ZvMj8OV++Mqi2TtGOYNuUgGxTa/3DVNWTVcpcEED6IZ
HhwpjCds4/BqQ8rqcRCShgJahTu/wZYoM0cbzJKCInCL/FOaCc0DabMWd9/6TWSPbKT5tiGxW0w9
weBVy2N+k9PR1bBz+cdRKGiUUZgf46L5E1G5QuATFb5K2Y2YNnyH2N08pCh17iViArv718CNm4fN
jTXJvBJc0YtPlBmseK9n/Bx6Kxt1yNr3aGP2O+pmtPz0fNhO7ahu7w/69n9dHOc5VCQIpsaOXce8
P/5KcSwziQq9GElxwPVgqdX+jq1xQJIwrg/9pPgPFd3IZ0Mx1E0VJYCAKcZDpGmcMwkTasNZptFy
j8t3RmSOG3jnzRPoIGVftZP90MVW83N0w/5Bl8hIDnCHtqLTjMdONb6ghyd3kuhy64pCQ4UlVwAR
07Lvph5uSJal1BIrjrdqo2jSxLsSQXJ8UUf92Qi77N39D3HjxNN5mhs2fAzzKmFJS2SfWZTpFOCO
tRNUPbZOh06FiwD3VqZoq8aiDI6xoq8twTJq52hgAkwbAY9JDDuXjLaySc0gbv3pVDRl/6yBg0Tz
xCfGQhkQG+sqP9yf6Y0TT6xJhReNCnb+27H4a8VticqgQNX+FARKt1VrH1sLR++9+6PcuMJcasi0
hAVgMVRLLvcVSghGOImOUbDJYvs6JhCV2Zc0Up2Voa4KM/MXxOz1DeuKp9Tbn/81o2zSicxrqZ38
hLcUOokEc64HZf8YDEP3arqSSwa1NRg/waClXpmYdrlXYkMtvSSvIKLcn/utL0z5lSYIzRD6IIsz
1eUS5gny6Kdq4k7tp44ItxRrLbirHBtYLH0+ohRKYGhJLMtAOXpcemhnCN+igLQbWIVil0+m8azW
lB43Ou6NrxRMIZ2hMTETAQtDfkM/vww8vy3pJ4Dlq7eWI+sXLPsghtlI4bmeYaAovHL/X38Rfiq2
zXMmDPR4GVVFnUu9ajSpXagj/bmm4oDDFVrZCNcnico3ADtQ6bMz7DIWJoN3EPDNxcm2uEZaxEpe
crw+n0LRyAcjiWH73F/omwNSgp1faQAgy6PEixdMYz2Jk+U7coucbQ2VBlIWwmWm1/mJv3J0r+AC
85LTuf7/Ay52Frk/vtCtLk6ZPm4CO4y2KAU+hob9LirCcK/1uXNsUz1E4alMyVctTDiozR4ox6B6
0OblB6od2TboTe2Ryva3IXaiXUl34CGzJmU/mCsrcn0L8HshtjozzhuDz2WwKKxaR6JKnLSaPLty
FGPfN7BahgIy3P+wFn8NpV9eOLh9OdNAUf7kose/pbgwHdRkQnygH+UeNqK6MrVbW5rTjYQGLX4E
eBZTG2tEwqSRilOhW/lDoyikgkM7rhyc66Dg7WSzArhGqdaSbOEXY44jmmCHmaWFbHlpn7CsimYB
88xLRYVdn5K6r/c/5fVbiMUXRwgnIMLQK6eZTNU6N3Vi/dRMuuWhlPZHLUznU8sB/6TNmgs0Lqfv
foiJyf2Bb50nG50oy50hhEATL9dQt8TIMYv002AW4ZFbe9zS6J1ejBSVBXcU7cp4t76uw63EeZrL
zMvqnymJedGH1OmkOh9F7ORbvAH6hzyl1WmoQbsLbbM535/jjSPBliGnQKUHb50lhAkNTl4GPZlO
4VjiGmFVxi6jvbIJLKdfyadvbFEagcCOQRgx4LIe6CNL2odmNZ3QI1QPmbSfAbMWK/ngjfmA7MWP
EOWyGVu8WLMMJXRntnc5tW1SHonT5HYS9EL8vAr+h6FcpNNmvC3twDdE3l/vvOumWqUUynRSGke8
Rx20/WKHIn3XRHHw76sEuh1uty0IYOzlrOI+wTFGZOop7esXX/rd16I2XnPMCE73t8ONmodL5MLm
sxELg32zCJRGJFYLM7TUk1Wo06Hu3eqsyxTxeN/HXUI15T5wSm2DGWy3N5sqe6z7WHm4/yNurCG/
wRb4ExOxQA+6PHeZ1rRjygt+QjC62IcIs8JHjfSDTvX0369NwrXZ2kzHglG1Fi8Y8hONZQGXPXVE
g09AdyPqdJW6coNdYYZ4KOf2GGmhS9OdQOxyRnidO2k3Bxyj7RQ/0UkvvEFHQdNEqfmxVhP5pDZB
/yjwdfDaPqoRZI5UjFkC8R4zaO3Yj0W2z2IAJfe/9BXX6O2HcZPrBMaws5ZxsVNFzlirqXoa3Ram
r93Ld2Yfdcew5jWGjXUAbRU+Jkn6KoIse2ePyDIUA2XdrIjMV2UE6t3wjgIAAdhd9iY6AFlVbZss
pli08qTe2hYsFmqFOpUpumCXHxF7Z0T08QY/2Y0D4bFo0w+dbaCvavpr/J8bT87caqT0BnaGrvti
KIG0i5WYgXZKGvjTJq2E56FKspfGimoP3pM2E7BUngTR/Lq/IrcmyROAkI6JxrFuLeIGkpJaRt2k
wc5AlEiG0381KhDHJNK63f2RbuQppJj8RblfABlXF8fM8ZsJ14RanCaneMkp7B+0IG1+WN2QfUz0
xNokVVJDY0+0/7QhF5/NOhmPuh2uPAs3Xj0uNlJdVSA5AuDyclkHGYb5VHXiFIgKCabJeMl6B7F1
aiXbKaI35Qfax/tTf7svL8sMBGDwFYCjgN2y1Pk3/XV1F3anxINv6idUequZJCGTd8YAP2pDNzKJ
0VqPH1Exhqzm5DDTEC2pTBsZgSTDB8Ya41NWmn9oF1ZyK+iR7NxRdV8tV7F+KEobKntpB+hBOWFB
zaa14+xPFPVD76VOXcQeSkHY4VQKMtQ7x1aw4XJKV3zV2nR8Gc2hP0xjo1jPhlnLR7ucBU7Y5iVy
AWn65Mc9AE4dsfeGwrNZ1Nsw93GuK5S+e4JX1NF9muoRIpkqk3Q7asFUbKCc0JkepGYhQ00n7Fmz
R03S1IC3sIlypAk9y8TN10tGf1ZiZascTNvCn0rJsp8wvSzEyomv3tfEB4jhlwX6/rj/5F7ZOPmr
rvSq2OIi4OCgJ4vutZjCFHkoPfrlm1VePDRtYDYbOVRusUmDYtZTcnNkQnwflf/7K3trU4PIQSls
rpxg37W4aSf6SgB3a/0E/OW9PRXaO+zVps9TNrR/jFHtHxvYh1ubFt63TPWVAdx6Ub9oU54c7/+S
G9EO6Q8wLt7r2Sh+cbp6I1YU4ff6qeuz4IG2IBRC2wkO/zzKfIQF3FWSbyEW71dm18KPFF8/JWXo
7B21i3aGDH784yCzvqYG4kZF69WiLnt5WkSDg0WuN9apwZ9lJ3OJBDhUk5Wn+OrmYxQbS4CZAydg
kSy6t2MbFZTbNPvUuf4fm6fvJS5s7Vi2FAHuz+fqdqc1xcGf2cWE2QSLl/Ppe1ATDUbVp9yOdNTQ
iw+xOmL1MAjcaLLIhPcrh62DHvm/DzyD7kgouHmhli6C04TuqhbjXnEaK6lhlINAoV0VvZeUKcH9
lP7CltnZRKYWf74/4//L/S9uPDDmM2QFzp+Y4QWLG68E1olqfxifndomKaWKI/c1PmfPba2E0zbS
J4V2r1Z1z3T2oqNZm8WuCCcAvSlEUSNQETa0MCF7byAR9DPNI/tLiBj1+w4ZU8Nz/TrPP1FNCREr
isfM32tBb9V7gp58h0Ndig+FL8sauTyBPENdD/ljaQlRbuwCf58tt6v9Ptbspt24rZWXHjJQwMUr
HCaP1VQEBYIb0wAx0g1CpCCT8GwpbndOUs6fN2JFd6LA4L6gjpN8jyDecW/XLqomCbZlp1ix4tdI
vvEYkM7+bVVTOyFpU4vfmk1l0xx7qhNN7z5JNIjqZy7RSDvUWjm+NmYf4F8MdCHY17U5SwJG9YCu
van/SqtA/ZND3bXeIQaIfMkM2HQRcw3hK0uSuYfRDFFThSla/47T5EHhYuL2D3x4N3pjRtNRieMe
ewrX+NiYE+r4QZhYx7LH5EuizmRPu9bFu9NOgRxsammOcls1evurk5BrvLDvkIHrhN7t0TjL6h29
qPCoKYkIUKhsKZ44JV14O+uQAsxRWsHP7r9WT+LXdNarZW1gTL3NKnqkmmeckO+PXg2nrFFw8aWJ
dlMn66+NUWPp6BJunZx2ivaGWwQPJb553/Ap0dVNV7T6izShqGB/lyDDPwA4D1YOzvXdwO6l6kBD
iDWmDnB5YiHaZxba6uGZRQi3Wljn2ygs0wM67PHaCzLfZpcnBa4mjEGuVYMLb0nDVZXSyKzWic+A
MUJuBzf4Dr1v9EpFKY6124d7y+/MBzx8zNnoUBx1ePQTZmxPdm2FKznmVQkCBjPpCeUW2rFwt+cP
81eg0mIu5rSUP8661fUY5KFOiMWnvo2G3tio2Oqs5X/zLXs5eyBSKoRGqqIwjpetxkjrycnsOj/n
HSUk3VamQxTDEI9ziItT54xPaoxUv9ogfKMo/ucQJ6UPqdVEv+/fWFfPp6AqYZC/sxa85Veyyg6O
CE4WibMd+Ljs4gr2ZIl0XFnsG6PMqhSECTPtmj7E5ecNZFeVVi2NU0hBlZjHtLZgo+KV3XtzFB40
SqUIBYolN7fAaZXAbzROVUrHHoSN3ASD7+zuf7HrV80iqCUUAPj0tnqXczElfnFqFRunqYZfIeka
jtkYHfAkgY7b4elTCkrchW+5/8jmBnbJxrSo7dAthFq9eNWyUYZpH9ZMT7iVZwE4/R4MpbF3e3d8
xM++hxNLVwebJmUl+nmrBFzuVoraM1ycuq4g0locj1rgqpaWqXny0/HLGDfWJ7u1om2nm/JRm6W0
8nJ84EqRW8vI3ZdBix5cKzk0ivxx/+Nfn1N+CMWZWZ8V0MTyG1iFZSVua5qn2u/a9+ZEtrwpukoc
oxTai1fAnfh8f8Q5SFlOneLkzAqkVAMWZrHcbhAVaaibJyD8k+e0YfoutIfgIR2T/n1eOU9RkUD9
jSTWEaQe9we/DrNZc1JjmLczVBGU3+XoXSrtIQ0JCWFAFCc1Cwv8trCA6AoMIjfTmAYkLfWrNGqM
f/lt5Rl4TbJDHmutNHbrcP39SxZbgDRcCZ1YMU+ZSdxAJxbGam9ED/cn/HbrX35u1Gas2WXRnTsr
S7THAPy+x6jQOlVqqgALi5L4q25F6XeTN+CDWYAr9RrVSQKvKRr9KwGChi9NE+M3EmJzi12H9PFn
DpAyTvZtX6M+aAEq/UqEAKQNyxer2ZTATAs8+ur4SDxqtrAaLReCAR6LXwG3CwWOVdweE03ra1xp
euXnUBHE3J/pjaUlLKb3C0+QoQFTXi5tmQ/EVpVjncaBdjc2z8qDW1fuCzu53QPqFZt+xMTPEN3P
IG8+j0U9eTW2kv8KH6XH8EYcmaurKnT2xRarRd53fV5aJ2Bs1TnL3N8c5v5oy9R56vFmW3kK5n2y
XGCA5TQZaA0CetIvp527UTTKrrdOZVpAn1Dt+l2sNB3O1HT+Vz7x9VUNZxzoMxIYdGWhjV+OZc4Y
am4r+2SUivkDsDqJ+ijPWijc9yJHAzRQGuWrPir1pw7HoWesDZ+ayFV+QbEiRBZpYO4CgbfTVhWp
f3Lxfd+qiR6HXqZ14woU4daHEWAxZu4o180yHrITNSxaZ7ROvR1M4BUDxBLBE0Koq9dEn+ckZLEG
XClzhvmG/1kestgqeissdPsU93i6Ba6rHbDGc57KRpM7UaJulERdvxJi3VgMuAsEG1hFwi1ZVrwz
3P+myJbB2ZRleARUwshBaqHMprRohmb0QtQo3dG4ztZu0fllvJwvpWAiOxrEXOPAXS73QW1h+GsP
ljz3tTwLZEx3uB+Vj6RxxTYshbEZpn7axKPvnpGi/aajrrCyFa/frfkXoLjHu00BzljueqMxhZqb
8twlM80b3rxXVGGLD62W7ltgvSsf++Z4hNZgTLhe6GhczjhWUzsYE0eeI1r+B92p02NQpobXVQ76
QBON+PtH7XpHzQAaGEkWb7IJNPxyPAm+NyHZDs+qHaFzkCookUQPxeBmmxFg5SaR6LjfH/IaP0ma
Qi0TGvKMNoHGdzlmCwK5VlotPAskhT8iSJHXm1JiKPscjApGu36WFJ8gHgLBjUWDb17Q5bh3yhKf
lk0WBBHdPtH1/UY3UBNuJkv/nco+ULfWWKfvI73K1oADN143fjLhCxA/biZ6IZc/2dHw8qz0IjrL
0Va2WSgDrK9T8RUfdOWgZkqwLRpHOxZaxa91/OIh1ksbsLyufCRPdnZojulHy4mdY6i19m5s0R/R
/KI923UWPjb6OO5gPZ/QSoxd4PZ6/WjXTn20wGc+givSEBZAqxGjtH/T54YnxFrAlUEhkE4tkeLi
phW+ZlexEkdnXf8Bcr3ZTDK1sTkcwv0kzZXNdmNz0w4BrYuOHGHw28b4K1kTgdVRFAijM9WRZqer
Q4NXq/sD1fDxMKby8/19Nm/dxeXBaOB00YmbU+LFNksommP86IRnYGkOVqZ59C5XZeoFcV2vnNrr
GIuvyPdz6ZDxCCyLqjKE9CTCKjoHeCoDmeuswxCq2vb+hG5+vr9GWZTlmr6Fwi/q6NxGbnjkjcaa
etLsY5YAwJRF9uN/GI7a/xzDYoCyPKbq0He206nR2R5N42PZFpPXjSOOxFJxH9terhWEb1xFFM0t
W0eKgWrtsrOT9OaA2RMk3pQLdwcns8FO28IQRBAdmojuI2TsrzGfbm2SuV8Mhv2NOLe4320CcVyv
/ehcQRZ8cirtK0IU1s7GkfR/2Pw0DFBAmlVo4N9cXiFUoLIOF1sKjFgqUn5L/xOl9sNJmodQE1/v
L92N/UjPhnRdzF5TIAcvx5J115pawq1uztLGiPVZuyIdu5X9uFACfrs88Byh9kU+TYAglhsy82tf
qgYXuRlBtgBz37xmkFzUTR9zV23ATpgPKiEZPosWtUzsJzEM8TtZgPFCNxwAlKH+xmH0BMixzz3b
n2pz5/TRtEcgfCJPyvp4WHl+bpwiCBicUcjjs6bm4iofMMmdfIVCb1cB3k9Do91PQiobgdXpfoRA
uTLerbWAKQTdg3YlFj5zePXXpSeR+alKJ465YS1E9GeNJYSuov0/rziYcBjcMwSIUHSe9V+jxD7L
VGKpdUaNyKAVRiw2kmj9+x525pbvLFVCmcacT9Nfo1jpqBl5a6RnV43qx1DJOaKWG+9ydUL7unJW
tfhu3AnzYIQJsNfZP4uPlw7VCIkjyM69Rj8ltIs56BrwAOgG9eCADjhUMu/P6WC4RyNHKC1KXPN7
gQz7lrTfhOdEmbYek2Efdbr2rmqd8sWYfPdw/+vfuEUcguO5l0UBFkLf5XfpWycNAmvMzlHSxk+O
OrlPY1Vm26ZJ17bvje3EKlPxo+VE9XEJyGjwbo6mhqHSKrK3VYbCf20VwfH+hN4EYRaPJ+xHcATc
/W8BwuWMIunPTLc4P6sqkv1S081Hn+31dSq7t9M8bRPsuB879IZ3xDr5vgBv/YwoKHUO0yz3xdTY
e1spfldFHu6BO2W7ymcZ8KAKH6wu+SYis0FcsZh+BnDfPEOZ5EpedutLgTSgx4noG2HHInkwW4wT
UkBi52mqM8xvx2lb04FYOd5XUiJ8ollMhnR15teA37r8UgG8PLB5bnHOGiNmO0ZdeEDZHn01BWhn
sm31IvwhYwi821I0+pdpDAp70xuG/50Og3buBjF89kVQfMwmy/rhZ2Nd711o+ufcFP5PeG4io2jY
wn2rokbDY9jx1xLuW59qLmvPteQ3lcLLOUxuqZdhHhdn3cgTTAgabJunOnW/3d9Vt4ahvzdrGcNc
JPG4HEZrMl0mvhuSrFXFxmgT8vpQrmWN8/9luXVnShiFKGpmUJ4uR9HxC2a1suhsYZKEREsxPESm
3nl65NYHd+r/jJm9b/2m+qwPWbIC1rhmqcw4tLe6H3pfyPwunnktLtUIElx2rvTOhrWpDV90iWgV
lB7rEOExF28KHRsSU83lcx+Z2a6wOucATTTyLFmZu8zQ8xUR2BsPNXcTqmAGJCVQO+7izWsxuZVS
p8ho60Pwvao5CxsdfNW3EZPwdKOUgraqOjoBKnBG+BSVlX40dChsGw6R6u9C/qsfia2R5gxhBAOk
KYc/OJRAGY0yX6UZhy/OWu/hTaPwciFBhVPpoAkNXBH1ksuFjPx0SOBzkuLVRvVBL6X1OQnmwmBA
KwHRJPQb860jcFDBkc4uH0BvFgfUn0PF60PIOV5p+m28L7PW+JH7qvbcMLm9yAY2XzwoHRgaq41g
4PkKjmQ1qHG5iaxWgKkfRXzqFAMCjV0o9TeM1vkzyHlOjxFEh78vxh/vnTEcnW2hl32x02Aix9vG
jfANbmVgbjNpDdBvAqfd+jWxH/jyQrH2ejkKqBVOHQZeWyG+sZ3U0u43EkDRgxK0Un3kJqwP1D1E
ipu2k50trTKgzlZThTlMgJqcMSLfRSrnNZH9grAPVJQeHMVkTtZPzL0xl/ANpfrUNqKNPaHK/rta
2UbsAcbEq6Wo4+yn73f5tyaZLJxCNCc7Ng6CJAj6+7hHDLR0Ey5kvME30zAo2Pn0MXIhNWNXnsbl
jSCubwMNKdPMPDexWQrqtsH4K4YiVHqjW9PljFASshC4k2Bj2rp2/oxGQeP0/oXiXt0o81Gjuj2L
9VrUphYbW1cMM4xyczpbZQzKh/sA+cUyL1QMAzE0h/M72ZY3tpObHRQ36dXPkakm+05kyOEB5tDi
Jzp4Q7Gp80r/LYbB/2R2OGPTIYkCr8KNhNMxNphMh10i/iu6yW88qG79E0x3NfMSluBD2FaTuYPv
KL6FTiPTDXakcLMNvUIQcNSGJzE000CDuioZOhH6bAunfkdzZPqSqwkHZzZ817d+oiYnDXkpWkPN
GCe7FnMG38sxYip2Ma43PzAG6sQ2F04jtj0nHtsGd+zhTiQO2Rme6vq3IczqhwYQRb1B2jIdD2bU
jd2mMgzqDkPSiAqrBiSf7HoEapXrnWvunbbotI0ClaGBKj57jdkyU3dZPqbbSERu4ukl6gdlYMpf
fhHkIZjGQCZemmiWfISApxDVR7r8o05N8IpWZvRRw8KdumRlYYteUOb3DH12CaTd4u76dAJCBmR3
hIGmp9NTDE052/H6Gd+QifW5LNsg+O6XAbT3HlLSpuqhQeHW1JuKpyil/yx52fOXoIlFj+OwqXYH
ZwQatp+qPP94f4/NIebFLUT7bgaFcHvMABx1GUaklqHYY1MTWSe9ZxYFNt2iOvt1mO8NFA/2/jT+
VPNCW+ka3tjaNoQvusw0U2Yx5svbDxHmsoqsvjpbEuuS3FSLrZaD9rs/u1ujQBGn+sPDTHKymJ2N
SFCEFg79A7/TH9lA9CGLaQ11dj0KbgQzWBNID4WEZYxUTymnQ007rL/M0Qt18TPJ9WJ7fypXQfis
q0QeT0HRAR26ZAf4DfovgWjbc46s0JZkAAYjfYJ9XFbpSrY1vzyXe4JqKRAlVoe6P/Wzy7XptbpI
icuGc4Z6rsdxnHZwDp0ne0xsyDIAw+9P7Rp1TiX47wEXeVCk52B62mE4T8ag7VzYc547Bo2nxwKl
Bx6iA66U9hfT5EUsZFRtKKnnK8nfje9rInhBogPowEXg53LSBj5edeW4w9nVsz+5a8bP2ThpPMCq
s7Ipr1tsTFeQNBOLsl9I1y+HsqooLs1KGc6D0PKDklrdUwVHb1cZ/fiEC6jjlUEffchyvzoG/GgP
7Fa7VUpz7Zfc2Lgzrxu115nBAOru8odIV1PGEFHTc+dPZNRRrB3nAunKzr01yoy1wz2U1rhY4gez
Lho7s8uGszopwWOsiK90pe2VdOjG8vExwfXRLqRGsAy+EZwKnYkK4tm1huRgTXmabBqMXfHvUJ0P
9/frrbE4FeSO+KlT81psFcTfWhvpt/E8cwtnnyz9fRrIn5JEfAWPc12Zp2xi0SPEugHKFdiOyxWy
Yj9VZGBo5x64KimSamfq3iCCyTad67bhNuyjAhnSISVwTGeJvM+qoinvwnrAzDbii4nNZJv5qeT5
6Tdj6+PIQFQazXKc4PgbP9V34N2sH5Pvm++TkCfMq4b+zzDl8U/u7hbrvV6ZHiC18sDZw2SEz5OP
w+DKoZjvlMWdg74BhViHkh4PwvzN/6q9GEPe6cFojec2wMxHkVaAjSEMRr+wP6JYnj+rVWGtlAFu
rSMN2P/DGFHpW2x/pWs7ZYyV8eyO3bi1O2iqNPqtne90a9TD62eW2i7IHNjtJE1AZS6nRzPRHAgk
x3OdgDJHOUol3giQr1Qm/hUd8W+JmmcbYqZ0DTx34za3QcnQb4ZVBk9pcZvTUJpM2SbT2SRGR56C
dltloZoX57hWjcO/SjTPzxRIfrbsjEoBQ3Y5U1xjq862R/XsQiaBEFV+1lO9eRh6qM73j+GNexQw
2syoIZIgldIXr3uLI+pUJIl5nsArfPZdOueRi82mV5YQiDYdiqwPuULLH0/kBD0Qd3IHsQ2KGMBM
Wdtf7v+c62uOsj55OW80aAW+weXEjTLouBTs7hznWQx5tXI9txf/DItAkHqm3VKUmYsM9uJCyIQb
lqUozXNlyHjfdxVzFuBdtAZ/vrhrtJXk+sasHBJ9cw5ukJ5b9uQdESQlRo/GmebheMwd9UuSoIB2
/9Ndb9G5ugR8Ch4+LYS3POivw98WdaXmUW2ds8rMHmOoF8c20OXBxhfoYCMD8v5fxyMmpN4KBnte
qKVWsl+XyTQao3Wm8q95qeYAtVX7yOuCxD02JRZy98e7Pv1QTcAPUaVGh5t/Xm6NIQzQze2kfbZb
FLCimI5w7zTKQ6mJH+gEDtu6dcODTPLf98e95ndx57B8AOTQDzWAtV4ObMkGzYqKD4ufUv/HMEr7
HChJtTNb5TNfuP5Q0JLehrUjnuXoU0HUSXbpORo7ePjjiybNxHMj/UdNwIVInMzODuK0e7+xjQ1s
1GzlQr4uL/F7wdwioMCFRd92cU3WMYZQQ6vb5zJRsp0FN8Wz2zr65udIfqk9zQXX78MtVlfuiznG
ztaug3CnNYUC56wSeNkCgrn/DZ0rlIYO65hLAhkODoGxbLSCTsJc1pg9bSl8nd2yVEj0hhYIgVY0
/fd88I2zXZKdehM1eWcfBajKeGGoaTlablWPsWps5+8TMVlwcbBT/oGbUCseHfxujlkUuAcZRaC9
HL8Kx81QhHjRjkFdTtvRdJvzWJoYQ1kZedxGNaMKm0/TTL8g4Tw9WVZWpQitSRdAfAkuYO5XTTtb
RvExct0u/Waj3lLOAgv4uya2leyoCeSvbgt9u6tk/IHSb/rLDkKjOapKn30uK8ONdlkRig/+ZNt7
ovb0u1rmssJb2R/SrcVkftORVqcNKjDTN6HHOC/Vzai/SdNgU1q0lb/rtVJ7APQQ/QoLLVJ5bKCw
ek5qVCWaZFbxVLdV9KckVkNDWgTTa5kL631Utmm8zadYf0kFSnIH28axBNXloQs2LTpqg1f5hUwO
SZ91XiKx4I37kjoegKGh2Qlco98pgS+BKBUG9q11ZMXaSqByVX8laSWUZTcAGaI+o18eKZQS29JO
mvCDFGaFk7RjPuup3XytDQUVD71rHitb0Xd5SatkyrVhpQJ7c/i3shDdEfphi9ccwRsbKQ01/GCN
4rMEbMuWii3P7kNrfm60owSP7hl9kG7dulkzRbiK0pDPJHgBZwwmHZnbxeStEIeRll7zB/oC1fOQ
2/jqYFv5GFF62Zt+FDxDClZWTuDVlE3iVl5Vjh+NbFKzyy+uJJxNzpT4kFYy+GQ5fOIQ16hdUCUq
zsexvy8wk9pkcZH/grBZrjwWb2HERWjK+KQvOv25mSO/TO+bSmg9v8D4gMQ/eKyhdUxlFwmzfz84
o/aiRZKCoo9Elo6FcNACc+nMb3ptODX0wbJDrLzK66cuSDHH7LLMeKncHi2fLJ3UflsQtqAfiFI9
lSvXz/Z9FNRASUM5bLSsb4OdOVhGtDVyw32IifYJEieUzbealhWwASi74pKLk7UEZ1siwB7YTVWv
rMDV+8yn5xLkb1g8kdQsAmWKKFVfEXR8QGbPBK/kAjOBi4COjAo3hArZSsZ49V7O5Zq3og3tORTW
5t/zVzwQKOg842Skf6itijwcxOss3d43n0o1/3/sndeO3Njanm/F2OccMAfDvw9IVuxcJXVLOiEU
mXPm1ftha+zdxdJueg4NGBAEDUatRS6u8IU3fIgrUf5c5r32GTO7+p+WpeaRkZKb+5xcmMv+RmL4
FTyTUTlpyFu5co1NdOL1v96/Uq4DV0YBeIf0KnNJbXcxn6mVDr1clMopHP38KFpN/ywoPbxRHxnB
ZEpMJ0805Vbi237hmvtkNmp4QHt4Le66SoDm5wCqRHpJZEJ/73Kek0Jto9BvlVM3ydKnTO3CrVXQ
RgoawX9+/52v4sjFUIsQiEArVdWoUU6piefjUAipQ7yyhve7PirIXYmLKVqhigok4fKFQkMSEdpp
9VMwKtI2FsP0AGRaeRyziW5F1pQ7X1agzhZe95BnRbN9/yWvC1ngX6im0r4GLH6N/QvVnvte99RT
oQ7mJjLTXRhEia025Q1Qzs9dJt7XU3fI1eqhM9bse/60rNAMo0sPq1mnK7uY4643BLHJAu00TcN0
18aS8oRUanDXxc3kokHQ38RJkd3Hiph+wXf7Y5aHszppFf3jMA5Q1Yx9BNkADIVW/uVnqK3WmAzY
LiexIqq3JaPvGxtFjuah4v9h3oOaoF1mQ6E4Zq0av3q/3TecsRAL+3p0pqYIJWyDrejbyveZZ+Dt
Ua7OdTcYP9wlMjClJeirjn3gx8CKnuR29HeDqN2a/qjsDTVXcqxJ0vGIPmv9qMVAL8ooFTaKEGdf
a18J17bDcuvNVsVz/YhbRSW8XIKLwCWGgU5R9Skr5DJw61Eo4o0cEFJbcRlnTkYwz9mPDsZ0axVC
AKU7LavR8VWr+WTys547ILo9gnxqJcWdFDOZWyy9Gm6qCU0eW1RrneCAdD1wsNHIbj0j6Q0bfXRh
X2Hm8b0Ehn5Lfb6voAaG9WeTW7S1G6Uvehsl6u6b2k7qiyUW4W2Zc0bZChIklpNnUMGctJrLSZEf
D8+mMjaAWqP0Bss3zaVjlck2YVshuxWJhbDL9WIaqGEmWUTRg4aiLUEe+ccCZHN6Q5wwCxay9qji
Xi460W8yqS/K+OyrcSUfhgnIht0EPlJ/YWfWss1xH//sYjn5gC1LTTFripuz3LTKnsA7+RZKkQok
N8THxk4jyw8cUcc9xJbwOFm7AJanIc+KnQO9ahjPwF2WOQVKUHmdRjxrO1AZBfOQNE7XldJOycJT
Gg6howjptFEaKdrQtkw2nl9Zt+MsZUifv3OlPo4daoNrGhtXCRjWGXQZwDDM5ATuwUWshZRqCLRH
kM8C3g1IYu9pBWwk/Qt2A4hU69tZ3SPXv6ZSdK9NTGHe7dVhjYO5vP55CCD5eGYilwLtYPkliZQE
waKjcu7pkDtDjqVhR9h9TGtMOvO60s+xOQy2HEsrReQrtAuRLeVAayZWcTVzjF6uoaZtNM/QU+M8
yY9hcldLDznNP1NpXdUTXJGSqoroahSd9MbCM+vTGGOrrhaOr92lxqGszI2aSbYlv0RZtBPTavN6
fv0jC/L/O3/xh+Jndm6qnz+bu6/F/wMm47Px2X82GacJHP/JYXz+qd8O4wLkyr9eBf4hjsJloOzx
r//W/6yb//qXgEP4XzMNAKFeFjb5uv5vk3HzL7CSM4B6RrcBKp2bE+jaNAE/J0t/EZrNwEZ2g0Jf
SP7X//wf34f/7v/MH39fKhi0X/z3W1/vy9CEXhr6OjM8nCIhBQ74xZdLy6D+2+qVR0wryIMdxn7l
qEFu7BrcuivHFw1EZ3ti/mk6v5mqvx/k7cCXZ83rwEBYwfUqc0tPWqZP6QhupvYr9aRkXu7mRmDR
EZiCw/ujXO5ZRqG0PXMwQb8TTlIsuXw9BIGjFgl28QmZgTvBKH9iYRA4oTAc4/4HBtrZkdjs93b4
j1PKd3tzm1+PuYj2cmrpBQqe4lONYm9KT2kn1em4LUT/0Sz+3nv/cbDL1Pf3YJjOvDK3iByWnZhc
SL2uQZXqKch60bXiVt2U9PhddK2nc0ptavv+hC6iudcBoYjBzJHnTASI7eWMUu1QKgpt8lPlxyfZ
U+vbyisPeIcefKH/UKmjcAjl9liqe6+915opWCl0LFzeXh8Akg7dQdTWAYssQbe0sMfKanL5iaGU
21aV79E6L3al0Bv7Pm8Lu9BryxG7XIZvnDXnGOBJC++1yKIXPKYPwqFBdmIlQbv65nArsEmEoAhi
gTt0ccv73FpSkYTG46S2vh3WgCyaBKsjozCmvTmUa2vsehZmMgdXAcpSoBQQUL38DFWn17pZTjoE
U8t3RjM8V5JwI6UFKNAIpR2hkacPScZ9FJSCg3oWtZg+dIRiLA5yplWumOZnvzWMlZz86jzhuYhy
FJyHwb4hY3T5XKI8xLg7TcZjTg7eJdpBbbwveK+WG+TOpF2gi7cAd6I9zh7VCh/kj3NCN4AKFHhs
2pKLzV4lvlG3HWMbfn2bGtEvGmjKR9zstjzt8GJY7UPQ2Nlu0tATJPn0D5bU7XIqV7YCyeLWGrw1
LPWf1gXNLY5+jro/WPPInK9+KfOZiip+RF4bPq6PfLSgfs7m8vb7m3M5+YCHWQ1QOVCcp05tLKpw
feh5as8peDKt9qtVyoeqELadUH4YBvlLMDUfh7CjIj15KyfeQkmON+N6w+dkbpGSr1vLzkUfBgV4
o0k6qdY5NLCFM31XTRXbP/rafSfcls2ma9G7T93EI1AJQ1fpPr//7gu45d/PAFcQjhvXKkvvcuXl
fqWoE6XGU0fR+s5QnED5psrbVr9HloS18MvQt0O41wXHz/A3cYKDN9mR+k+Pp9epePMY84p4UySi
jwqFj0v85P/S1W31XWr3EgopnSMYRz2j5m1HCCp/pVRmSEdVcFdmYXkfLIdfLIEGLV9PHBm+T7By
2fvyvgvdibKe8dALe/+jKtlBBcbuY5K54acsQT3fDn6uPMRlb+L6UywOgTZKM8ADonRq9dTRys8d
+NsWFFU3fM/Ep4IFUlkjDAF15fBZ4BL+HhjQOZc+jQci9cvJ78Qq9LELlk9qiiujo4rO5IGmdfRh
100nzx/JPPdcDVTm75DMAeL2ZcrvM/VIDbRPPhg+sq3KvlPOQeumBZrBhzR2fP1OlvfvT9FrXPXv
lP/vJ2W/0HSXucbU5TLRhJacV5FOcbUdrN3U2Q866k6Dk7cuTpdGjkOE68Wb7Nzhgf29+1UfQC0L
u4G4LNkW2a5s71G8lC0bKnDvUnF+Rn6mDZzWsGkeWu1enlaW9iIN+f3MyG3NiLzZCWAZTBUBGHha
CfIpznZ9vB+/VvItbFUh+2yo2Lk7oW8b+xD3B9SVcJSV3Ml/mvqPg7DpMne4C1ZOu1fzuuUcvn2e
xdcepDzIcqHleUYnSp3Rd4x7s7vz482EHA7AS5LD+K72D0rtBsM2LT/CB5VGJPDaB/9LykGUQHu7
0cS9CPhBozD3EvaUIiB1Hw1j01XqTanu8O7QMzf5FJtPibfXK1s8pdPKtp03xHtvsji7LLFpWmj9
8gllRWyGLGObpDvP/NqOz8qqmOpltYnPqHJA0sic9b7I8Zc+NSoyUJaVqdIJE0ZasNt0n++8vXVn
fTGOa12KV8mNizdbDLZ4M4gAqhHQ8z61NBUUftlNtQlRC0yNjZEftdS2aK0HOzW+6WALeA7EIwjm
p7Df5+NRiR669r6RNiLg8dsy2KS5rT3hzxZvht6uTadP0EKypXN4jjunzO36k7rNETHT7yJUpvCZ
tZX+Q63sp+4uiDaR6qbjreK7/HD4Xce3SjjJ2Uor7CoM+T2/FlhIKimEI4swhGgTJ4hslE7jzsrR
JXRSbSt9Vz71uoM2gRfu6tTpDDcMbkvg4WsOjK+iLlczziXMxHMvEyBfnoFCn9ArRZ71ZPlQH+yo
AWDiziewltkel85mjO4zbZf3mwg4yB5E8fBD1en8u41kZ/ldX24Db9tTCZOjZ6FA9Mz2PNtLnzI8
Ldhrye1UPyPRqJ7lfRhTjdlUP8vCldNPVn7yBUfKtwFgePPDJN2IxR6LiNyl9/f++Xl9Fs3rioiK
DHgWfVnieeqitozJZ5KTYIfURzy48leR0/NZ92HlOq10V/pbeThmaLzdt5j86OhTOkO9jXTsHHbN
2r2/EO/8e1e9eaDFxes1nZTWwyCdTLC2SMXJz5F628du8CCA4EjuyuahCx86/dhGN5J+zCa3hf54
1iosj22JXjHYdc5P3609N8tIXdyBjwLt4sEMsAFz2m/1s/G9cMdT8KR91T3bOLO6vOmwxcB2TGy4
JNXJ3HqfgNYpz1KMVrat/uJqMTW7f07viQGsB+sxmiAQANBxZMHBAY0kqTgKP97/OOpVEDJ/HPpj
sx+WqlOnuFyCQJGBXQq9dBLO1oP2PfphKY72LZVvGvUgSltd2LYc17fVUftJZ8mn/vrAu6dfCcSt
T6Ap8q+C5Kb3zUnZFM/ph/Kg/aruWXIiSgSfMC1DAEX4Hp4oHt/gciY81bf1IV/LJpah++s2BtIk
E9fyNuIcbL8J5GQDn4zB4iWY3KqzO8UB6ZjeC4VbVbtCw951z2czfjYxPQOyilUv1ddi+3Inz0ke
bSPEMFCyunyCvrYA4aLmewp+UKOu6as74S5uXUvdeb1NVSbpt4m15dCEbyl+QhD2pv6Qnfig7SEt
XDSHEuqA3V3zsQ9sc3KNf6h09XvR0zEwKCCRcJFFXT6hlRpVgSS7dKJYP9rwP4YP3P/a0yYKnfqx
+Wit3JMLaa3rAReHW5WkraDPKyurSCVs/WdWuIVoj5VbjfZ0B18oI6pbI7etDrtYCxmNFzOd14L3
cfreoDV03/40P0hP0dfuq/WcrMTPV2kc2+fNrOqL7y7Q7Pk9mv/saZA1HPOr/EML8PxxEEF5f6/+
eZH9+xMuQWD+1OhBrZG6jZMjDgeldfzxIQcKhnGXPeSfAiPFvi+xiafyZBsC8xWcwtyG3MDeh9bY
4yRiTfvCuxfRodSqZzW7U1luHZmX9uCV53y1Dn9Vgpp35tv5WRwvQYScsRJy1JaGqwTuSMdwn1du
j0/qyL0OCyiL1hbeHKdc7cU307S41DMMHtC/ZEyP7yDZSIcI1jarz8SYgrdRPgqGm50i3+bV0X0r
du9/pT+/Mrh8JHup+1715QS/z+h7pcCffolf/fHofbZwQPpW3EiqLTQPYboSW19n9PMc/3tAZbEG
Zb/LagtDnpNubWTTxY5Es7bp+IE+wqiVNqKqdtjsMvnGmD01RX0r5ytT/qdL5O0TLNvGlVUDD+CV
uw/YaJMWITdKnD7GH96f26vYew4fOFlmwjIVzaVIHuCGHpkLb27rkDNWNh2dsdx2qWcXAT26NTru
dZ1iMd7yveIW8+2Q8eJxk8xONJum2yWlO+rOJDrIYzepK5dPieHGJM8fuyd41PomjFe+8NprLzZR
D3TS6zsew5SOUDvwAkrro+R/DrFMMf/5KbN46cX2QW1oMnGIEM8CIrihUw5ujrdSZ4sabre2pW46
/SG9gz2KAKU/HMTPoAYV/05X6Ea4GObyyxe3Y+gKOTBxp5QoaVLGd4o1sa/XIuHFRl88qXp5pWmx
15kFxNVz0kI0dPziNlA2U7eLqBTeB/XBz28KfwcBqZ49cXdYu2HZJiPX+71U71VE2jwYnEaeukpB
MaG6683jVN7HFQUwdxQgeiaco7fB1CI6vmvFwMERbtKdQUgcvWwd4D2JsM+l3BFJVEvjnHY/3l/v
i2YqK31+Q0C/eCDPbRFrUXrQhCBq8ZUQz1328KWwgOVh2aofKsPVlM9KfLBI7afHhN64vhK1L4Ao
10Mv4wUztMRAZOhA3RjWLuqZBKfFhjtwaraCjFH52pBX2e7ibRcRQ5aF/d/fM0GJ6CA6Q3fsrK2o
/zACNtydYm2MeuW4fr00l4tIBnYPLw4JK3UZuQWCiFkJLNQzVbimPKjirhxtPDJbY4uilNXOSev4
jLZ1bLlyeIzirRHsEL8P+q2s2l3DrXlIkx2UWKpAEQRpwfGMjQzeDlzqqf9s3YnmwVO/C1/Gzz5r
ETloZhFzXvJjVba7U6VsVY9Wr2PdmaFNmbGWCFjnQBXL3cAEuwGmQn0xy13jH83KQUc7X/Mze0Wl
Xc8C2qP0ioDdLEmciRW1st8I4nnW325t8H/+bfdLd7Jpa3gPluqImcsqQGct+NYi3h+6bJ/qZTgO
DgUC84NwinM7MZmAOwI8NdiI5l6pty16Xp/9D/Fdyr60B1SLTDfpdsF409bbwbTBM/utEwwfLWHT
qr9a4ZiIDl7KPZoz2GqbtryjVDQxmS+BTjn+p5cdTHI0qsJr6I+rSI7FNzs1/e8ZWByyjYXedxux
3mv5qSlII3ahsNcPX8vUtKU1gxr5KkZZjLY4ZAPBHIVMZ74pshyq7waf2kw3fUn8CLjNLxwzsIWf
Cdqdst1kO5mg+UiOSV71vfoSIWnC4fUtXsGp/vGh5qPGQMsYWMliCmZybxhjYH2uFFepbQzPyUtW
TrT5TL5aaLM+NP88Ay0rLliwJFJaDdLZwFpatgXLJjVufiTffNmOPKfp3amy8wIZu73/8v7Y8vz8
7429uC+UQbECNWXssLbVZ+NF/GkW8xLUXrqXHofiCIKCbZCOf6baU0uO/+JRU9nHzLVviyu0mD9d
6nQE/89EzB/jTc7qW2Leh3CaznjBT6mTP6WaI9Yu+nhrrabrlGhebG+GWtwimTWNQlpN0rkes70Z
U8xjN7pw9k3pFoo89vaCshXEu3HNj2x15MUlEmMjLo54MpyrEocAuxxsqAnw8WsyFOBUhVtiTt/g
prF2lawts8VVksaRqowaA+tf2ufqM2tM/zrhjJDZwrPwM8COqnQTlPvXil1/vLHfzvUi/dQAZZlG
zFxrygmLbbVz/XIn3hNAKg/jV/VnO+wKhS89rSwn+c/raW6347w1g8Iu15OVGI3S9aJEPwQ0t6so
jjBuK28HA8Qdv4B5t9vgQ5V/yozJVqPvoX8eP07FsVI+l5Jkp9JjH9OBoRdLK9BT7FR2dHm0lbBy
FLmmw7J5fzOuPe7irAm8QuoaRj7jn4DrX8E9Ux886Zn2Y7vqw/6nwIIek8o9DxSCOuTl3DSJkPSF
WkjnrNmUumT3xeBIKr0CoAa3QSHYXrgtguNq6fOVS3F14rwZeLEaSiE3i1bLeUvC9sTmDqRtVMZu
Im8QbRZVKClu2rnTC42QWN42gqO3bhy7WU0l2BaVTSvB7NoEmRvEhxGhDJrhzU6Ntop+qxtPnXr2
Q5S7Dl1/1Nq7acBUfuXA/uO1+O83eG3svDmmzCyUhDotWVbIqVCZBtxuUw0do8/NANWbeCd2318Z
1yXJ+biC7gaNjz+A4Lv8Wok0qXnfEJEFxgHWGapOt7XUkn+gWZYc5NatUedod6XoVOoeRdPtQA4o
KY6ebiH+Jtmzlt4lyR1FN7kBTPoAktmUnU5wFdmuikPZ3xlkTUb+Uomfw/au7jZT8ilRD1V2kM19
grlGPN0WsL+LpNxkEfVymZqKdAo8SNHnlZe92geUxiFkggbC6VUBQHr5smOogcRFQ+ZsFXc5oZ2K
Hk7bUGY2d+lzZR2M5ikqHtiteDf56cGItlNCW/ZJq+1Ct73YyQrEfFzrZ2M5yi9pRGfBjWW3JVYj
CCN4uBeEDRTPICNvu2l2ReKU22TcDNW2Ng79J/kG03vKkcSYiYuYzvuv99rFvdgAi9dbXACChmRq
V/N66rCxWjJEp8Yv96vpCEcLO+2tXzoZrtnVE1Vk9CjiaeMbN6pGQWqrVltKagXvpjqm5koyEFYI
Sr/Q9qnkTcs0KQCDnQi/bmFXFDvePU2dYa9m50q01cTp631j2JbpiIGr3aPaKkWYXruV6Wq+k05b
Pf6Ka04j31Fir0O3lV06trDhWvRnSjscENe1my9DaRdfSF8reZsUuL54jmpuK+2lsFago9d1nHmu
dBXzbKgd2EUsjsRKCiWQNj6hkboZ5a0YxPbUPGZ+YTdAgtRdrjp1++iXx2mOvYej3vxc+VqstauP
9eYBFkEpFmp9o5fEf2a0N8uPRXOPNpAh3/Teyha/viUXr7qMxApNARNFsI12VkNqOY6fJB0H9kNZ
2G1+tLx9XN0YoZvnbp3v33/LBaWVzHYx+CLyElOlHLx5TeJpRjtaT1yLxTAcRWHXZ7d1d8CjUhs2
nncMqx0wZb/a6ZUDW3PgWlwrnV3n2YunWRwAUwXe14sC6ZxmN42xN+lOtBv1nP8At4ccUlFvV15/
/orvfeXFlgTRg1SWzOsDcMzGH2V3SIFm68qLmJ6y0S3rpzb9xKwTunhDfXh/9OvEB9SLPHNhkS4B
MXsF/KrlZMgmNT6nWtERfJsoDzYpgknW9Nkz8sSdkkkluWy/+KUV3MRz+lVrCLfXBtlQBnN1N1be
fV+lGTpf4y9TzkdbkoSfVaN/IeYbd0o6fkd+upt6444b68NUV9VKsHUVXfISCskidD5EJq+8ZV71
OJVQis9VNoMq9HJAOUpaFbW5CltIRrHUnB0jwN0CvL28GxoDi8/IN4Jzaeqfh3yG84cNAN+8ocWE
oukGqPKtxakGPI3OaUtTXenW3vX6WHp9CuCj8JLwxH1lN7+JAAaE1X3fG4OzPtDKjGvfNUs9crK2
1g8qWH4T2BTKrv2GDD3N94KAm5V8NkrpY9uH08rqnXfDm8ULKwqQNfybmfeCZ8sykiuHoWwCbP/O
A4O4ZZicg6E2bMxPf/UVRowrq3WxV+bhEIKhADd70wAWXQSOsZlpaJXmvHun3OpyKG0lpUEdopE/
ehA7oL+F+0ZWqk2RpV/LmExKEXPhphanTzl+aTi4GIKt6kW58ZP0Ow1Qv221fYl4GraBquKEHCyS
1seHQNfWlBaXfff54ecuhMnaIexFvP5y+WD9jDYByIcTsm2+PZWUDyspQzvNiw9ek9xpgiEdMn/A
N0RIsXuHNLGFvJjaUGDwVdPz5zGH9I2z0UEuMB5UzBtcJwQ3MgbkGdt202nK2veVrz/wK8wKejD9
XPySFhFzP3qtJxu+eB506R7fYLsv4a72ZljfTJH3AV1i4UlOJ5+u+2DsE1S9N1kti7vI7O+1qGhu
hoFiIfDS2zFMx0OrSDgWaXchuG57FMXg0eM9nbadiAJ0rbsPxLa/DwUEJ3N0Y52V9TNfJZfLFdUU
BYkc2GyzOM3irG2QT7RCTazPXWSVuyhg9n0BU7BwyIyNVoUAsaJPyI61W7kmNvJ8gDRGCs9dx22a
5mg7HAWhpxpFZzmDxnMfhZTg/EnH1Fhx8qopnxrZQKYH/X0kobEbzYXKc2XcVle2wrIXAlQasCjK
E+w/SD2gmS9Xk9gPFqzdwjpFRZXfCGH/USbUTHXjXmMhOVC0agcJrj0+dDT3Bq2/TwMALVCi42Mi
xRu0rbGJSyJEBNDgAu4UubLCdf864/+f3/KvmUj1n/kt2zAKYbJkTdiMhx//9fq3/zevxTD/YvtD
aJlxtr8ZLeAk/oKmOAsRoCeCeQdfM2O5zKQVSf5L1VE0IQ4Flzw7dl4QWghRuQRATM2ZGbLICwLL
e4SWqzCQMBeeBxfcDJuQIbVcrqnSTMJGY+U/j8h+Hi1qYraSKTnrJxqsQ1ZX2gNiBNNDrKej65G1
3Qus+0M8BIMzNML0PRmj9MObeXv8vTnfkl2u+rc8lIYurSSC+NRhoiz2LDdugFmlYDxjY6kcGjVv
7DqJ8ht1MlAEsszGFoQ8oz4tmxvUrnzwiIXsIOGYrpRjl1EGDzLzBZCZmVs/V/5F3iQrXma10rOX
Vckm8IPaRZe2XgmHr4C4YFZ4YUikfE8y0GVTdUx0wWvkznsWuNKQblFi10zFyZkCA6iT15i7QW9u
OB0mR66n/udQYFqM1Jdx0KM4AlRWJdtUKtvdkPqAobLJP5i95+2zzpJ3TR0mLpbBw42eCMM2LrB1
k8Sg/pg2BXpjVMssCG8V96Mir1nbXsWa85vN7BfuQY6vq/hJGxs57egjP+NCfFO0AsWA6j6XYKMi
PlYZ2V6CqKmPmlvkOBEHUCaxAFBb2uVDuQ98wnDR23JI2XJmHNM030aRsUdmDLNNElMBl06Z9EFY
6fZef/b5qWERm7NmEn+83BQyl4DSN435HKBUuxdMDE/Golzre/1xFHBAKDIZ6MMu5cTSwct1M8zM
51FrNeSBgSCPtTGshGtXAMtXQBThPrEy9X54Ypcv46N8HsiJHLxgQxU+tRLIjB2UK/CjsZ/UT1Wt
luJWMaPweayKlntB7qu7wESP19FjNSsRUpX7aeOh/gtLamqldJMjZvHP3AEgKnEA4dVJ7g1/00Cj
4/Ix49moHACD9xwVhYBXKbBuecT94P2j5U9bjXWIFggSdUQXr6H2m1C6LyrRRxnBe55FCPddHhY3
pSwWNNe0hjtcI1bBCRY1vaLeYThtYlFQymcLNvdnTQ5HVyAcdXrciLZjnv0Ig9ra92RTj1Gjx7Ye
dEjvtrpCx7AGtjd1uPIWurQd2zRD7hNmXTpOw1GO5Pyfli5e52+290JVDNT5cv6yNJRlMC/eswiB
/FiNvIlejd+4huKdqSPu3OZJt22h60OpiKu7zMhLO88T9SSgHHhscZZ18LoNVyZ8vj/ehF+oGLD7
IerT2SUMFpfNJm3wKadFSO76surfDKFEZIia243plTkGBDQaOdaquzqtW/f9T70IY3+PDGqb+iV1
PW2Z5jbK1OoIN/gvqZneZpKlnw0h+lllHpS2SF9TV5mvpOV7koaCFIB1zAW92GVaDz0BsH/wYiUx
lYrcALHaKz6SMmntFmVBJTQslZWLY1kZZnJJgBH9gPJKALG01PVzIg4rt8xnD9rqfRAWhpMpaubI
apZ/giOKi5OavSjtNO20ru9WTpZFZD1PMHxClao+MkKz3d7ljo2kKUacqOD88pFaVPTkS4D8IQb0
8VpL56oePQ8FXQtNUHS0Z23Qy6FKdPS0RAutZ6Gr8H0Oylrf+SgFfOvKNtiXSn9r9Kaxl/rym0mr
7QlniP1UDZpr+cavTkxLFxJc/qiE8pd28DBtLtXPBFfGdhJkLBrluAMUnAlYI8a/YtUK7xUV7pmU
xZoTIW7j5qFX3Wit8jKJo7gprKihXkYnQGoF4wYn43AzmlVxgwykt5EnfaMa7WOZWNUhTwUIJ3mY
fh1zzUISSGsOaLX626FG7sxCWYMuyKQANEeY8/31/4cViaQidUy0mWdBlUUpsTa0QemKwXiGv2ht
5Y5Kepp6MYXVdDpOOgDhLk3XWP9/WJFgw3BjEtE4ZnCC2rct1UjzxUIpdAsiRq7fDp2uuJKRCfuU
s/SQo3/t+BPw9xlNB9yxb1c2xB/2vMlRQwhFekR5YrELG00clSaJWSeBItptKjePndLtFXFO+Iy2
Pbw/xVeVQwYxMZnRtRkcxG0yn35vbpMqjCPdGgPrWQ+n7NFsxdZVQkV0Ue3IbYRA+m1sVL3Tm6Pi
xB0wUb3pxzUGxbJGNT+EooAgp+0I+31ZZBjSuu8FLReekzxVcRc38tu0kMpdXOHs4hlKdZSnRLmV
sQLYU2qwtm2QB3tkGIKVmtyfZh/Pl1n7EV1LFMEvZyOMO3XQ8sJ4Hmop2anEp7YV5fl9NGqnZhKl
zfuz/4cFDtobpVLCS5qty6oYvF0VJS7FfK5CwP8FzPhtZObiraCM+i6JRvm+t/Qf7495FbPxWir5
2KyIMysULxZYn/TVpEq9+VyLgb4Zw+xrNaBg+P4g10kZ8B/uEnDsfNNZcOByIhuDNB9v2PAlF6jQ
5lPZbZpYGQ99r+snz6jqPSKxw9FPSy61qkZ1UpKFYxFazX1awmnvKFisZELXOdl8jyIdCk+QjJV0
8fKZcBLIGjmviS/aDFVHaexuo66fXCn2kn2jjeIuUJRx44VlSFHQ7I91L/U7SoXjymf/05No+CXz
7S2CClLFyyfJcylJfRwHXgy8Wji3g2YPpb17IIH1vhia3G3Cwch2OWXFvRak8THrwCCXWdDs3v9O
17ENNWgiVwplPAvp+uWDRAO97sErwxdNiMrcHZtY+lBKPhDfOgmGHKHmNGtoZ/nBS2O2ubJW2ro+
bNEwAOBM1AfKmQTycnzklpGrtbruxYvLyckLGZPwHOySqdLhI0Tt973gdS+UaGl9xxMsSM8qQbBm
5kvkqcNtO3T1FyS4iodYlf1zO4o0x5ukOtYTFyKQ5vQRVdHazXS8x1rdM+wOP+F9iQqmE6eatIss
pAKyWLTwtKo6d5DiNVX+6yMFyAAnCgE7LTkqzpevKOVJMOaSmCIt6Q1uUSXyzoxk3c1Lq9vVgzys
zOn1/ia7JlpFBgPdOHVZ79eqZKoLQNovWtqFVP8mDE6FQF25pq5zMog+1BVmQ5A5vTQWm0kvkyyZ
LCV/GfXRtP1SO8qpBVEin4aNEo0KullDS+84Ex5Srfd3ZVj/6ENZ/B6hsX8wmzTZZvizPMua4q08
27x7LgNZ0nQIcRzipEBXoRaS60KTyln8Ioe+4mZ+jpZnlStPYgG77Z/uH7qtBMsEC4wG/e7y41ZK
WwxyLmcv05hlj32VF9/aMSqB4RX9LqixxZRQdtqGCCSsnbDXdybYdXJOMOyQq5BguBy6B/lQT3Kd
vIRoI5x9jQNCMaDeig2SnPbQ598i7Oocwsf8R+N5umuYAgIvNTid9+fgeoHPGdtsHcRZgvLIvCDf
RBBlrwWoEWnZC4LvsSN1XmrrUC2NzMLwRSzWUFnXBRkOQMz3CM9AGQL/W6TZmoycayan2UuoTMNL
o00RBEuxuWmUOrLxsemeSgmFMUxQxQ2iw1B3KNijiR0ejCGZ9qKHPICF4e4mC1LhiOQlgU3UK7aW
hP4dTTBcaHRd22mpObq4jYu2NbbDDbaC1VNRIqnx/uxdhwAc4swccn1zRXyZzft5InoQCYOXeuiT
D3VkwKxSfdPtysradXJduZMWmWsB1zxHl1uEyoGGbgbTyO9LdEyam2i3eUn0wl0ZP3qJZBxzr6MB
on0x9W+VmFWbVIjGm2hKu/soM9ZIq/+LtPNaclzLzvSrKOYeHfAmYjQXIECTjlkmmVV1g6hTBt57
PP18yHM0nQQZhEojqdXq6FZuYpu1117rN5dBCg4ZhUJ09t+KwIvNWzey2FtRmrxyPTaOins7RJqi
W5nby0DAKLTq2ZuAYy5kYsdUNCa9NOJXVaxBrCDfex9HhbGTVX1NlufqUCSuCBGDfKZjdn4IUJ81
hr5Nktckz1O7NrBQVSIFHyRoVLc3zJXUCtFApDc0xCVRGHkz9Hp33qwQQhxqnOlr7/vGVqI+sBXa
st4bvdLbZizou7ZuvwgGpK2xGZvnNh5obrd94FY6snxWZvXb2z/pcjVnbW+CAPAjcqslAznE5qtS
o5RfhAnXLqWOt5ksYe2xfnlS4K4bQJxQKp2V4RZTbEieNBZSn77C1wgfOqPT4aUN2bbOg3Rvqa3m
CANw+dufdhHcTPRNMOxD4QaCDIJsi3VlUyVTYI6vgqH8arUq2LbmpLpFNCluXLVr7ryXzzHGw4SG
xJmOK2T9xXNMFH2zEeN8em3TJHQH3epcyqrUwf0yu/MnHwOpCYBfoAztQ9bSwWx7NV15E14sJ4oy
RHNOpk7J4uI3yHNuanqq/NobMBAyowPElEVr3JCL1HOGJ83fibgeUpdLpxTqQWUmCkrx2smEZqGW
tAdxGHsn99TWFYy2dz2t9vZyOHz6kyUl06T1xNyi7DsXk7ExOl/SWEIdtTWt+sXX9AepjT7U/cxL
CaRTmKW/b4+1uKz+HgzJNQkNQxYVTMf5YKj7N6lU+O1LighRYhuNVgD1qOIdHAJj0+TWuEvMRgfC
TKCwKkk9+mmdubGBp2/eyB7mV1W2EyMPf7esGTdS0GFblzYVpC0omaqYSQ9kdx5Z75g5PKSinZmN
5q7Uam1T1vWa7vdCg4MPwuoCtWBuqxlfRrg7/6CQAyhM3tSeRrRz71LE6F2s2NVHLylT2yxD2cUr
DWEHtJPd3KduAgSmRpOGJomqJcYJJbHQxXulcDMTV0BT50aN0yw+iUaS7dqyr57Y2+ZdMmim29R9
/Ekgm3XNEu7npMLIjoxQuKer8XuIrGFXZp7yKuNLuKFaHv0wweYDwB/KnNKXEd+pqFHdmz5tcHzW
JRc3uQKgZ284ukSl8fZanx+bv2cGdMu8v+aUeEmCT5peGkvTaE99HQVupDeKjWPgat53ftPMw5Dy
sXN5XIu0di6Iml6QWo3qiaexM2W+H5trY8hUp+3y7ss0xp2dTqG2LStB23u48807I9wJA1Lf2Dwl
D3WKUVfV6gC6FWPNHexyDvAfoxnLvuAAU0U73x2mJ1Rjqvf8OCuDDSdh60ILzFq7As+j8t9zMMso
AuDhEqTzdD5MFgW1FLaaeDKR7HVGghkY+baCZaUmRzrYfKvkBaarKE2xYV7Kb6IMEXESRjh+eILa
EyKIG68wJeREtPiJxkPv3N4N5y/b+SdSS5vrDVjWU9heKnirQdiJoSlIpzjSNIdnGmjVsIeuIGkd
uJds2HulFuxawf9p1hyT26NfbhLqHOxElOloW1DdPp+gwssDIdd9+ZSYQ3TXGsBzQp+qZYoo2Mpi
XK7F3MSnbEdUFRFLXZQQvKaYqiLJlBMvi3SrtpLnkNRmG6WQ/ceUHH1lYmdUwbvc9W1meU+T0qGy
hpGuvhhQoQ88cO8rFO099euYqspBrJTiaM3oHI2SAnaQCPbQ6VcOgjCpG7lKve3UxvFzHFdrTtHX
Pp8CA/AaJCPwJV4E+ECMhZDJUU5hX4wOJXENeqiq2UrcqE7WGmvGO1dWlh1PQdygy8jTYT6B77I/
OcMUMi4N5USA9+7JEtlD+SA9qYaYrs30+RX990zPTTnxje5AMfp8LHxdzbRr2cNtnRvHiSqx0/XC
B73HnGpSewPcUyG+itjCbpUkkfalVckbnqwjVZvqswzW0In+UnZ1bnauoGG8BJ9+7UK6+hs5Y/hm
gQIBjXL+G/UkDYrJU6VT38nqR1XJhse+zhN3LFp/a9L93aZRbjh5N0XPt8/YPNP/fkP9MzvA+tDp
tzQ6O4uVEHg/odFsScQ6Wd72mGRuK3Oq/igZexuFaoZIVogGJ1WGeT+8W2/NAOY6hYJ6wvNUwoSQ
amodJKt0ictvYfvO8A06y7P92fkoxhBEVuAnaIrJXJNqnn2u1G6tKHxl62I2gCQuOa44F9nPB5GE
KpfMftRO+JnqB18U/L3a5tm9HiES98drg4YLsBtEralyK4u1GWOQQsrEUOjQe+AqaV5mStqu3PhX
9h4F3FkbVZJoXy7bFjzEAr2tBvUUkujsJt8wdmkeaR/6sY/vRyyxISDTu1YqS1w7mm9xZbH7dB0R
ed5ELMnFKzDKccPoIAKcpHawIGl4wui5Udr435OEXW8HXCqwt6Qiug/DLnqpGsH8SBmrRFo+NH+Q
F5ePRaJbrxKCCNlm6iTvu5DVwgdf0YpjUyTYhghYeDeqSJc9Ko3Q22RJNP0FGy+CeqaJ8feJnFNy
dTCS5kaOdaoE9G+LB2uS/a1SdhGXQC/FhR0VZvUdRWLqkUKomfdZZ2ouYlbQVU2Nxyl2gEXgNBPu
I7ZVNdoPL/SMv6yyqxS7xu04sn2tGZWHIAjljZJR13QSrS1yVzJqvbyvEurpm9CsxO+q0hk/BbUp
NHeYhn4fIp7fbGIpLxPHD+L606g24SdFbQuVrl7uPXtK/Rjk2AJtGmXMxEPVqMaPWYQWzkhR9y4J
Yx/uosmnfhxJdVwgTpBH9/hy9paNyToSLXomNQ9x6cGnKKmcV5tBzIyvY8+2tNtKNrcB9CfgQKNC
ruwlXT25dTIgUVfmSvJUkontiqonhSlrdcKfwNCq1yY2qUiV9MSDbV/2XKfa4GXfpxS8UEOvzD9k
vcz8ecqo/OyGhsoXaR3Bt870p5J+XgjPpM2qTZv26LHkVhTNOOEcYoo2BWK4l8XW+9Qx/ZCS4qw7
+Z2g/7bwit+HSpQf53cKfHNu9EPnZ9VPxZvh/Upa5DHKBZ0s2rXutS9yEg2Zw+OkeSnKqY93jdS0
X8zB1PaRPGgS6ouV8TMOkulBGWpEcYvCaMjN8qiL7KnJYtL2cAwQNiyTEkaYViabQkXjSu2mggY1
qmrPVdrsjHFQ5f0Y1ZBp1NZTUoDP1filQyHe2IipL90lvpIPyNdoQNvlyB86O5G98qvMfuSxLDWI
TaeSVm4MocL4MAUb8xuvJqprEuqRjS2Kk/JqItmK3Ms0WbDFQvWh8UUxdroxMmJH1QfzKDeFtxEl
I/gipZgJ2oPZ6Vv0/qN2Qy275sU2Tfnv25HsvOrxFv+56QEH0EoT5y7CedAUpk7oqGkCrONueRkw
i85sqxwEzx7Y/LCLPN9tMxzXbw/79jBdxBd67xT2aZeB010+zxOjLobA07wTck/aYxl65auVCXD3
Oq36XVaaBy6kxfyIrp5T9G3pdInq7f1UVj+YWpihIYMCwFjy9uNImndxroQrN+NyZmgsEsWxAgKV
yu27fGtg7yUrWBw2p1jrwqfYrxPX7CJjo041FK941jus5LXq87VB8WGSqCFQVaTWd74caLgDy2rT
jmwX89IIl6pN7suTKwbuaG2NLvt5ex2W6eX8kdQIaVjOi6AtwUddgUPIIJTdyZvKXWXysh8ixAza
XKr2gINWLrQ3p533q85w88NtbkxSBKXMeP55pZrpo9Jp3amfun6r6lPjJOBbj0EedvuIm2FTQ052
FSuskK2JvH3AGw+dNEXeREVUOg197I0RJJbLD4f3SN9xI4CJd4Mwqh8tzxgdDI3GldvwyqKAYJiz
l7cO2xLDoCZ1bQVa2J9iedRR8lHNZymQJQ57Ju3lsvXcoFfW0H5XVgaXZgVyARe/BTT6fKoov/RJ
U2b9ySqrcj+agrDvwPzZ4FB7J2q61P7jnTCjCjFqmvEwhrjInro4aWolqIeT7+sfw0jGTi/2tU1c
WHe+Ov6pYzkbAXk3kyrU/Iq/8BZO0XHvKVMNp7oSoA7jEYhER7X2wrgyh7PxlEiBjAmkEX4+h1jt
Cn08lMMJS6R+02ljetf0+keug+aeJ/ra4b06nMFaodMpAXRb7G7SNRGPQXk4TVGVIn+EAJQGLPqA
6c1PCk/5ymmad8DiMFEkA1xDlkb1b4lnzIeu7zG0Hk9oLwVbQMv5Njd86eWP9wW3A2YhTKQ0d9PP
5xD9D9PLUm08iY32XUvaZ0vufvnj8MsYusy9PdaCxgX/ZJYj0xXCES1mPCkWrxE/MI2hAEBySo2x
deQ4Sm3ISZPbRbW6G40i2PdkXLZgduGh60JkRDNlcIwg8zd1EiqbQtQCJyNHuP27li8LCm7QY3ig
Uqxnry4NxKwwESoEWNuT4HfdtjAjxUGGxtyLOVf+7aEuyg/zWCiOzNhB9H5A15/PNw06LQw9sz21
pOA24G3hcxl40UNf6IWr1Dm4BWUAE2qhfCJa0ng3qHWx83AIPjRk4rv/yc8hLlCypylEQ/T85yRo
Iou5GnTUA4TyMMlcvaA1Zt6MOtjjRO2p7nIFMD7YPdkbEMRtp9Jppazeh23Wr+Cn5Ms9z+xo2Oaw
4+fkYTE7RZenOP8JlIdBXN+LWFk52kAqa4FJcHQZUVI1SCloj4lpF2nYPQ2hZ+1KE00Nb+wh48Mn
NaYm3Vm0czemEMvHGiM6Vys04amts+RuSmQo+jDWNkABBxSwYTg3Sd6voIXmH3p+eJU5sFNSmL8H
+sT5vLZW2uHK7XcnOZmgdeWW8hSrPLGCoBFtM7C8TUIf4V6N1NPtFV0ohc9nTAHyy9zBtgOV84a8
ePfiFzul4obOuxOhA0lwYZw+A1MlPR4MlH7ggDl1Bbm918pxV2O/sMNk+msYefKHdiqK11yLDFcg
JdyovhgisqQJthVLmlv1NL5NRRBgJ2CjJWhq7bRVoG71ssNDUUeaebKC/MVMWhMpD0Wm/RRWthRU
7b1UKKT/RjC5BYZbm6Yak2dBlutdifPFSl53uYVU0Fky3X0aYQom1uczHwcNANo+HE+aOSJUoOQ9
D89QW1nfy5Axu+lQIJ2pC+RYi1HGKhd7DJ6nE+7n7UaoOgPjNSs7lE2/Zhx65YPg4QOPoJ83p/CL
Ww4aKi/mRhRPLchOxIs7tBPMdI0Of+2DkE+UZ/g24VmbL79328anRctLPJZOoF/Qw4EMZU+F9Wym
Uuve3qGX1yiIafC4uJyRh5Cbno8UK0ZF/6Ok+t5JezGWyo0upR+KUbtDj2NN4v/yHNLolkCHgcmk
wHcR2qnsSpVXK6dYjw1b8Edxg5VQ9ShK1Pe8JhL3Yy7mr4k4rdVYrnwm2DxQ1WAlabMvJ3QSqpY3
fKCcrN43Pte++l0KRPGnEFoo8hpGvxLJr6wfSQnQY1quFO7NRXJSq5nZFLgAnsRUlByMDYxdaKIc
Lgt6+3J7AdkRLNF5dMPBljSI4hGCITTVz5dQ0ge/GiPPOGGodl+XRWa6YdX4D01OsQqGiGp8HqKm
jjdqLJifJDUQAVLpTWlupl7P7izZA2WejyShbaOS9PIG0hTqAybKa9aQZ3j9hWL0lXKt/1IZUDb2
tSpVkqOovF83kVWgVtymaGXhVdYhTZENiOX5YY5keqhnfeSqAmkFlyhkfNusWvXO6GPjI1hI7i65
sOyaTuOpaUIwi3iXUu0lVQWkLuyL2sg/Gh7+wNAVAg3yStl9LPoEkQ+/Z+JtmbpU7ehTIH/Rc0kZ
QAWN0pdALT/22hBXtiY3WGV2qZB8jdQ4ancm5IPG9rlKE0QsR1D1Rchv84daOMzscgS98WF2cP7h
OdyKzQctApxPzWXs5L3KFfa5JVH/SU9aeO6HdEIxyyi8l3GMLYv3u9hBBQe9dYe9NelUEHRIcwL4
NxDXrUDpV8D9rU1ATUviykka1S5zCznqIdRaSikxJddNrPcDDt0ihTkNx8O5huPH920yC7zHefxV
akfhL6IDBTiIYQXxNNH3UjwR9+VC7/FnzONgsC05Sr+BFqIWM9c9tU0+TsLXDDzo56pUUTDT9VDO
7ISbE3xQNdUvlG97sPAAqT6J4uDfY9ia7KrRbz7Vojl9kwyhr3Z1kEkFk6RWFN3UftJ3JrjPCLXN
sRlcve4C9SWbcA0+epbfeQgrhcER1EX4Z0ye+WZl11sAKyywT/QLFrmSRO25gFMznbIQb2NDL/bY
WJnbJlCE7cg5s2lcoSAjRitH+/IC0KjezxBbeE0iL/nz01aGWp4MgWCdUB6o9qOIUXalrLIlLuPV
zIKl8Dp3RMG5Lc50oU6e0OWNcCI9a+4QJKh3cp8LyN7MPgqaupYJXwYsxiP/hfg5P+CWjiZ97gUG
/pzCqTABMXs5WjddrTzV0A63a/HqIlwxFO0uKFDWfBXMn/7ubpM86KIDfuansDaC+8CSJleioumI
RkNrp1QEx8cp82MEsfnYqE322y9m43GtV5xIL4Q1oto59HLeR/PPwcUF8Bz91WXnh05fS5ogC6dq
0kenCcrwua688Q6CgGGXilduOfqBPam+dleh27Ax2d04j4ZrNYFrGwsUKLcwr0z6NoskRsoEfEJl
33/tBSF2WnWiUIn0wUrl4cpCcwfz6AEKBC1iSQyjSl2FvdHoJzkIYPwoSeDWoyzv9AL1rtsrfeWD
0DfAGhFRlJlAvUiVPE0fhdxrrVOUtOpB9rPYKfB0W/mgBcrqbQH1uYyig5+juzlT2t/vJ5TdY7OL
4fioMpZ9YosuxJCm9ZYQPLqyReNCzwLZnfxesut80tCJGIWV9uGCBPD2I8DSaPSpyHbpiy2iUVRW
caz4VfDqBR3A/trIvAdeOWgwpKGa+4AX5mtSxoKHrkhbvExQa5HaMwTzRbYE+CK3p34OQucpwcx6
gYMCbx9jyGXajVqH6HtBDs3RQNlnA+PKL7fyVGiza4oX4syQtI14V5e+5f/x0DTpuMtNSom8fJZk
eV/GRjUjbp7w0GxxsSqiDbh1a1PH6de4Vn4NuSq4t792roqcfy36A3irQzwEvQy1+HwHREIr6tPM
Vy+HUfmVAAyeaQ51eQrURADB4CGvQgsB38GNroVyjN8wULGVWsLlbofQDJIRHCxwRgAb5z9Cz1sr
DAF5nSIR1Wu1iWoMwqAi3P7UK0Wb82EWFaJJB3gS4WR/Kq2CTpVuFLZB6Lg3Sll6NoQ0OcaDWb2k
CahYGcEZhxeLYSdxGDwVlQ4VsB3L41hG5soTbIFknU8AkZSrkaazzH21XIS29qSpDUXENGU93/If
Sx5VlHLA4gXFQ6JPlhvDT3LCMK02md8mFHSn4ZsglwPs5ChyJL/3Vx6f1yaLsvcc58B8olO02BhV
aXmT3w0z30XpdzH8FNeb81wBlQgczDpaLhkmgo3Z/wJPbB0Ltdcd8kRi/oAWj2rWid1YZv/HgZH3
21sXiDvXInidb5Xc82WdDhNtoE7pbcqlqVPAy1s5FW/1/cWx4OU4Jys8DACZLC6UIIXvOIQFpAIh
jT4L5ST8lkO5GN2wlBIRxDw6UQGtZMdvlSlDazdrd4oYYeFUBDhC27JaW88W7d4PAmgRw6mLEOOU
aBDR5vIGY6XadO3nIj3AxEB2oVqtLeK4FOCSnMVm9KqMsfk0TbTnhDH2n4juaCtMAGQUQ6g/4ssa
3mkjCUMwdukd1ssxjlFqvc1LsdiJOqxmDft51DJDvAQHgAorB/3arqLmjA4I3TRUGpfK2KNBqSuQ
B/NUjCgTC0mKNVQil+jH18Jf/uB1P4OhUr/mftKg3N2Qu2s17gSUpapZPQP6rpZTx6FetAZcv8wa
CbgAqWhbUe4yLhhYU9QKKkIpUC9jvCPT6StAGtRbVQEjpdwKVvbxBSAWvAxO89pbtRZF0GUyEQpK
GVjt5J0K0UwPsYxUcaHW/QZmhe6WLTrGUY4VQxWM0672tXTXJp5/BDvQw2PWzZ1iILA6SKh0iR20
wToLgruUisTHskVpNiGLeelKs0GxthdBRYj8Zd+MXMto8YH00+R0O7hehnDaZYoJwgvoOx3aRWwt
uiAXEVWJX2MAFPveCMw7Kc+/3x5k3sbnp3IGe5FvGiDRgZcutrmqetIg9GL8Ggz4/wV+qjnUPlun
ksxxLdW+vBgBANEaYSsQCADingcaOQqzUfC9+LWQAt0uW1F2hCirHqo0b1yR87EXyKse8gIHdkEZ
xDvDGzrKii0+k4Qw159S/Qj3UnLNVK8dw498t1YsJIRpkX3yxWmVWX9lB1PzB6KGAxtKAkupE8q3
iV9kU/RK6qgDevbC5EuKxJtsW33XxzPkpDyCryhetZbr2BatODl0VT0AklHHFrqPWmyLIQ8eem/0
Pmu94eEqpEXpR2LJQBVUm+JTF3jWhz4t4kdhIBbZ00jhws3kIvgI00KE0B+XSFbJreI9RJZXptii
NSjh+HUdfqfGmQYAMEO2SUPhXWKOdcdKw2Fj8CfuzDhLG57cXfqpUs0SfzuEa6uN3gzYBli1DJGK
AywJoB665phJSftVLH38p8IEua6VWHVtOknDuAMAjs7J+PkGqBHiSrgao1ctkwKMdNPKKahM/dXH
eeAydrRy51wbD3Q8QlFUX2Zo+fl4wizUJqlCBBVI1x2lRKvVRC9po6qV5crjMKw8xq8k/7Q15yYg
NAsi0BLBng+CMRVS1KDnUcsUb0bTeg1aY/zc9V1QugZN/0do/jCB0yQRgP2IIYo+XZZ4a8qACxHR
OQGyKHAjdUJrny6DtTjY/EWEtUuhe6W4Uh0yVVQ/52ZvbYu+uNOhE92Rg2jP8AdEOzf9H2UAfhtH
jWIrtlV1mCTNd8WRo2YNUk/enNc7SqPYHvbTN14+ax5BF2EIkCNXBIgE3meStvQRMQGXD0nUoIyQ
kkHi+5XHk92n/2TFf6S+dix+ZZ+a6tev5vF78b/n/9cfOTbfIcI2/+f8XyIV9s9fdr4338/+hfsm
ZPah/VWNH3/VVLv+S2Vs/k/+d//Nf+TQPo/Fr//8Xz9ySBbzX6MUmb1XSpuZ+zd01X79/FV9b379
/I9PDf9U/0f++z8ewx9Vnv3i9C//zt+Ka5Ku/IuSIHQL0r0ZTs9q/CO7phj/4s4B9T4rJmA4QpL2
j+yaJP5rfs/SP6Jkzf8xNy/rvJ0V2ST+HZ0LCn4m5V4ijv4nomuLxyIHhxyU7QgCBxowf/f80M4Y
sdQqsvgRWYqNZDauHwt2J1IbTGXbtz6/m63nv2+692pqi0v279FQPJoF5Yj04hxC3pV/pnCUhDHq
4sdc6PZVq0B7WSnpXIxAc4a0BBYtRExewYsgNHRlCVwuVR8VT5Q3QdpjpBIma940F7PGnUoTY0Yr
E++QfTj/jtQ0hE4zk+ax0BL8TVtNdcsqbXd9WwRuOVGYNUtJXUuS55z9XfZAzYk6CgNSFJz7mUvI
UhNmYZHDd3qsyYEeJC/7XRhj4sSo7qBW3o+kETijQ+KNnHHiEJLKoy+fdfqqKdT8fRe/BFqIQt2M
Npi1mGW8xHuBvm712GShuc0njFs9pZK+CLHh772+8V0rkdWtGiqeA4HQsHNqIm7d1Vi9ip10GIY4
dsdEie8Nbabyh+QbuNYVaIJ0X/JMxQ857yH7l625k1JQYXaoq929TgPpo4cLUkDzOW+w3BqkDwm3
9MomWobzv2eaTG3m1XIwlli9qRUs8Ply/WjmjaN4yKaQB1Og9Bt/GyFbhfnwUO+AzfUu7GKQi91c
8wZW5UgIc7mGPH4Gcp9/odg+PnvoZzio5dIdQAX2kPSmvnITLm5efi7vEd6UbPtZe2SpkppmI/IO
xPxHpCr0XW9gVjRwYVGb7i10RWkg3j7Gl+PBuONRSWjiAqbter79pzI10klQwkch+lZi5CE1IX0N
hy73ykDLdyFfdj7S4qD14mgMg85I6h0gaNENNvoGA/it5ZKq2liLRXZ1lzvF5ueffyHtO9pqs5yG
ucydClHQ/WHSwsew2RpT8BBmdHHM8X5U1/BZb72K87OEjgu9u1nAmJi1LAjITRBX8SiHj81W34Uf
o8/WMXvQ79jz0pfoIbXFXfYwHOWdsS22UB1/WY/Wh6fiKT/IR/xp1Haj/e472zuGzu0pWLwf3qb+
/e9anPEYCGFYwlh4VPr7EcXWItNdoWowMJ22UWjYAVhx/J1uD3oRvtEBgHaGwjWxBfXuRdlYnYRS
9tpweASQ91uNx50GAWplU13s3rcxeF8AV+PcKHOYfXcJSW1diJmSDI+I29sSFloazuud+jzEv25/
zLIwTKFz/pp/j8Ql/n6kKApAVFeMpNiTg2X2PnJ+aJtqUx/Xcv2LxWIk0k94hNzm8NYXxS4fhnyi
e4wU0R1SvB6sORTT8Xs3vYY4WiSz246xUvW7uATexoS5NJc9gZMtUgc1mRSvg5DxaCUUkAAUQ9Ry
jeDRtD7VCTZ/5UpUXhtvmTwIjWJ1EuOh+I1jbf7YTdnWl37rjXfw8cuQ45UBr21G5PNUHhekXPzT
+fKJcmcMpZ4Pj1IfDIee1d4YiTmtbMeLpbNoxLIVZygjZRRrEUz9JG+TXqvLJ6MraRrDJsAVzSLa
wYZHIBwJnTw4oI6z8jq8mM23Ycn+3uDB4pIPP0H0U4eoLJ8EK/wgCvG28cLNZNRuKeffEA60fdxy
b5+HK18Krhd9rLlhA+RucRxKQ5AQ4uJLS8gm1IYONOe2tYbynVhtPDn90GrZXW0dbo96cdx544Km
gdwF0o8K4+IKScPKaoD0jU+h6jnQuF2v2hnYhERF9uP2SEuoPedvZvCgoCBx0fLfi6U086RSA2VS
HtVH4aje9U/xHXUM+bOXAb7aSDuo0q5q2C2mdtrKcs5/+v0t8vfQ86CSasGpnOf+XVAbcmWUrVpT
cP3RNzq5oEYRd+RpV6cqyAPxfzLcXKdBF5l+zzIVtbo+VAZfUB59U9xE/TMCQ7ukH+/pLsVyyUvp
/72x/huvhrdvezfYYgX1EIG9sHgb7N4Uvknexz/9+zNbbv4vDjl4ncWyyUbRKKGIcm/Ze63b5pOO
oiIs49ujzOHwfIXod5O08w/ErS+YeTNqJpTT3H/K0IvaZmX9LU/iZB+NobK9PdIybsGjYBSScB6Q
xBVjcYnm9PrTKZjCJ9hE4WMAHsnpAmWtXLc8V0R9kMMKOiHyzKF4S93e7ThfGmdE4pgdA0FB4y4w
lc9TV0h/hQHW9aWYfLv9Uct4xXA8deFnkt7CZF1mZGrVRcGEjOWREjc4leDYp4pNzcQZa/lTX0h4
Z60c5ysfyFP1bbkoaJGhnR+pogymMiq7+qgoCaaEUn/Q/EnE99S4LztjZQ9e7A4+jzyTfq2CyhPV
s/PB6jzHesGr6mNDOFaVfrQjFZVpS7u/PY0Xe4PLBrCWBuyP/+HqPh/HiwsgmEpdH9skvw/b+1S0
dv9/IyxOE8pzUYyhTn0sDUBm4tHM4pXgc2WuZjYD21imeMVsnX9DkXeG3PlNfTRI3gTxTq4PQrgm
gLDsaXLjM1P/HmUpz5BK9eRZMaOoL8XREO3pNc43Qm1bH0Kkz+zkFz5I+Voj+SKMLwZd5KboWo05
9fn6CF4Xfp0guR69LrBsa/fFlePE2UVKCYQp/2t5K9aWUNbmvN9yfGr1IX9WPaHHvS2weySjhEYq
7b77eXtnLO//eUZpdFmEa7IO+a239i5iBL6UICs0VUdz3MhYijwp0b5GW8PHi3BTr7pNXhsOEATy
GuBPgGcs0g198gDmaVrFAmr74tmfbGur3E/38aO/m3bxQbmz7qZvws8eAPuv/PX2t147Z+8HXwQP
tUohV3QMLkLmVPJntFed2yNcW0EQcEAtZhli66IG5eV916WMwH3iBBpSMyiuKr4WEjmmJ2/MvuVZ
uBKErxwKbQ5REAIQj6EEttifFPVMuVOE/jhIkpNM3TOwKuz4akfCjqyTe8qH6raKvw1i7Oq5Zfe9
BnPkcPvLL8+/Rq2dygyqRqhILQlbMES6ESP26ShJ2cbA4KQZDpq1slmvfSo3DuRAYGHoWl5kq5U5
hEz9eJRkG7NGS9qoii3/ML8MT71d/tWdqpdsrY9weeXwZe/GXOyaWoqRwel9vgyeTYXiQQpBNus4
/muYpXnzn2Ujs04w2CDubV5wQBHOY2g5hVQ1C2k6pgQanLdKOzUd+afxrcNWK3XqB+VlWhM8uzwT
52PO6/ru/HtInPixOE64eICLHl6LZk3y+e2de+uzFtebItGdT4CeHJVtvVHuy8fBFigV8V68Fw6C
Ex4GO9yNvR3mdniodunvYGd9NrOVo7n2oYsrsK4Ln0fCMB2tILyThz0A1ZWn6VuCffGhc4lkhpzB
e1gcxEk24hYm9nQc70SY37v8FPzsqkOQA7K2+13yyfz0JLnCB/GH19rCB+FD9FSd4s+lY7n4RN63
K2nFRamDhhIFFVwTkHQEALTsI0weslellorH+ETVQUI0xp0leT4pgm18XXvSXT2b70dbLHNcoKaN
TAqj/e5+aspBK3dWDcDPVn3uMBuAxbjPw6238hBZaKUCMVx85WJhlcBUW6Vn3PR3+FHbBlvViQ/6
s3EffAofgvuptMXXYeWoXsb5eWYtWBqkvjDHF9kO+PFg9AXGFH+rxkPc7dNDonzislZWBroots5f
Bxoc1Ca7amZpnJ/PttRybi19PA5fmm343fg8/bDu84+xb4f34stYOZAYkD7Twb1/WVNLv3ZkZpoW
bRvKIGi9no+tCZ5lhaM3HidZtwdhI09rWeNFUf/vz/v3EIvFM9SkMACljUfxTnNQCN6Ov4uH7EHe
1XfZITqou3hfqq7ylEWHEN/JlaR17QMXCf7YB6mcVsEEHj4R7GIQtmWbrEnxXR0Eudw5baXqsbRB
MBN0STNcCY6CynHAwrkuV/Kaa3fvLC/9XyMsPkNIkWooEuJOXZ2mML5PRmNfpuL+9g1/5R6kUoTa
DtkNVcalwHcYtiiSzGG8tZ6scdv2r1XmQj24Pcq84IsYOkOUuQZ5DoFIX+z3ySyjPBq96cn31afR
37bRC8LcH8bpwRJU9/ZYl8nonC2BzaJfCHth+e4yp2iUIivTnuTIQlo3eMHRSgzvLc+jSYnndZM5
U7dWcrgSJ0EAgU6YJZQV2lmL1SrHuKmism0RJ5H2xTQdRnwmPFP43QqH0WjctNHdJMu2XfVXJ5sO
KjW8dNbkPi8XkzYa4FycH8CbXtAg9UABRhiLwxNk2/FeHo0ttf9yE5b159oU1toWc2f8fFVnCwIa
KbMRwdwSW9yMBeIwQj/I/tHjKWoPjermqKw0SXYwE28XUK8avQgZueBg+h+7qsVCYw0GfXFI6OiA
vATQOCuhX6jaeV1ES9RXraew/L/UfdlynMyW9av8L8AJIBlvgRokWVUlWbJl3xAegSQZkgQS8ul7
oe/0sSpLXYS7r/4Lh+1wWJuc97D2WgHOoNOicuLybOuUWbFSFH7XFDAwwfI4IRzWVpjUfJIFnPVD
6ip3wxgIME2RQtq+EeXfbmFE2q9tnD4K64vEy/kVzabeLIbMnI9SQYwclaAp/1VMz2A1/mBWI8Qk
j3m/UmK4ODWLySXOXxA+qJBpV7bDid0BTDAfBQefjlvvp9BKCoeckEGJZ7u/mYXaKbkm17NM2tnF
sGT9l27FJbOFdnwtcoQQk8+mUHbH0eZ2PBvjeBeyVG2mPLcjSs0DyDGsm9Gbm+31W+KdzQvLSDug
iWARn9IBEqh4AeTIuIDlctcU/t6FNplhISzP3Pw7CjubjJrbMUuw8XZjGliRByDz9Y94Z/SYUzwf
IfYNqBz0dRbdNOc+746lMkzQ71ROuWEibAHWDMVPKFxCirJvrdNodWtZCU2kFHsYAkIAFwKdBDDK
EmWe7zF3zM2hZEN37FyjyKPQM9iu8cvw6PpNfW8BGXrnh7mCWtNcxS2gvpHsFboRQ6vboPkROoB0
/mwWkMlRHXROIDngQHPSU9uioVms0IJ3U3beFPltxXfXp+3i7V0+fbniQGduL2nx808HP4TKO5Z2
x0KGwwZoqiKZDC9cORE66O11hpC4Q9iLIgOsaDPk8FZNdYgMEaUh3KTeajeeO7yUJbXuxgDa745S
D1nNulhSEmxo0PG/rNEuawRKYYBkgWfCb5qrpooazKWpKY7e2A43qmP1dpIBW5nOy6OPhOhyCNA8
viQq9XGGgC0EIPU6CuE5G/QgVt9kWoexN8/yY8nKAew0Q7EPRiYPDXfY4/XVfO8Q4ByCpQXXzlIU
OF/NzpG8H4B7PUrqODuv5mhAa0aya1GMs1pJt94IlKjhGHN83fDyg7W7B9f50kcC01htbRsFRgq2
plJ6h7JHBWcICd/ZQg5xin0fG9Qk+64Mf/ylTXRHgNsEyFM8mB7O3/lgK1S1rNzPCE7dd8O4L2Qa
o/0xsdgnma3xcF88WJotbXyTrCtjaFP7GELutgycu1CJu8ZfK/JfTOOrmaXSCCIk8JRrm7RRWWAN
kBI5Om7k/cqQbZwj6374fH3i3h/MHyvaLgGpd9+bFF7TyKd90/hxMd7mmVoJri/2IsYS4kYEPgTE
KEihni8PYqMyNRUINGS39dR+JrdTh5O/sZpTvyY6cuGsIWkJBDxCTrT0OHj9zm0Z/cxM5k8Y0Qta
G1y2AU0Rubk+axdHe7EBWnIUZKEhDFjkuQ0LjHuix8Qdcyeco1SUzyXEsQNgSpQj4tRqQEo32zd1
lyXXDV8+r+eWdXgJkkODpUJuIj5Cp8vQFHv4STGUY7uqeGxMH5wOIrE9Y9MDdzuYCTpNVgQblvk7
O97LFwAADWTNQseqezR43YMym1rrGPps6xvZJg8/z2iTH6qHPiMrL/ml/79YW27phf4EbbfaanZw
TiEgw60jm6xE+t6upWwjcjuRPf3kTC8ps1/y5qOL1m9plJEaQKHUsBWn5r0tBQcOlBkoO1mvAsJv
0351ZTUlBYvXEVrQiRBfSVVEvvhpijV6jvf2FXAa8KBwYaEdU3PbVBkGtOs660g+UshLdl95cdf8
ZOkjd46A+FzfS++NCnBZC/EMXuEFhXuWzCxMaxZlaZEjODAffWXegZ7xvu+ql670V87LO7cMKNz+
mNJWcaLFVISTTVCrsR9BD7Id+gnC5mtE1+9tzSVoAVAZngzm8HxEvAI7A4QUcTODLiFGH/ZLOoKY
oHeGT6SUew5duZU5vEzJIDaFl2di+pamcD0+hebvAKIT3h9NMI++sNnqo7GDJCCx8znOqqq7wXX4
i5mlv/FLp9nIGjLz+fgBJEJNlJp4qtKiSlRT8PsZPAP3bSl+gEK02BWuGD9fX/DL5B/o0wDuMHHd
v4IStRUHUahtpT3r8UpCbd0J6i887NtN00NxMutwJTtwRe9GtPRGudmbG+a342bmagAfDXg0BlDX
RdUAUq2Ghfb2+sddrt3C9IdnAkRU8Br0dusOz4NsKwZvaQzQbNHTDxSEQMnoTmpDPAMSp7TdXDf5
CoI9v8qQsFu0DdEFB1i73kUQ5jZk4RbgK7pt/K9ZMOQ/Zdmzj7MEF3qETLz8OlUkbGKlqupLMxTE
i3pqlEgLo37zceJBcQgMpxZR46KwH80g33ouGTW+tty0KoQ9PrDBxhwWX0lhqTaS2CRhlKW2/UDz
3gQ0MrfVraS9++C0tiHiDiLCAcgvWE7B2FWmTwFYT/CDJ1uBd9VzxaE2WqQzLasovyB7PtOoDAz/
q0Nt+VBacwkCqnaQ32fhobI7VlATN5HWBnCXeeMngEeq71IO3RjVvMqOk0Q5Y+VE6LcKSrIAVOAB
XkS40TOgeUdmmwkgRzx+xNWdZNNmtsHWlPcx5Ouur55+p+iGtMMuDVMKwmFoCExQrAFNy45hOq0M
Z/nct1tEt6IdmRp5nmasYcU1gaEFe0UjmpU3XZ8xJAiQu8Mbh35EkIjqqULQslh9bdHxyCp6yHLQ
3BYhBfkwZE6qEtm169OmDwilViAdccqgPQCaNp1vgNaAsLVsHI9FjszObLYiFgEw/9etXDxkSK8i
wYL4Cl2CoGfRpm30vGm0jAIgjXzcdELm0dj7jz2XoB0k0TwqlCODOgZJ1F/uCsRZMAySe7CxLg2u
WiAQSG/qG14huHS8qOnqyOdFNAYrw9P33qsVgAGQ3sB04vk8f2gQzwHERmokOYwxsYdjYBVRAwTP
9Um8XCqM5Y0VbYfTIkXvndcgTKUMVHph+hm1hzXBJL0fGOVhWFlCRFhCCKXnkAdXSTMPKOLEPk0Y
9Y+8UVHf/0IdNy5VC/UQZ9+GEneXyvFizREh04R/kfvWWDsKl9sGvg+qxyi/4btQLjqf17liEBBw
0vw0GSyuQw9cvW2iSkCk7D5OXWfL+wf0IK4ciYunBw0wkMgFCTY6AsDYaJ9bdSDaMaN0VJwgOu6G
22K6dcGp5NxUn/92PfG0IfWwoMKXBK+2nk7VCcuujeLErN7YmspDady111J/F/kVRFgIfxZ9KuRw
F4Dj+XAyj/kFQ0PhEb2uU+SUtgWUj5y349JwKsESjHfLQXpHfBMzIpaiadeAdfrGxRe8Fj7g8ZnI
gOm6rrUsOGRNrf44AnoN5qZKgmG7alacyjUr2h0DhT/gmxuzP04hurIrAPzRabFWc3vPiOssdJ6g
QoRDru2NSaLxckIO90gyD89madbtswFl6u31raG/AcuM4bEEySBog9GUr5nx4fQEDXiJcQj9eosG
9A76KEaXoE+/2HLB+coFdjEsuFigQYPLA8qLpapzvkdI61C3JhY/Zt6Iq/k3d5+vD2jZy9q7CQNA
K2MjLIQy2kmGb+415ohuZ+ZnUVjAj0GJKP/0fzOi7fSpq7EDQKV+LNCIT/lnqT5yf40w4f2p+jMS
bWmgWt6BvBIegNV8BXdbVKg5uj4M/daDj3E2V9qbVfHcA8E54UcQtk43lYgcHFSKKnWU9pu/FJpH
Ikaztoz3DYYFyq8BA8iKHyvytCgiNPIOCYy/vFJ1I9pVZ7VQMKDL8rc/MB51wx1wxCNCXzGztjba
FbBIwvRoSQIlzPidAHBYrIUIa9t4eTreTBYpwtCBlB8/QqMyMqqT7z5Zwe/ry79mQzuLaOyuCspg
I5uBBw6+keqTO6xkvNdsLFvwzTiKxlO+GrHFaAUldwvQLMhDrpajV5ZDB5xKJahoQ4xkDAo0zecR
d9Zo4S8uyvPdq8P3mMAgWm7zo2/RPfcl2hKO0gbbcfv9+qroTsHrDsbruai6okdUh3qaPaiw3A7H
HqHFJkCtxpVf/Zls/PAx/UsC2H+O5Btb2mkJiir162YJZbowHvwP1vjsVXlyfUDvboE3RrSz0hlm
waS93GNguWRkbwZGbP1vwj/0BvyZNu3A9LIMO/Fqxc7jFpTXwrAjmI6H+u+3NACUKG8gEYliOdHG
4xl2FwrDxOXvtbEDhQfEyxEkl67P2jt3M5JJQBMhoF24gLV3jA+Cpm0n+JGEqBgjuAZVNMTrIklQ
VY2DtXDznUWCOXjkwMQhKXFRggNjH+rxEtubfwEfVVSSEios2+tjukiqYm+fWdH32+QyhmQQP0IY
cYlcDu2pfKBzZEIleYz4D3WfP9hrgee7QwMr0OJJoaKhdySXfWEbdj5gvUKWpKn85Q1j4rB6JT39
rpk3+QftufYDZMhRiYDjQb9NwHox41AOP69P4DuX0FmOQ3uwbccqe9eADZoySCQ/dNaz6MFvXbEV
z+D9lXozGu04QUZajr3AdSdBbmCjnBepYLrvpP3SsCwhTYAq3rBDQfrRhboMC+nt6JPdaGcrD+3a
iLU3ym9KpFXlckPRHgKhdkJ6dLCb0I9fFdW+CEhfd+ebMWtvlRWUjYUWFX4UOaj/kjqN+ifx6O/L
55TFpEpQB2uquNmmf0lhuVzDb5dVV6IuLYOV4FfGDUlZ0rM0GueH6xvnMjbTTOge6wAZEuQt+BGE
B+HLoCLre8mjskfPWRJm28pd2UAr66aLwmeW1cwhoBBHMrlJOd/bRQl4ab3tjf/VzfVn1XToZeGW
uD0LWCpsvnGKW16OW6v8dH3+Vg53uDggb9yYqhqyTryuEEQr3eEOIiQ35pqayjsv/9k20G7H1BC2
0xCskVnJnTV2kfKyjT3IyCgPnZXtrg/p3QfmzbwtK/hmSFbbFYa7zNsI8vKpTIEB3rWqSULnGfpU
0ElIARtai2nWtoV2rYzqv40Cx45r5ZjL52D6rMRKs4Ve9v3nQKFmtvAKLfXY87FBALeuhx7ueV83
29I1I6SiIw8gZz+E9m3fHAb1+fpsvm8Rkn6Io/FL3+8N6nS8YgrvZxsmKaUf2nqO6xo8km7wCJLr
mPdrYKML4Pg/o/xjU3sN+qwIpZcjlq4dI5bkBezASUBG0JMX26YB8YJ9Y4WQ47glf93ECqaxRQIF
ZLioPCG1pD12lEIMoiWGe5C+E0kxRASVrtlJAvOnmVsrDuTFTtWMaeMcs8wKapZ5B7P/7kMHHPQJ
ERPgaDGaQ5ai46ILEr9fE528vDI1s/qZLxzDIinMDr8DsOo5sRfE5ZzILpmyl/BX/rfncTEHvA46
ZqAEBCqw8z1rGgGREA30DmG2K+XGB6t7E9mQ6R2SVIAjbeWCfndS35jTHgRluxWSgjDHumR8IqC0
DLfTt3qKmjqafl0/HJc7dRnbgqddxDttoJLOx1aSigSQp/IOE4yNUZgnc590xqboN2kfuYl9722u
m1wukrM0kGZRe8tNNkNqsIFFPocPdv1kKSjJZ2PSpZ8UxFKuG7t4Hc6N6SVEM6xzngvMJdj9Gdgp
vaV+2NX7/5sVbcWYoeq0KzGkRmwzCgZNlOMa68d1Ixf3mDYU7WBLoI1J5WEoRV7tbDD/DnW4J920
gQRh4vEuggLfCi7v4k14NQliJpQAUCTSH/CAqw61rtQ9sCCNKjbFbpkY7DZfa9x6f5X+2NHOc8GY
PSoVuIciQysTObTmzuYrQcDaWJZvePOoyoYpSzShe+ibJ1YNCahXowBNU7W7vb5Ol86qNmvaE6dS
kzQCNbAD5BrMh/BH/7E2o+KDfcO+Dz8kZCGjoIqGNU91bQ619xvqEJPZobZ9qMUm72QE+QSIczxf
H9uaEe22INzKKEjA3YNjhJugKLa0+iWovblu5X+4lP7sB+2KMExAayDi4R5EvRmdo9HG4bfgJ6IZ
77NhJkOx9dqVK/767rBN7YpvBFDZcO/dA292JLxjUFRBEwEIBK+PbM2MdlGouXVylmGR3KyNwSwZ
y/mlnhI7XOPNffcNQf/HPyf3on5lorWKkhkLBb7KIotwHy3N3jvwkJhGnDd/Gwqe7XhAos7PVm8a
ZlMGmL3e+ZF6zm3LvyOij2VH/t7fgNgNELSQoAGjgJ6Bq/zRkI2YcCENMR3j6nEC/VhU/AzHZJ25
9fKdWtSQQHyOV99Gn8n5oJwZoPAOld5DSCDgAkJfnNrru+Gd0wQLS9UPby9IFLVtHgL5Db0rWDBz
niL/xsR2bkCz55fu2qO7Ykp3YYzKG50cLUOHyqNxzTfU7mJS/P4/jUdHLQSQ1yk4ECkHE85RCfVa
T7Rx5a/t7bWxaA+hTYFSIiPG4vsydlBGMItvzbjW7nKZZwEIDqCoBXu0tA3qySkvVBWIzE33YH2s
DgsTP3gfEJs7iQu15DbqeARlXhDf/G/m8I9V7YZt1Gw24C12D80CNHrq3Revv7luYnlNNQfsbGDa
toPEepu3kI042NWnqvjWrr3mKz9fx6PKuq+rFnpbB5NC5QQIAsANVi6c97fAf2ZJl0dTfGrAcIgh
ePYXFj553t6c1+R49GG4OJgB4kXAkxeyfZ3WGoITaV9kfDgJqliCxr5fxmSu9QTqUlfmcvQXjCB4
2wAZvICNBAD3WUxY46k0anNKgik1vgZBN76Usxq+5OA5BYDYs3rQWLAKucvKGQSUj6ZMfsqHgccK
wOMqKqQFNPjMbPnV8lp3ioGayBjCsDT8TNoCakYT8stzVIETq44qQ/QGGuR5v+Ki6q79MhiAc20f
ZwZYDZ1/IxxI22cQgTrlkCV8Gms+RrTjFZKPfh7XUOte2DdXDozuFr/aBNcH3oNF7EZ/uQkbqoaH
pD/hwh5/WZLKGKDVIqoluCJdCCp9Kc3xeSLuyinStyDsLnK3i+gB1Gew286fB5h0LW6a8tSEVnmX
VxRY5AElADCOrcWf70zrMqPYhCBSRKCmeQ0zA/xRKlee0gAkoXk6/jKGMIHY0lNP1H06sHHleOlu
yjK2twa1G5a64M3lxJcnlDryjWTGU1h5MrJndE4Jkf5llAFrGBQoSRfhIhPcROczaQWtRzNzkqcw
zW3E8R199FL5qWF++lN04xrFyDuDA9LGB5ga9gB40G5YvB62x7JanlwfJD5kHvokA2dbXDVlmhgN
D1ZcywtvFh1vQL0BVAoAGmosOjIsc13R5sghnJj/uyDZowu6zbJ19qUJlyy1k8kN7mxZ3VPefnAg
7nP9tr84HwC8oUYFwg/ASUDVvOzjN3FP2AWuQdEUdyIz/To5IruZzayPcUt/Qp4Iup1t7ke0XSNM
uuhKwKjP7Gruk0w9yeaJYNTU+jzNzjZ3yZ00bLSPtpFq+kgAOduJ9IZKC4jViaBvZi2TcnGFLxQn
aBgHeGyhO9UhLR0LTKNQvndySzNIGuLWyIjNa1Wsd61g0yC76MAtfZ2JNzNsYXW7paPsBGkevqsr
AiWYEu0W19fxAqm98OCiDIjGTRv0tBC2PF9IP2jI0AxG8QDu2OHZroKAYhX98Bg2kyojEx2yoJEF
hniKGOshu9e6hL2o1JlvQrTp39G5v8lEU25VZvJbRQ36z+3/V8zor7zhovndn9Ogv1Kb/+FI//+O
Px0X4H+4/RZ69n/Trh++VaBd33a/6h/5/zvBx7pkTMf//IcxHRlJ519Q01pImxZ5ttdr/B/KdLj4
zr+QLMa1ZCEjDgQp/te/OdMN/1/gsQIdIRqLfCTqIAb1H9J0w/b/taiTo+MI0QN+R/buv0nkl6/J
mhr882Cnz341//77Wx7z1zadP47hgslFmAPw6utWBqhCcwx7OoHzGLDAe1kM6ZbDNbnrJQWUdcTJ
LDs53g9TLzeWBQVXUGKp26Fu6o1tlgyp14BH1G2nBFEMiGkgybk1PKeIBsWqW+6ZPJryYngqKs9I
aK0+ddPwzOfim6TT8AS1EGdnugjlDANNBW8W451hadliDAtXAJ5otDsuqop42s4PjoQkWNP6gAGw
VgU34Ck0v7ZIwoDKyti9fqiJOCITRX5yvGJG8Nqs9Z+R8ysCn4AvgF+NUveikAJi6/NP8AovpKS1
zHuVj9uXgM/1CT3utNmPpbGpg27aWlNq5knm2NkLBKoRpAXt7L2UPQR3wrQ5mFbzJPMZ7ICNNzsy
6ptQ7asSoOcIBKH1ywBd5R+g1KmOlJTDrSTCh7im6dKbiUigLXJFb9Aq4HzoOt40EWug2xH1A51E
xAUDY7DNQkgh9Qb1cQ+vpT20x+B1/LiI0RQHbuKFLE3zYDqeD7PFu+m+ckPyyLKeK4h8hcYQNY7g
v60iB0GKJ4YZ1ZHM27tpSH6MtZ9uC8HSZtG8JGO0si2WOT/b7dgOwMKCWBTZTUDttW+CL5m14BK1
71PH5kmZ1/XPmuWMoY2rhB4Mn50v6BBy503ZkexIs3a6ZSMY5mLHRqUUoS1k1A3EvM3Kh13uFR+i
a9gj6CaEV6uHT6IQoVd2Qt53Bf3aLwWqMVjHsC4JrfPRQxQI/fivzgk6n3HjvHULxtTN0I3O1b2J
sCPuOgkvCKJKkenmH0vO+1v4E+qXldvGJlcmEKEVROy3VdtXTxVrsiL2ICCzrNlII2XO6ZiAqw5s
yRUxdqRXI1zTmqPNI/TpwQNjZ0KsuQeRch08VFCwqmOQIH6b3QY0FVM+A9oorML56ExB9dWvuq+F
Oyq0ERZgmUcv5aI+V3eJhM52GQECT+1E+BKGS4//xHYrE7y/bM1z0hK5y67FpYGLF21q8PNR+Dmf
o05JG+/pZN7j4e1f7HJ2FuXq2u3wscSIjaYQ29Qbt46grRf7avA/ejmvQI4BQa0wkU91TDrKfq5s
3GVjni8d2OmxO9CXj7AUvVvnnyWE6EvZhvN93YJA2UiVfV/OXpWkNhluKmmq2DCkvFHNKD8p1UD6
jbr+fmZl9bLyJZdHCC37LkS9oTaKRiG9ccSChCitW8OE6lDDkz5lboZOfYJFosKBDDVcvC3NGgoR
jsacv+LIdXbUCExgOblNuyk9HKNomCcvuf5l5z4+amfY2vD7wPoEMCYwzdp92xPWQ6ssHR/8sv7W
2pimwM3LGEzjcDMneyUU1FyzV3Og1VxYil/ZynWCC2MIugwK4eNDZfMXvAHmruvuc9qBrbwey4Ty
sEhyQI7MwWn3xHzh4XeksFBeI3Dcpk5AU9AI1vA5+j2y8NIgRYrUVbh0EemOvzG50GyTnvkgJsK/
OBPLtxVdLX1dvK7IGyAhC2oIxDdwSnV4mmHYbjnwzHqYTdBejoIZG8Er0IalcLnnkYrIrMjX1k/L
SIAN6yutZL0WYZ3H4sv8Y6EX6jQrcNERrId0KoQvJOphfhimcNr5om630jHFxrdxNnI/OIyhfx8I
j+599NmhoWNM7/2gPFT4uVGThoAgmGRUceqka3RMWvS3fBsij1fBYywHSKa0cFNR4Q42S9lDWFsy
Lvs0iItgQtuAI4pI5sWSMfAhRJD37mMJ1fgYxJ/uBwEvai2A0K/81y/BXgjgRoIiVG+FdbJ6miqT
sAerstjOzUCxh3ZBKwmSw+iialm5Lb1zKwdlPujMrK2Rfmvp1rV40LHrgdjUZA/on+gi0gpzM5kE
EutVzZ9TDm7goka7FChNQA9rSFApkXobQDd5f/1q0PjMsSBg+sRGBUcWPGZw4WgB8VRazlRPRv7g
tx26l+CqJ+1U9/t0IM1DTesmyXKA32sjreN6+NK4/ReBIuHUef2zFMo/UTR93ntqUluZo0S/8nkX
q7QQkS67GRUHvMuv++lNNAmRFoINQYsHkg15MqV+9yCJ2ruTl91ZVOLt6czhQGkf3gHn524tiEmv
fMN5yuCfGUIjG5IkPkILhAPnD0xQ1DQnjQSDvpOiSu+aj042NxvE++mN6C0raoY0PwTcb0/XB39x
bWPswK4gG7Qwa0GN/NwwGvvdrFIpDHNXbMmA7ZFXZRFDbCffImnDVvaCln3990hBvA03BGy6gMuc
G5wZrXqno/TBDZmIx5TKG+6lbpTxyrspej5HrehsSKym465TQbGTZq0iu/LItm0sEnNKh+3c8Xrj
jrKOHWRhE5M2TiLbdP4q8spL3Kn/5HWttc08kq3wZL07X/BgETguAr0XTlyBDuKuGIoHexiKjVES
lRSMvlDI50ZW5Tjx9eVZZuOt47GcHIhY+nhaIQuBJuHz2QomMx0MxegDz/0nNIiMu7YKcnSt5d8b
Gn5oQrKGILx8WUG+aSJJvoggh+iD1UJStywUy02wh1O3Q14jtV/MJWck0XoBHDbIHQq/BzVv82go
G48tJWjxNz20rw+7DgnHjR0JA3N/fR4upx0hOsITExA2/EnvEa8zf8yNBjeIJaYgdhr/k22PD6oH
vEqlzZqWzjsXFsg1UIJAAykiJ3gY59MO/vmyH+a+eKgN5bK4A3kPSKDczDajblLdT6e2TkhVb5Wx
IDmZjQ7XAvlGEZsiV7uxMMw+st39mM3uM4q07Bsm3F1j+Hn9ivPNsRDYo1tyoR0EQbLmciEaqHgh
FQVKvCLHcbLUcz/K/CYPGcoUNRLxVeSwhpFoQJ0QBztNq80weTYK1CytvoZ0mD5YIWM/AhRdkKiz
IBZUCm9wElvU5L4GaPBD5hnzQ81c++X6ir7SZmtfj5aBAIuJVAtqPcuSv7l1/SBtEIDU2QOrZxWl
POAbhhrGvg6xr4rBIgniCzuuhsJOsrLcpbMkd7OY5xcvtcL9LG0HzCvlvuMT6oIDzRPT6tHtgJKO
l/t+ZAelvLWXZ20y+lgIS8UFbtNwStPE6bwwakbXiRGF/0Jm2rh1u8cA0sEfwS7cJo5TTglnkCet
6/5+7kqUbsup3UteBVteeyye+9C+sSF+uAsGhEUrc3Nx6tF9ALkf8CihIdh0Fz/zzdRAZdTM/EkZ
p7nNBtx9ok1qVxUr8JzXR0VfAURZKIGhEx1uuxaOh5mwGmuqsgfh8zlx3Na/sesGQnB4iZIO/UlR
W/J+IwxLfQRhFAELaDEc0aj6lKe1ukfPYXPLQgb4tNN+s/3qeSih8IxX9smbpy+prPKNyqqNKbjc
cbtPd6mNfJMzYkmgcsdXntBlUrTR4OJaAnjolPooBZ1PWmAOc4cdZZyIgPSg6mx2ClX+74zr/5ix
u3S+EQGCQ9BGmyjiCzBWnJtJjRaJL9OrTkWBg5WOPnzabELITuqjI3o0I+T+FgxjbRJU5r3budXK
C2Rdvgn4AgwQCk0AZMDBPf8Cswdscprd6sRH/6lodyjLG+kc+d+pA9HA3t8Iv7yz1CZEt3E3Tx8I
D3dyGu7b/HdmF2C2C1e6c6xL7wVfhCok2MYW1Rg9GFMcuqUoJ1UnlfVkT1Ikwqy5sLeKOoCkQMv2
Dm215tPIefVRuqLe1b2nYjMdm8QM+nkjZSdAHuG2P9UwyFNdNuamBe4JnlYZ/PU2Wd4RhC3ogAE2
Wb80AWBwuFU61WkENHMzSyhNFyFgY9dP8EV4hF1ig88nhAEkmO1lxt6cYGaCuQWKsdUpyEexKweZ
xcwiIknnIVgxdfk0Qjtv8avRskDwR2075GPhmY0M6UkVVZbYM6DVwAGjQO3bNC6JubbY7wztjz2k
0LW30XYo7UavKE+UBTdFMOL4k/5OlOE+d6xNS/L7OmhvGWljQGCiwtjzsd5JMkfByG+zacUxWEZ3
fuqR1l8eECT3oZGmt2xnVd+DZrJjp7aESHPrIsvl0HwnmzHf214JB7EI+gj+vRtTY1oN8N4zjwo6
6ppL9hBx8Pk6ux1UgLk70VPhOGrn+V33MZ25f+8TeZuDZQ/Ufja5l44x2JFjDUCPzvJQ1Ub2oR4F
sG4GhJ9v57Kz9pmJnESdguXdaOfsPuxp8aG30qfr+/LypIIkCfwSIB9BPx0qGOff27ReSgiSeieh
0OaKFaxib6RuUoPCLc5YrbbCN45N0Ky1Ir9zbyJpgZTNwvCDrMFrvv7NifBZLbE/QCqBhOK8leBJ
GwNHPY+j/dMMMvW5tyBqTTqTxDQsUigluNWKL325cfEFy06BYjGqerrDYfMJ7RGjyk+hEI9129kn
9EiCDaiu65VZ1oBMS5ADU5hhnMhFf9zTzuRMqeTt0MDU1OypD2oHIyjJ/WA04s6vxKEFq8YhH4ek
BfkjWAyTrAN4D2WDwzCD/e+v19wyQWaAMMJC0PUakb2ZeRt8bWogc3EikFBFM3spDoFXug92oF6K
Tuw7r64+mhWjK30nlw8y/Jd/gO7w7gB5P99r4Dzg3LcFPVmp6+4MD1ploT2GK/f55fWH1VzyCsiH
AT/0Gs68GR1gpKkqSZ2faDeNNyHNoLGal+1Gec5HYc0regnv7CHc7A6q+si/IrW0/Psbaw73Sok2
GnoyePjE6q7czgr5VGQQ5M31Vbt85REfByimA6cIbhu9JtHZXE4CLFanUVo/mx49z1Zqd5/A6vuD
zb35EwinNV2N9wYHo6DktEBLBL6N88E1vKhsScGMYlFifPCI+JSBOHfPPPPX9bG9s2bI8KO8CkoK
xC56R1LeTKMSeJuPvLDHbct6b+8V06/Blu3dDLzUygF4J1BakuXYG/BOFniCdhytlqVIMtnWUeW1
f+/aVrcN8kIdlEA/Z+gW6KWk4z4vffUBtbrglqN29RIObdIV3L/p8tTed5mrUFvp/OzH0PfTbmin
3ySfykdASERcqbJYgei8s/64qpZNBhcixKqcL4adg7XWQwfcset8J2nHlj4YjfOh9+Fn1p0hkikE
5eT1dXl3ooB5QMkcyUokTrUjO6dFW/cDt49uWe8AWrntxVM5/CaG/QsO1b7PQeM8p5FTVZAqDvuI
ZqBgbG6ddCfqKird8TlQRog7xoud1NpTOazcKZezgoAR6ZAFSuSj71yblSoFhxLIs7KT3ZinYQgf
hTTJgdvBB8fsqkdZ83zFvbq8xZYQFcdhiSuQytX2TtsKaMnyNDshg0ajJqwDsKNbw+76zF/mrMFw
8MaMnnGo4ezLxvOzk8e3dtcnZchuRzekMWpmLx5TLyrod1VmfOic6TskPtbKN6sfoM2sOxcZKcYw
O2F3bA0JpJBbhGaEeHA7tPZ2DMt7g4UvVXqbohGzCtWasMXlpQC3BLsdTA+4u5B+Od/wMuWlM5IG
tw8n4LkCbWQ1D7+tDCLelfh8fbpfs4znbiPeaGR3kMZDteaioMd6QovCNrMT4fTRtOCEsRZ85HNd
2ejhIM3WmWn3G0FLdrdkob9YJg/ueser947AVVxCODCCmxN+EHNm/qZ960HuiAFEELUB/9WKFMn1
QfFPSC1IAe7BbGf45X9xdl69cXLtGv5FSPRyyvTx2IydnhOUCove26/fF/5OMoxl9G4pihU50gJW
e8pdUCHU9SF9kJwwjLc+uo5blAmjnQhUROaGZHyMbIhnqjHGT6qdFHu/S82fmlQmm6YY/a/okPkX
m0laOWremnt2FPYONBYRHV+GK75Wtk5cCHFtwUGdzXT6A4KtPPuqtNc6tT0bVkflfRIUtawg39HI
Vj4VWnF8f1LuY1O6q2TUZNe41GBBersAGlmn3Fsp4dVgGaI6Hv91plIcuqqPL2Q55VZp2t9p0sh/
//O4BBDAjq3ZhZKr73ZcFW3LIKu74Brg7upGBPrPeYungz+qV5kg7jSg333MosZa0WN+o9RKA49K
I3kbIQU93duRcwk4cUkz4SqrNO2AM/5t/DTappqaFJsygOxTJL1/dgrpszw0zvOojupB4TDyoiYM
d0YtQAUVuhfZ1vP73+SNCJaSIucrVVBUadGPun00IaGaTHnI8SJH/VFQBtkUX1RgAWDjcYSOh/iD
2cSX1iTb7NX03FrxnxoF1scxDtaovW+cwHOxhSonJmNgwxe5dA7XvDKxocXLMB5+OPmMvLOmeGUV
3Ac/dAy5Wgh+KHwryyZQngjqvdhPeWneel0SDpc6cqpD31XmGsz9jUsMu0myVaq3HHRL9K2aTZow
1d73Uiptu9jpon1QBplbWma3LbW82ySFuiZj+EbZiA3O15uN4bCEWM5oVqrCrCB5QahHz8/VK93Y
1Dlie7kuvgEBtty0M8ND0o4cv1Gm+tt+8p+1yQ6PiAmVSJpWlrOpm0I6K7KFd1Nhy3/rVv+8svLm
c35xNAPYozbDTkQ6T15cuFMvld0kp7YX9GZ6zNXSBKA8RZumUtsvHCA/MkUrLkMzymeeyj7ZJa7P
URv+WnmOeZzb55hNK3Q6IcSOdAHm++qfUN+J4Qk1pV9c2ykrvpiItZxIICNCsarfjnR2tybJ2lE1
/U+SPva7jjh+243DppCGbJsW404dIuPSS6jDNlMi9kOBq1o2DtJDkoRrGlzz09w8LdUHokWAqsgu
22iK3j6tYlAwzzlMrnI5tBt5qCj6N9EnZ5qczTA5/3kJMxxq+JzTBGME1ouPE5Mq+L2vBaTQbQR4
cUr3g2SXW7vKkr0ZZvWWSzdZOS/vDoJ5UPDUHAKQD6xlhFCxhC0QncG1pxKzoSydYCCSjivX0GtT
fvEp5105FwqQysfC5fZTkrcimicXjhfX0YEyCRXtzEXSwG3bkyNQFQi0bRoc+vZP0j3k0mmIZa/r
Pql5HrlD8SAN8TZAvmcQ/SEvo71RfML/1dVFx0995WHvAFOELuxpol4OL4gpS7Z1lWFFVqa55DX0
DHZW2qEhXkWHOQ/6CHQuPiailbZj5bxYY22cuxTZ5CzxaVvJg5xR5ZetowDJflrZPXdnHFZCTBez
Rb6MCPii0ERGHvfDOAbXljb6Pqh8cQxIkk6QC5BbNuOjXtAGJmUInmw5ig4Yr/RbvQ/bQwN+KnAb
225R3+WjNaP4E9CKfAYGNh3ef8y7XYP/EPNMBZHOIgWbecX9s8f9LOgQfJbVl74Rzt7orlN6VmIK
UWmspNv3x7q/UsmpCDTYoPS9Zpbb7WB6PMVEi+RxhWSbXpXrniUGLECjjrAxKKxzaNbqwxzv6rkd
PSBmIUNbln9qrUDEmlbj/v0Hus/20LrkolPJi1WAssvevz21DiGI6lxbvXYOQ1tPSBHIAUVKUEMv
LcoZj1XnfMOTXT30MKSQYShVaQu3kjksh/SAWquPIGxZf7TBAv0qSolqMByuqtxpbeC7o2P/BauM
Gvv7T343bTw4JUTaL0Txyl2aqsdYkCmyr1+nsN9Ng7A2kpo/05vjuqD3898HA7JJLYsgZB7wdtoA
YsGvqgz9msbxeDGNLNv4GY3GBtOLIzoO6sp4d6ccL0fxRcdyjF3KWrkdr8lq+rZ9y8thIucWKjpd
VievnXJvjsIqxI+clQhe73aUNDWL0q5M/YoC2rDpihLkjaOVKwWF1yrVzVnKCYDUBdeojGEilaXb
YUBHRygrDtY1VdTuIktN+ymPg37b1r3xYmuZPGtJkWFE1iTBc4r7TQPW0tr1EpCYXau0CkLtutld
c4KTwJ3C0f9rNaP11R5r/0PfVqizBZlsNu4csG6SkPINWZzcZ243VPZOtfLgyYrT+JPj94C4Tau1
H7JMj1IXRbl6n/kZ3BF5zGO8ax0jPUXY9bqBxL83QDiLH07YHQuZMu7G8SsYvFOghoVbmuhqQ4dO
1C0NEp8LEOxljD2blStSsyviQdn7egLkvQjEELidlUB04toKVvbw3U7gpoL2BxSQtBy/1EVsTNYy
hW3hyFddZGJXAwBGHK/Weaok3mo0GlYW5ytB+mZCgdPjKjbjLgmWEZW9ndAmNeKuSbCkVTr5bFvf
lE773rT2RYQJ+OTKDaJzaX/Pw/GlT2JXAdtdRslRG4TrOxsKpjtVa44qPkSS9adu/yb6H/rBtIlV
WsLCLcpk39BQFr60TdRnjR4FugQPBY2kjKJdKn2yu7FBgl95RqRxnyvZTk6kbdOvtMbvkoH5LWdp
FjDqFA6XtIyW4L2X+wLfyLEj01er+jIEZfJbgLJ+/3R5cyQYEv9rjNDVvf2efaCFnR3qk9dFFo5j
sv7Ays5OU9Mku/dHus82eSkKyrMRFcyIO9IUUEDFN51y8nJjeBG1/qtOkmfbBAGYd/VRdLnm6mPz
V1S4Gxq1m0TJtedSjsN+W9gU8OVyZTHdw2zmJ+JSJI5EO4mU6PblY1UV8ijjZRrWVrOJW1U/5WoX
ulaj+4ELTq7YVepgHtJEsS9Rl9KrMc91aigIqUnZ1lKolnRmYT9ZWqFu8z6pVnrtd6fkLP8IPZLQ
mmfkXL59wFwm+bNyS/GkyYlOhl0SAcb1dWVi5te83VPA79jIzAx9EsiQt6N0vdOoJWqUXkzet1fU
vo+5OhPj1BOLuk3o29/a3LlquaMezUQMG3+SA7eHj3IwRQg/tSla67EL/d99OIOhhAiZyliJ3U7S
05Vl9Ao+WTwtnUOIT1yJAJHtRRgTR3qh6KHUepbJLdg5kThYujD2KdqEJZlHnZwdQxofBSYabqHX
8oEMHi35DOFpP9Cqa4Lc0yHVKpNTCiCdMmRoZVQVzh1K1Y6bsEAyY1LadNPRYHcxLwwOXWtJlqsF
Ga+U65TN5AQBXT1PD4427Z0srX/Fao1pMygQ/1QafrDNmrE5ZE6S0XftYQGNlthTRlBPrPN+FzYR
ylWjKs40H/+ko2gPXaE1H8TY23scA5/tUXFYiIUivveD7HhNked7GvrDzu+MJ27tS61FzqGVUFV/
fzm80pgXHxg2CqINr8knEdrtcijiSsix1gyematcb47RBM8BFqR94E8g/kt5i+PI51qJ/Ce675Yn
dB07VNkU12oqbU8ryDrb1BKHMhzqw4RzykPThnA56mB4KoCWPIx+bP3BhUTbUvCXXZx466ND9XVl
Yd9l0HjJzME/fwD9UO64fZHOHGJjDMMeo5te2YXYuWxZvsA6M0X+w+r6VTYC+chm7Jp9PFTKGlJh
3jfLDwkcH/1W7OhmqdXb8dOSHkeNpainRpH1WZFqAM/WYJ+HnoiUAGQ8KJEoP7VGUH+vJbKUFkWu
WvF7N2jtNT/Z19b64mngYYG2QsR8RtwuDrsx0NSuLRrLg7wXnWSzTFiuk2FdzGF8mexW7ni6Rmzj
qNMotUf1jxTy6S+lTcYXGg71R63zTTclOHyMKtl5LuMyfxi1zHqS6jSdPdDiPYSw1LULOYWqbkb7
Zoq6nTkE6j51Rtyyijqkq57qlXFSRWN+H/Gk+ZAVReGsrOG7sGQGagI/JzqnlnbX+s21gJJnZbee
hrIiikV15IG5iQ5Af5VNVfbVSmXgPg12EBjnsnaAy4K7Wdpn9CDrC1wdbE9BOHJvFdn0nQQieBRO
gftJXMnbqFLaPau/O+jDVKK8rXe/29DKfwDAq3acqOpGxWRp5UPcXSAUEFB6oy8NDug+Uxk7LdIz
LLC8AslDqIe5eSrUfk04Zb6GbpYWXZM52aZXTJqiLzFNGihcWRUTvGS1eexyVfrcqP05wwvl5/tn
09sDkSlSQARJsWykRmloJF2IGSmS79kjOpL5xvLD+lDUarSSmt9np7MhD9UXuu2vRfL50/6Tm2P5
oo22mtie1I3p7wyg8TM5qPzNrPCVcaIpvCSj+KpJSbkdynwOEFPnQyCPhouMTP1dkqQIUG5hHsd0
TLlapOirmUvdsScJ71yNkiIUIMP58/4XurvLX3nBtLZVh4XPAXj71GOb2Ph7NraHRQXagbJSu6bA
hswd+q6/xPboPEpGNn6aynjN7eeu5MLQM157plTBKV5Kx3W5EZLo4XFrt1O0k/sXa7DkbY+OXNWY
oRuP/lr16a2Xtdjqc5HHNnnb25etjEBocSzZHrsz3k6dZG67IguemFZsEaHlhReb3lLjmuGwVmG6
Ty15XWroaACAspF5itvBhypywjivba8Ro/JBzhBg00KUJabKzh/jrlVgsvrOfrQr5MID2562RqLk
m0yrA8xlSsKGoOwuvVHRqitH+Tu0IfgxwpxQdZlaVDXHMuTTTVAh27iRL5OBBZgRhR1+ptxaoT/i
DGKE6EZNMDiPTRNar3SEYMciaOAZjcm+q6vRkzDXDCjmYPEUSU2HRREm9F0q6W6BscHkApAUx0oW
4hxOU7ExJsjCuu2f/KwsTlHQNY8RHmSbvOx1uMgq5IzUHsaN2crax/cX7z2Qk60N3B2aI35sUGEW
VQG83hSRtDEOgZJm4DXUQWLExulRpBOGUUajxpuGT/tATP+pbBJlEzWm2KJ+052IFT+IRo12IQQ8
CKwtOAE/7etHy9fFTlbUNbDC/VnEs4JRAPtIYU1ZikUpndlKtUjofiHm88O3s502QeUOJvHy/le5
v8xoQqAUNFvCEPIuJXaGSRTgfhrNU6Yrwap/HnvLOjZq8XE0lZWQ6f6+YIAZOMqdCVhtecBa+ZCH
WmLgBtmH3ZNSN8Ym7QZp+5/fiMuZSaKUDgRnCfQxB1WniyBpXjmqxF9di8lgGv4MdTwJLB/kwfvD
vfFSwNhp7XOUg8BZygGXStridUSfcpJ6+pxW69NS8/t2ZZ7uIYYQp3gvhMPwMAQdsog3x7zqW5P8
wJOD4LvRhmDnRx9l/VpuIlc2iwcxDtF+GpJqF9Wp/qyG8Yf33/Q1zri9ienpzTARInhwTUvbW7zt
p14pJ81rpjjeaWnSH6dM2NfG8J+BU4zfoOJxJRhVnnxWCrPcmFTtBwfKdxuN2mOlhl+EMfaPkBfa
h3Lsh73UyPZBQ4197xR+fQ2UPHDDSe9OftJTuOvqhzHR3SaoIGjXarGxu/Qhio38KQGrne8scDRu
BXV5WwUiPEeZkq/FXvNBu3hnVFjoQ3BPky0vk+QqHMvKcVrdE2mLMr5lDZckJ8TS4kT1Assuv1SS
c6UixYlHpwBYg2J1397/8HepBtEAxD1CLZJoaKmLg8sI0ROqUk3zbJhJp9YwMLqGV/mQp3a7RVTu
R2M02R60smeWo7YSqrxxEuH0NffdyOMBriyuwVxRI9FbheYloXFRu0ZN0A3GJFqvgCS//55vbCUy
byTIoDRDll8WoxVLjKMU5baX96P4GTjZ9xKr+5VV/NZGYhqJI2cJIxbxfCL+E3pJZiFLErYGnjaa
cGuSXgLhyO03KyfSQqqjiyV1OcJUmXUwUv9PGUPZef9F70OLWeELKgUqVYSaxiJ3iyNJs1stdTys
AC6qPj6pY5o+m1StN2OZpxcn4kpMMUZ9f9g3vi/8hbneQzwNG3JxhExNLXSqjY6X0wHaF06g7IIC
F9L/xyjYX3DWs1jBCN9+31RJu7BqfceTYJxeEyFfNGVInt8f5I2cCGYY+3vm5c/9ksUnNNrAqWF7
2V6RaFe6hPiVwt05a2FRXApTL1+0XB8fdav7HAWD/GyEqbH3a6veJ3rWn2IraM6t0axccPcbVaWk
OlvF4LRmWUu4bqmM9IzAZWFKN36Xurp5iEqYg76Td9EmkhvkwcweXnjEEXSWfN1euYvu1xW3q8Pw
Grx5vv9iaVe2HCixQlahY+t47rM+39YN5pRa/FzWqHBn2Zai5Rq0aZ7Q2yMSjgCB1dxvQR1heTMl
oZDtsVQsz5ryr0ncATdDyCLvoxdatz80qetWjqQ7+RcEHhVyYRqvaNjRF1hMftzFSlBX0uQRm7WH
sTLEoXAmMcM3q0fFDPaWXSkPeiSQetH6dGdj17LtwTFsaNyv+V7dY09mYAKROhSVWXZ1mRXJUtGT
oHI8t0Vm7HC6p5Zriyj9HtNZeaizscCcwFZ+y06Aay/gknGKt84wADWCOa591mUUdVR/SnelLofX
QtMoJWnc6/95Y6qw1Hk+AhUOviW7NxJpJZcqMaWiC/NqOtlj0rbhyha4h9uhmsgSn4nemgH+eTE3
gI7bSKFb5gV5igVrGGKxEolm2Kdj8xDGabY1mmncZa2s7h2t/VBP+CoVuu/8XTkh3liWXJe4PbMw
53BQuz2HfAklPrWQFK8flfgURFN+KnSDBIgSUoQyvVTo3/1w7LZm1saHpLbGq9DKUwtz8FsdFPaj
U6BgQ85XkdaMmBmfAjVNz067llXfnxqEFsjlU9gBCn8vDEvDt5YixfQmVZr+BDVySXmnYEqju6Nm
HcMh+pQo9fQ9R/FqZUm8Fk9u9y5jz3rB6HnQcF4ia6R20qLeGUzPmf2ALevSlFrhxg5CWtJ5mn5V
6e+yG37lke0CUDtlZnu2KUi42UScB50Fj5kherSa2u3sh8hETQDTntpAUdL5bwKZ0E6gtyB9MUNo
kd6ibnI7n2GYgw0MQv0ptPW/WSeKpzQJiq2jd+Hp/aVznxPN2QP09zncgXKp3o4kB1EtpUWPbryC
zmCJpcG+T6x8VwO42M2J+0o4cN+8YiyErMDeEGU6MAduBzTkhoZIk2hPVe/blPlT/SAlAjqvSMxf
auYYZ7PMQref430jtvnLD3eURPSPiRlKuIpH1r7qSoFcn7kWNLwafCyXCAV2SvYziBs9zduHkzjd
81FrTC/wnwAFFBVu7mP4K9S/SqmyFQgudbH50GXZBYfyYYMQjxurPxtjejaD+qGWjqaN1tFHCb6x
VAyuIz9V6qOwn80OxG2YkIhr28qhN4780wAKd6iPTX7oJGttsb8R+UG7IIrGH1clZFhKrJLcT5nJ
Hwps4eewms0HpgrDtagtngPfjrc1Ih1fW1OpNyhSFYe6kFYYNvdnEpkEnqU0DF5zxcXKQvhLdYLI
VD2zF8qlSKRnvN93ba8/Kl0J2k/0n95fyq+5wXL2WFUAnwH7IS2wCAkCpTGrcAjIho30rBvVrqNR
ERr5Nq7rXdy+2KD9dQlIuiz205ht2hBopJmf0jL/HMjmppxeBrvYyMY59C+57ruRVHjjsGvicGM3
6jHRcBTCej1rXt5/8jcuEr4VvCmOERWs5NIqq5RzKwtjTfVIq4enEDnVl6AbImx3amXDXcYFb3XB
ztAl+VDXurHzBdz/egKI/v6T6G8c0BR4qMOxQcl9l1faoIoMy7dU90J1AnegP0T4Ghapeo1Fv3Pi
FyV6Tttoa0vhsUQUk00EUmDcSUa5o2Z0dcK9GkrXrvg8SGeQk0b1OZIOlWFyZv4S8pOBil5xxcPk
oxmUx9LJjr2lfhbZyZQl/kvgWVG96/0nv0NTDQlpNwgBQjTxL181DqU6PUOn/5BkOHYYDX2QSbI+
Z63zOIsGkLqs0fdf1YEXK4o8+FXMhQoLZOPb88BEp8RQik72KlSZdIljf/JdM/4iDf2mJfQR1nWM
PlLwq2k24lShCXynLuHwd9K+DHhBBZ1HNW3ow30RQJiHRJ1n8qm1te/TCBTCypLnXsTehINY8ylH
VEg2ju9P6BvJA7oSMCNIMZG/0JaOiwjGoCZXtZOnh8Z0CSUVtQOyxWta+OleTGpyiOq8f2xzPzrI
UuUDRo/T0YVP3W4lQ04erC5pT2HQ2WtkhfsUDQADkSQnLdpf5lJXv+9ibSxABHtDI84Rjn+uMHvj
qNiJ7U5YjFDcTZvvBKLjniCu+9Vkk9gbUyS7jpN/zP10+NpV9coh8tbBSdMXbi0oBhoXrxvkn5S5
H1RfjxIobcRCyrnW1W+EtyFKu7nz3KWhOJgmFj9apYJRo9J8tkJtTV5xvmUWqw6uKQJCMJH5NObi
9u8kJzJyDXxHoMVHBYUAMAIwth6mMFwLNF5zx7uxKOqR06CxfMcYMXwjd7rGH73aHrszOluXSS+T
swFt7TGIUcYre2gyOEOH3wLAtA0ooJQF24XTA7dwus2ihFux0ET76HSq8sORAuuoVoH5LI+T9agJ
X165V+7b6pQSWNJglzjmVUT8bjdlq8TCLktn8Fo5PUOrGDzR0Ph2Q1mlHigMN+GEds3B0p9reQwf
ZEHj3HfwoW+6ODgjjChc1Q7Hp7pKB09JI/upN6xdW1jNBSeickcGdQiCOgWQVsbXtpF+BiaaLCtH
7VuRlw4cETExgjwAI7evkbaTLoa61Z6iKt0ikuBvgfF43aS1G6fQVwa732tEXeTJ9LGAPFnLwAbo
nh0aZak9DVKrbEpJs7ZlXf15/6y5X7ewfmgXc6aQ9XCh3b5RHI1RARQ18Xw9zLzSrl9G4RiPU1z8
59x/HogWKXUtHADkRZ0O5rvf6WqdeFYgZUen7H5XiXOOeoGqsxJfMmJ/t4rT/6zhBFzdoBkIeQWo
LKvv9v263I+dSE5zT1hO8FmbjG/qGH7Uixgwi2O3xzjM/f37n/R+3uYh4QFos23LHZfOh5VtpVOT
e1JgmxcrKNVLY6yBo+4jtRkBSP5KtgFf1FJv30vutS5F4INYB+jHLmpGm5prHu0sM1XdQVUHV0q6
eGUb3wcasx4/4jjQ1UgGl4BHy84CH33xwstGoz9wBUsvdaG3T1Vk/3Aq/UJ7XKEGrY2X3KfEsbIf
7rkBzOW/w8+P988xL6xImqK4LrxJrtwuffaTRwlUVt9hLdjjcCUbH/20O+rA3fP2Z253FNOQDaqy
DyWWrYXxqSR2j5vDVF463LAoq3+3i+rqBAJzMeUldNaEGt9aCeRbyLjRtIdANf/+nwd25Cwr7FHg
at8jHN34jrqznXzN8+2tpUDHhfyHK5DDdbGzZBmKtBHKBQo4cXBKRMjHibPPo51m7hi11dWa9LU4
4I0xUS2CPc5xbvNyi6lQy9GsJ9NIvbm9b4J+1Y36xZDSrdDGXVT6myosiLZ+Ii7xFBUfUsd+yTtp
w+V9Rvr/qmvhIevX9sT96QwuYUYbsTQB8i0ru8OUj20RK5kX5f2XxrRyKiKyeZr0FFWNslhNi+8/
Agg8TmfCIXowHGy301uoVSl459ZLOj37EidJsK9Ke/osRhXIlSrgpid61D/FteqfGt15ydjQnzJR
Eg1ZCAxWPhgz1zED7SVtMnGKCmv6kTpG+PH9A+mNVGUG0HPwEh+hmzTLrf+7DnNhAASrCpTNCV6O
Nc6Vl6bXzHqjm/HXwWmuflbvq5wSn6tIZvapnHAtz8k3Vu6A+wkiseXmJKIFk0Yt8vY5IlsJ+qQG
vShXyJJqUi/t29opD3lh0C1U8jWRtvt6M+MRdMxHJT3qZWMKxGEZ5VCyPNHh8q6mZbEzGjt6TCt9
39iDcsl7dAVaMUTblS8+xzO3IRoYFBqiYPDmDoq+2JOqNWmS3VmtFwvZ2ImsVg/daEhnv4bhkTa9
9BwGA5ShokEdDUrvN8FvwUgIw5uAxm/71FmTy3ljtZIfAoQCFMUiWLqqxFgnyilNGy9tVPNIJOuf
DaPMtnTp8m+AbZ1dlwzf3v8O9wcgdwWYmLnwbKCWtbh9mzHoy1wMHYVwUlJbiS0MfJA7e3+U+xgG
pNIrSQSdU/qP8+//OWajEsePKqlKD7GMGvxgWh9spZCfp9ARK/3Wt15o5g/BzgUgwBzfDlU0STna
tl94gyBu8MG0UBOqppV79rWTeLt8Zuov8AoOV77bUsEKPijpTCb7T1FNF9ock+xEAHXJUsPcqHjV
7Irc+CnVcfYcB07zkg3yqWorSAcWWXZSxbA36CTspCStN6Yx/RiIjva96gsXGr2GnkCCRHVhprtR
6vRf/3U2WFukJpCGwX9SN7z9RJXZWCMgCv8JF3pqNTHcvdzM6kNfUcJ9f6g3Ej8CkTmolJl/jv3F
dNQper5AYkoPusePhkzvRVSdv+vjACNxYTtuwul91GSJBr49zVKMTb2y+OYh/p0qDa88wi+Tyt1s
gbR83WZorSozmuaJmqe0720R7IQz2p87OxHHPs7FsTPq2utC7ZJ3eCGufYLlttZQc5pPGRSO2V/6
EoklRmGJwu6tpxbB54feVsuTKIP94M9Kb3K0yyJ2dqjpE/l5/E20pn+SOiiADTnHSyF1OBAlZbgf
Q/Xr4Gf9MRdKu3t/mu4ekU9D8kdJnKXMxTxvqn/2pxME8EZGXVw7p/wd9r1B3cWuTrIR555WAZrV
RNZ+fX/Mux7c7GJGMZU4laCTH4tBgwwhdnjl0TXV9OBDHzhwjIwIFZmEtqc9wL9GTzU8SprabIZa
yi7op6eb2JwKww2NYi0pWF59r4+Dz+b/IhQyrttv0AInAJZni2svOT8jtfmaasYBm1mMu8q8W1mT
87vdrMn53f8ZbLEFyZsFJXtLXPVW2A8+ItygBRDLff8T378S5MW5nUuAS2B+d7sqXaCOQyeuauOk
H+3EJw9hljcVhj1HhaxyZakvj3lKHQrgRUIZdhrqPItjXqWmI/yMt+oD4+dk6PHJiJtiE47S2lX5
5khzD4c0ldtrecrnukQO1w7iil+IbbgZ+l1uMnTa5JJARpv3P+Nr//l2tngvIl/gf/O1Ii/eq49h
c3LMwyBQmk2hRXvNnjtYAhnBfhimzeS3L0UM8oiSOGwca2cE41FOp32Rxo/jNMKxoDCekMQQ3LhI
q+wDLbigKHMWQbwS+C8jqnkOZtK5PoPyuNMXz4qUnuVHpiOuYTGqkEAy+2Vq1GxXdGhR5LLot/lo
+Du9GNZyz7fmhGaXgZwjGS29wNsNlMV2VeFxJ64iNXRXaSPtAR1d3w1kPfuPxKP5JekOz+8JGoVr
/nYoaTJHoxJIcYXCSrGsHcyN5PT9yrzfb9J5lwLLY5kRKS5bm34YS03UBdG1gNtIwyAmFINNuH9/
db21SbkaSNFYWoiYzL//5+w1ETqEptiLq+/4T0ngd15FXfZcSv3wJNBSO/1/hpu5uqhd4OqyuJAB
7+B4UrBHoXqgQ2r+Jcwsd45k/1QTddi9P9j9vcIXpEZOr8wAMbusgaC2qhbRIHPMDZ3hDlH4p5RL
5LraqD8kqX2N1PrX+yPeL0INuQU+5GuVGeTr7dfsJrUIW72nFa6bYIuTodoj/9m6nVb2K6frXbWD
AE2BvEPBgwN2hlrfjhV3BqSqTDWAbWh7tfb3A5XQ7WDXUJL75iz1jbS1Q/unkX9QA/U4iMdEv+bD
pzC91hWwQ/2sgGNWQ0qiybQX0qBuKiv7hOWC7yp9s7cTDTWpfOWx73JNHpsaH/XKWaoPkM+87P9Z
cH0hzMEhxfRiXHLcKNX6rWPkxK9hZG/j0ii+RKgGumbTmE+K3HXnTkHpJbKcZmXlvzFXJDpQc0k/
DEKBxVwZVVOZUYw2dyMa5WFuzx8HScBrBcC98tLzO92e4NZsHwBUgcOJVGTRckLD3yidVBq8LAxQ
bUI5cD/IVfbl/cV3v5VvR1m8UB4UhVn5wUgp0wafrqm4N9jKIdZobPnBmkP4a9dw+VKzAxv0dKwE
QabfTqQiIb5jV/XoBZmyl2r/Y2Gr/iauIRaGuAKcy/6bFAWXVrlk0dXsz1H5IqLPY+QZ/kUdfgW2
Z0RXdbZfHTdt2W0K8wpUzkuKH3X8s67Oaf87aAJMhhHh2avqb3v6ObWXvPleRnit27bb+t961MVH
5+zYaLo0aH9/bYprMFyE87N3NLc3K1jXR5z9No7yQTOepemjLO/IbqX+uXHQDIsORvnX6U698hnd
/I6SJM4brhX+lZxNbqRuFx3NWWvoZxZ86aXYzaJf9NTjEBpL/cMSf7LsbwpL3vZ1wozzWJ8V9Uvh
PNktKCh1myEnLIHhtpITpicr0c5dbjO7ZwI2RcmY2jwlhOX3tw0xhORSIAhb2pSto3xGhd/41ThD
8FCqYYA6fKqcoEzolxxon4v2rrVm53Ln5MZTkFbMiEEidwS+5132z3ZO48GG0OX3XlNhYynkc1Qc
R6P5gX8ExaIw+UMjMNlOifFLwZ9RVn5EI9W+zG0B45S46GnnTkyXpP5qD78n5Y+jHBMbTof01Oo/
JNAV+VQ8xvnD0Oyj3Pqi5+qzkf6wBjrIqGNsKN2tnAr3AQwwYXJTGh5cuXd0X0MOQ6s3E81TBRxs
LfwoUT3dCIg6ez0zsgck+13NKY2VYe9autprqw5M6OwHB9BhEZIrZYbMmTGMXqszSZFVl4dhQgAz
MfzmoEeg8tAf7pSvQvMPTZolH+JWMx5FnhTXOO/0x6Zt/Y0JPPY/X9iUZnAKRHMUXPMdODKPYyNM
sKP1akRpcwSs93qX2Rh95G45g9HeP8LuD0ocXjhLKP1pzowCvV1NWMoHGFfnjIbs7X4s2gwS7LAG
iLhrkPKxuaU5+v+PuvNYjhzJ1vSrtNUeNdBi7PZdBBCCQRFUKTewFCxo7ZBPPx9Y1XMZiDRicjmL
6rasLNIBh/vx4+f8YpbRRPR4sXUsKLqqUqpQ2zPpyiciiyvgzNiEPnVZxhrsQtpphhsoUuDGAQjN
Sfke+/kPsyi1TV43T+iN7uskdbsB3r02rVq6X4bymV3HqU7dgovT8jYYxfy1GJE4KEujR+ZLk54N
R4pcHzejJ9os2l/vz/vlWcgvZOqRMwWNDLT7fN5x1qlMyuPySZVgZwsnbHZdUAxbzVzLnX+xv2Dq
c1AZNBNnisv5SFOmT6EUAF2wkDzzgghoI9TfduOH000Q7ims+T96o/3w/vtdYFznL07OAZIIwDUg
sHnC34QpLSvAF4XpdOphiH/MACpe0/4q0NtXxlNOUfsU5lWP4w13fF2SfhRCQr8qGktXaAFwCu55
+w5W6pUJC34jp3WHYVSffH3/MS8TVpvzlEhALWTG9i/yhAhzj3hsTPQ7NL+A3NUoD3nVmHelPkVu
HxnxVuvatQ7oL749RRBQyGCvuc0s9SVz5Nxqv1f4ItyYp0GxqXhjBwEcoFtZZRc4Qb4CbHNQkNBv
uD4txRxHaQSqZTvgVtTY9JROxiO4nj6kZTKBunSE/jI26HQ5ZfpAF2Bj4pD5pXSMYa+jrfilHpJn
LejqXSc07bczNLgpJnc5Ho9qxZJGpuIlHzZDWZ9obwToIxnSphzKbCW8/WoZzt2+17Nl/s6LZZhW
JeAZo6pPUTOBLErD8dpGxG+jQB+8FZqk7+Kh2sqqiHYkIqYXWT1y4Hl9Qi9C2wLMyndFK3+Beja5
6WzAMibDsPaQ81FzntihgsXdnY4hM0Fd7nyv2KLlzDfb4iTazxGiX0fVr+ujnhr95zwHNpMHDkRI
fzRuJrx47gXmK1s5K8PPrdwf++y3bSe1WTYPfANVBbpo3O7Pn8cSKnLhRl2eQqhpH3SjL+8mO/6c
DZHzWWpi66kbwe5LkX0j1WF6ss3Q/KaiGYr7YP8pjmr6JpWc/v5RNYv6AEukZ8L9fHlUtQLvm7ah
q5oGYfkcNUW46/Jk2r4fES4PRFojHL9g0tF+APN5/u4tOG5RAbU/WXYW3rRThPKvOdorq39edssv
jvkrYAEqAMiHLOJOmoJ0kKuigozPfQhCZbWtbGPyTCkEaD/Ev9kkmT8oY1GLJnHUALOev1Rv2OU0
lGpxwlpMXMutTALYWyu9xMuwRpyh0UveMjuxLLeaKuSAm7dZItQRBJDLm4diUNIfDiqM73+iC+k4
Xoey09zG4siepc/OX0dVptBKJac5cZAh5NEq/kG14r0ZN+O+QBfiZ1mrh0iI8Ws3jJEL1LV1W1VL
UIvWnmMrX9Mou8DMzg80F6fm9AYxKHuR3pQCHEaMqeypCftDqxsbOy6R6sJe2IfQnCWyW2S99hSy
kb3Ckbey6B1vktv2E66LM/tTdwoa9kW/cUK0axwUeG/4WXuTZKLbxj2iuJyNRvfVzuJ2g7zk+NwJ
R75qiqh25VTU0ybUIiB0aaZ9f3+y5/TgbKXSzSE9IWXjvkGfeBELynaYUPwc5ZPcAGHRwynKZ/Pm
Y6ugFZJldnTVgch8LpQyuopkaXLfH/7yW9MiRTKNZrk+k9+WRTk7DWtnilPllA5Z8uzbzqGMp+Hg
p9oOtCWI967x90h+fc3LOHGNojM9C0sHdRoEtJk+X2kEXixyHmdmLdFqx47gwskmUExBcylTTjTw
02OqBuHNCAXwW5X5a/fNi0g0D0XPEeId6wsJnPNV7rehGA2nUKguFNO9ZFiNO6j0yd+f4Iv0kFFs
PFqpycCWgE1yPgr0gjRE4l4+zQRhN1VFdtAKpUdzbBxObK36qTKMblshur5y7F3wBGgEUdTlBktd
DarAsnQNYLzqbEc0J+yccZXLkuazhFOIN2S9el0JZTxYofEplwEjxkUAfhKvv9PYhvbTaGEoS0O5
wz4k8J9SBMcPZYfXb1FXX8Gt33NLlzdIV4rj6AzZSQobznHKMn/p6cw5QSRRPZRIZ+20AU/WvpR2
JSgJL80N6QttE3U3ds6a8chFrsnrUoWFsMo/NEsWiXhaRE6H4zWdx6pGGpX6lWdNmH3Go4JZgOa0
aFtZyX7l886h/Xz/MurcogFOiDPQhZWmNdlJ1unNqWnqPcgOq/loUAGUyg6Y9LYlt670xFWLfVY/
o42z6fujgJAh5Z+DGHx49hA0jTeH2VLXqXU++D2iEWo5a6AdpBgrK+db2au7RMReWtyJUMIFYYeE
c9jS/VCyQ+lr+FgithMJ19aTbaAy/SHah7fwzoPEcCVReGHX72Ir3sHGO1hpv4WL66GIlwFRCGtk
P/PwMOj5tolTb04UU4QRU37MN7bJcBB6AOgTyAoYY3urGfUutzHD5v+DXsYC2t7paeT50hUI7n1q
KW4SfJd5mkHft6q6b/xxn1EjQUSq7sKYgxF6/Psf4fL6S4GD/pjFvXKuGy9b0rnZyPSqavnkt9Om
lCbMd/EYRL/NuZG0MTiNzNZ+IBfzVDOt4b80EyKUSXUcTesvSauKq9TILc+nReFiVh1sJVgHXlPb
2i3XtzVh4QvdCxDlSH9R6mLNEPqXZhtOYvuKlKqUmAxRHPIyqm5QalUoGvbStT4Fyl0op9EmBNat
9La+lWvhb5tUU67xvf4CxOGUW7TIZ0GZyp2SuN/5mpPfa9m0dvJexkgwBrT4KfPSdaAPeR69zEkX
WjOClyqpFnhjNgS7UbWqh/e/369GmYkLNGtIPGldn4/ilLLRQQ5sofvZ2IkVfeaZMipt74/yi6OO
bAbUGvJIc0lsmRTWbR76sta091ghWUc6YV9U/BA2daa+DDKcPk3PsH3s9tTl3KRuELGx4gnn7iCJ
rplfZSVHvWwccDkFIUBLmesT/OxFVlNktVEHUlLe106uuVqR9Cc7R7k7jwJjF1XhNwyKu20PyM/N
C1IvCfllN0rE0/vzcjn7M4zjtewJRRwi6PnsG1EwxHi/5PeTY31zdNyZy0AuVo7Bi0F04PA4YCDl
RI/5okmSO02A4UcsnSaEN2/gJFL9a4ZiJRpfJFPzKEgbsvghKXEBOH+VOGKZasoonSS9mLYi7cpt
axbdwSnBQdh2GO/aqDevpNG29mAEpZUM/QLFBCgS9DNBaK55wDdfLGRNnXItNnrjzugjBNlxZ90o
A441VREGHjdPHZYWdcKNE1HBt0cU1KLs5+h02iZK0nutQa6sUZPRRRTnU9x1AIkCqcNdsbbU+8GJ
rYNN2/k6abp+M2L3vn1/IVwcoNz+4HUh7oXvzKwFfD57xZBlQggjOSVZpXhUn3I4VTEFo17sayW6
MqNWXtuTF8cnojOc1bOeLJ+ML3c+Zq0PNdNIiyfDSckVWJrc9zHyIdZQ6D+sSIuuhoLatDJNxi2e
GNhc+mZ51UyRvR+ReHTfn4GL7JPaJOGYhyErpH+8qGY46Oz7ZTSV8C1sHFeMSPtUISr8lzRK+sru
v9wQNM6gzcOG5iy5uKGGg6H7iQRcoZLyZGd1M1wJKcWVUS6yT2aNRQkTZf6qtFXOp7eF4zBSK4hP
vtXmuzjEBjVBwmyH1Hnwscr66FNS+OGupu21MvJldEMUDN9QnLfgOs63yPOhk6H39dYU5antheEN
odze4sIQ40EY7wp9SHYB3M5NnYbFlYXPQYdgoxvnevf9/U96GRJmgSMOXAA0FOGXaDHf6nV6NU12
MgxwIsiKiL0wLFeJx/6hjMcRKXQaPIXeI7PsN+rKLFxuKS5VyOQDoHwV+ljkpL2KU8Qk99kJek24
ySFN7fXW6Dx24GPcJfY2V+I1X7XLmhzgB+KPLXOrocayrEgjiToh9GWrdxxc+pYEtdyS6ZWZJxI9
+BJIcnYI5QmSf4Hs6YayT7gphhZJ9sBMbvMyUd1CTCXNR03+apQtmz4pE+1aS2Xnd/fbzK5GFgOG
NQ1XoOXnaySe8s4uh0G+0yX1A13yjoqTjn6P360cPxffAXwGlyDgLZRp4XXPu/FNtVzKwEuUBQNN
0snKsi8W1pN5gfxEXScf/cxf6yXPv+/sVjCPR+dhLkDNCvyLxT/Vel7T6pfvoJ+KTWgNkWsGabry
Vhfhah4F2WjuOpSfqb6ev1WepD6Ccb18J0kZWtj4w12pROwNZfZppcJ1mTwxlg6d5ZXPRiBZhMZy
iJQsmxr5LjTVJ20G1mLwkrg6iKgXvR26fdfIt36pPkVms1HB2lebpA6cfZDRLc0H++f72/pVqXo5
wzo4B1IKmgukjufvrrV2HQ1OJd/ZQTl6uRn6W+RA4qNSaO0mlX1nH8thcph8Of6rNHHH3MBLDr86
6qSh3i4yZ4upVrOvA0tscB7Pdz6tir1pp9UBtcmfg5mGB+CT0l5OjBc/SUqvqtWRMCVp10afZHfR
VITfKtMfP9fotx/SQjWu20g3T1UuFJd4jgWr3lU3HGTOs5K3qw47c+w+nwGamIBzyDdgsWEffz4D
llXEcauWMAyV1vTMHvp43ykPSay6TtEbHmOaXtPXaPdpduBWtVStJAyXvXLKCvg1kXWBDJrLreeP
4JtWrAY5fBA1l46aId20WtBsq9oarjP0+o5NmH7rpy6+zmV0BDGZLOEexBp+G0kW3aQpE6oFk7LH
nbb7yxSp7vlNvdWGFAp+XAaHmiRnH3Nkbyuyn22vDPJNY2flsYo04coS8vvuNMKqnEbNvM39SN/Y
RSbdKJpS4bmYE+stdJui/P791feLEIs4CHXyWdMH4fZlPKkGqYzbKoFlM2rSTkeN3je1BrGNSKkI
l5FobzLJqb06mQ5pPz2JKvVSDftbuWuMqyymB0sSKPwn+p+OR1Hj1Nq9thJdL4MeDwkPhGsVOQYH
wfnXsQNwVLXdSGDF9erYjCGyiSnspdgGoxLV8bBpOk1eOfEuIx+VWppOlLwcDr6l+l6MHVE5czJO
VRBMT+iG1bdyGK+1+Oa1fbb2ZwKSBiZz1gRBBG1xrqLhXPESiCjIrH911PttMfTJVvRxBaB01Yfg
MvpRVECkizSK+j6Qhvmt35wftkmkNdJROcVJicZ32ZjURNqh+Vz0urSt/Bp3Ai26GxtFvYq10HCT
Au14VRoaT43T4QnY21pqd/F150dC0IvcgsBGQ+X8kfIGHRBrRE0HCbrP/JO5aVZmP7ICmEqgy9GH
0V8TY7/4tq9DgmhHwId7zquG7ptZwCR6MMfCV05jZASuQPrUi4ei/90SMEpI9CxnoVeaRBTFz19M
lpGuTmiInvRaCXb2lNqfW+TbD5lUaE/v7+OL5JDMjGHoRDGBsMUWOyQu+xjpYaT05Dpp76LkunVq
zAAdR0pdBIY02aXFvlVRfD9CFF4Z/BIhg9HXq4Ak1SDaLUtMxJTgaRaZIjv1SODtkV/0D4lh1RQk
FAXyJhZX8rav5GfZDstt16QKTgVFt80oim/K3vDdIDDHlZB+mbbPDwXsmHmZaYVL3rqddBIHe5id
Ik1vrihqy15RFM4+CWpjk9A0uupk9TE0BjeRY5SbouTgq+laWfUSC8ZjUB2ZJW64RnCROF8EGpBK
TH769JRXyu0oR8EtepvaliwbIJNSFV4Kp8NzWjnxhhyD7zTJV5Kry/1FVsHVgcsD1YQLq4xsChKO
lg6eeKs/6boUXIkY5SwpLIWHntc21aq1Lf2LtwanBUAajo6MUY4+J3xvNliKZKdosiI9jWVeI8Va
Ol/rUMKRTiSULntbBt5B5SCmYsYibaptMzgUCd7fFJe7/PwhFnlFRo0oqes2PUlJJO0qU4q3aREH
H357FAj+9Hho0ELEX8LDMuEoUpLF4UntQzB2siJ5fQ6J6f1RXhmp5wcFZRhahlC3EQKk5no+o9Eo
65UY8/AUOL3HYY7V1sdUizy4SrvB+Oyo97FxFNpHvc9dK9Y3gGg3Ttp6o4TdcHtn+SOazBFehfJG
RN/UKbnT8qOhv7SBjmn8kxp+8AecJRKgl23v2g1Qkyo9kJnv7Lz/ABHqxg66j2X9tcAnbVuX31E8
/v3vBQmQMxBsAwfBkpkM6acN2kgNTviqXNuZpOIX0axmPPONZTmRNiBC5ARnksAy30ZndiBDqcJT
gnj9oTRGy/Vh6R1Gp9iFkhVssemo3d6OHdcCS3fIU1XZgLtoVr7oL1bnzPoC3wx2lsvc4nRoEPZw
WjRGTn0XazQ3MByU5wrp++vmcvPDLWPdzBEAydplFCxbpwsiKw9O+VQ/9/LkPFWNJZ4lAhVOKJHF
FYcF/Pjbg5JOg1Ihrwe8tUzowwYQVWgjLzTJTXo1YRZxDbAcDxZ/2KWJ1Hlkomtup5cvypWYieSq
iqU2BPfz/dHoQ0hXWOQoq4APNMzY+Cjbk/DsfFA8llFwHVVZun//RV+tOM4XE6MCTgJoAmIOpYrz
UZ2MPlo11vlJOKep8F0lxOPQSFEdyzYFDIOp37XwtPPnAQyu3D+nErc5fev3V6V/KKlVmcmdaK8Q
b9lY9kMXfdUrxzXH8ZCMB0XDoQb6F9ysrNhpfbiJtSclu9XCO8uhDBwYzYM5KbtRBrPepOg8NpuI
Y9WJsp0vsn2DXGanCE8gmWk1ybcM4PN2TMHM2jWAxVDgGNTX/eH9KZlvSm9nhJIEFTocZ60ZeQNA
8nxGrIm9LfdR/5hzOBwqGW+0CkPIg1TIGr05dBSE1VnbrNXXQuRr1nY2NHq3gJFI2mdPB0oJ50Pb
ThZOHErpI2KZ6kYgQvvUpsZ9rYrgCg8XWmgBc+3bmb/VYra32fb6IRYgyTNzRDKry1Scec3oWAAa
cPMkc3YVIdPCwPVpyrDeGvyP70/WRb8PeQlu/vYsPcgqurB7HIYgCfXalB64eh8QUimPBXCpUxmm
zVYqjfogtY2XGnLpST0JzDjI9tbXJeU+tiPnMAhcjltK6uaoYjneKdrTaHe1J4oguc/UWF1Z7hco
wRmxAykfgxIiKM2PxSarwOkVWVtrD+MUPeUCa6BcUqEYQNj8DMr8q+S3qJEhZuDKql/cBpNtbCrT
aV1UiP1dhV2Vi7VS586eMg/vT+UynALdo7s3X2VnFgfV4vOPnxSTVDjFoD74RRBuY1NqvDYI/ZXq
0S9HgSaDzRlcfDq156MMZRrm/TRbaoxRucOGj61XVeJq5V00fs3blUyhDfAV8G7t9fawPBu6TEkV
kUrGQ2gp3Mps82OKSUIeNpk7WBY9bVv+hlLAkZ7Qj7YPvKLDGD0xKsPVk/jFnAU8xqbd5l1cbscB
RWDHFvW2yIbk4OSOckSJ5VONxc+mDZ/CMArRUbY/xIY8eJ2WF0cK8CZhg6sRsiuVqwZKuM11q7px
/Mw4hGGZu8okJTuqtowoZxayngJJOEys3bzS9Wc7MVMexaq2sWynK0faxT5ndpgaWg1EXRLU1+vI
m+QyKvvJEXgIPpAEbY0dYvDu6HZX0Zb6//XgFrehB/fvVH4VL9GTv3K2zeto8Wlm2D2InrlOyfXx
fAWgwizUsBbqA0jQA/ROvbY8U98r3CPeXwQXLLLX1wSOgVoVDHUg4Ocj4ctoZ4QF9aG8sffmPrkb
duWVsoOCvQm2ykbeZa62Lz92W+vB2FtH2cv3gRdupN37z7E8WJePoZ4/xmC2bdTJlfqAhPDGQCcu
Nb5q5b5WTeCmawuf33U2uTNv15qTMlIWdEYWr6xrc5klRIptUHLj1rKDj03uOCvX8uUeJlNnEEDV
1Ps4sZcGGGRaVe2nGajqCKvFIoqjLfDWaOVV5pP//FWA+c0pJpxDPCPMRaQw+hCd16nMT2YbYO0M
CRut6CKYKfu+h5LGV3oG2X0FmM6Vkmlt8Vy+4wwy/LvMQ717SeWjajxCUGX0Sk5MaJVjMV+91lwt
F6OAApvhB5jzzn13antzGHuzEbOUklCGIsWJ0m7Wbibwv4eUm/ZKaH/VzHgzl3+PQ3EcgRCKZOz5
83GsGt0MQH8Zyo0Ak1Jht/u+KB/U3PgpT4aCZKUZjZtwREkKkp3vjb3Z3RplVG5xWjIPCBk2XqWE
/UbulGib2MJDXxCkZ6+FO11O99wKd1kceTLmy64TWM+KldzGcuJ4TiV2o0YNvnAkY+W6s8iU/n4r
mkY0uGbU9lJbYYRS7ouct6qc4GHUqQXXfCsDlugGmZ9ooweIWJaKbP/ehn4dV6d9RBQn3aJ3ez6b
jh0MbeXU2SmgtvfBKfv86LfZi5lm/qaXBhppUbuyGX6xUICrAF+m2sbrLuEMic5h0ldRehKWHh78
cbLdVIM39Rqp/teP4X8HL8X93yui+e//4s8/inKksxuKxR//+1S+5E+ifnkRt9/K/5p/9P/+p/99
/kd+8p/f7H0T387+sM0hlo4P7Us9Pr40uA69jskzzP/l/+tf/uvl9bc8j+XLv//4UbS5mH8bgmT5
H//81dXPf/+BX+GbcDz//n/+8u5bxs99+paiaP+vb/nPf+1a0ebfLn725Vsj/v2HBN/4T8oCADbo
UxNx5ipq//LPX9l/KpiqIG05nzF5UYtw/gntz9kDGgzLbAg9b+M//tUU7d9/p/8JG4fgSMLHD3Kt
+uM/U3D2Gf7ns/wrb7P7IspF8+8/lmkjkq4o4dC0p0hJ856S0PmKC3qrjSJFFh/iNs7BKeHvcjfk
kSW7xjC0e6dHFC4egiDZTqPafU/izHqx1fAlD8zmW5MF4i4dtOxRGeVp31havX0zpf8879vnWxzp
8+OhwcYxi8IHxAFnEV76gQevbVN8QGvuvlRmW+XExfcK9Ij+exvh76FI7IicXPn5WuczITqr92Go
iQ8QblCu6+tgG9BVWIPvzE/8JmAyDHSxGevGlZfvuJQ36yeKXTWiOh87gPZ7xayA2IX9PfLqsps2
TbWT+7bsN0L4yTOdFPtuqqTbpE6v69A3NqYS5FdKC2NimkLjKbOZcUlxEgCoIH0s/5HErrxOSC4P
cVBqLvaIWN+2VBGdzpHX7hyL/OP1XVg0Mz8JDgQA1fMpw31Nq8esCT9alhT+BP2h3fd4nbqEthzY
ER6MUascBz2zvFYfS7hgkxuMiQztGP2PupwQ4M9qN2+fDb2LtzDx/znqfyvu3EY/6qIp/hLnQeY8
WP1/F504JN5spYvodB3V0fdvInoblF5/5D9ByZD/pCHx2mKBzgnu8j9BSTGdP2m0zgkS/0uRnvTp
n8Ck/wmzCZopSRNwojlEvYlLyp8QjeZ/TWgiIyZ4/k5cmk+6N9sEjgvBD7gG8r+vrJfFSWhECbCE
QHT39N3UbVCYyQaPkZ9dGvU/qyqxrpQKxA8SWHRCZb3xYoULGMwV/VqtWmUlCi0xdzwN7eu5kkTx
illcXvqUIcJMzJ+S+z4tp00taUeyqvTjYIQqDkJ5fcgUXFZa4As7LElwS8d0zosU5yBN+Ve8FsyN
oKXsVZndPA9aWu+7Wq+upgIN9XAY9etKAzCdd87nIcKB7813/0UIXfaRXx+eLHB20gQ3iGzJ+S4F
eClaq5Pie7lsrtJc3ue5iF3MJWQP0eXkoai74MqebHEUaufcY1oS7Hw1Sfc9NNrrtgnqH23WNR/L
1L8zhiONo5f3n3B5nZqfcFa9mfElFF3oDJ0/YVekOmAtnpDLtfyoI6f3F5pEqAPUprHFKt64pl4I
UV6uEhfbWMmrJgtcoxJuAP2lXkjYPOmZ3j/kQdHcgbsp9phZIGUg4Utay1m+G6IuPRQ2jOxKtMGN
M8jj1uxtcrrBWStEvOqVvF27KIy8gtK4GpJDAHM8fx2sUKw6kaBFJprZI4cg1xqmHq2h72wKXNB3
Q7QljHB6bAzJV647IX+vJKwWokYphRt1Y4miHPxZKy1jL5AaVNAEV4SNX7Q10vyl9COLJRvMgemw
5qlbSoMBstYK25d8xLZ0M4kJG3Q5xnW+hMgXFX1zqKoIjVao/5gji1kTyUe5zJXKFJmAUZNngxQt
/YT/qR1v/K66k5xR+uzTin5KIdPmCFdKsbNpyjD/6qNp6SmqeOGTVcomFVwMKFfYzt0sXZd7jojK
z7oY+q0fdH6LMZCyJrC8yFpR0ODwmW2g6J1RiFkmyuBlqiZoouJpUkYFXxLFRHqy1Fcki5ZyZxfD
LG5RusZBZRdh8SRwTNxLOLTu06nGRbsp0HtBZPq2VMKvLMIQE44g+5j7cv6Mv81zxuS9v0ledVbf
rKq5UTCjOMkWuZDQv1sctrrVDzHmZeXjlE0KSoTmcFfgteyZdmGjF6JkLsG83vdDKLlG1yt/0TWR
buB7ptdJPU2bnFrnkRq26RrWPGdx33nRaIlTGou8caVK+zmAgtmren/IUBQ9FLXZXCuYhh1MXehu
oNnFfGoDNplE8imUu+E2GLA5qm17QP2DfoxRNvK9k/bKI/9kG7WKq49k3fbh/alY9o9pXczpBh18
2gmWAqr9fIMNo6n5Ihz8R8rmm2KcbmPmAWIJsicOqhPm0Sw7NxDxLuqLpyoz3ZXxL1YfQGIK6Rqg
EKqZF6XGcnaaFnqiP/pIxB8NHyP33OqPZmpmADzH9NDLfvQUSTOyPjJtjOsHun4a9Br+PQ0sJUlv
kmTsV2TEfvlY6EBQ3KAOjN3b+bREwlBbrRm0x0IZP5lCVe6MKFxLk5f5K93U2RQQYAx9K/Lk+er8
prAwhonvR2grPAaRre1Ntd8MZlFftbVY2XzL1J/zioIxvf9Zi4ru/GIgFfGORscf43GKs8CViiJs
NlzDQ/xaxuEj0gRrekPzLzzbYPA2yM1RZLGhsiNjcv5mFLe6NlU08RjozVbuxhMymK7IzJ9dlHh1
lHnwRjNvZSnNu3YxKM3p15SJLiBdx/NB45K2rmN05ePgYIoz1U8hmuNT3e4R4fxuxYoHYWLbVpon
x+FfqpqtpPCX70zaPnc5dWB+wGAWAS4yM70J9X547CXYA11ujg9J1NKm7kR/aoT6nUdSj7rddoeV
F18sVoDDswXHrBYDkQ506SLB0/O2KbHlrU90xac7ucQCWFKKY2+pRrxR8MfepE00bUu/KHZTkvmf
dJw3dsaYYJbS2i0Oc3FxH/vVaiNlPp3ffBFCCzwk1h6JCBQeaI3nXyTpInY2mfHJFBOFCLszjlnV
q26WNf7T1GN+PaQ+3b9E26Wlc201qCkBRP8JqgWDaAvj45a8ZRcWRkE8snovk1lHlWFyPJTltFuZ
x3mBnD0ucrlkpDwtluIgEBbbRFJTSMsJkOO86NxGyzdS194oxq2jjZ6aF7tAqLtekgASTCufcLF2
ZjTADNKiDkGujrnRImvzAwzM616MpxGTCVuM5kFtiPpYaw6bMlWMXVFNMZ4EawXURQR6HXfm3YA7
BGd9oTqhpDEtsDCcTlofYf3TFPTjaKK6qPGuqZ0tLrg0q2fxV4IB7AKNcuBie7Rjr9BJM5P7MZWl
O6uXbvJJwvMEJW63gCwcjvqauPOiIkOzkVIHyTB9Mo4XykWL9YcOox7BoZweMSdCGjMrbE9LGkTE
Ja1WYFbiGBh0QXalVa11he7JD1+ugx22ScpRnmoFV3ap2/l4eewB4UdrwJ1Fwff18UjSkUHFKYXa
zBI5ZwwhhrtJOj5iQfuhUKhEBG0d7W1s4G/aTjNoSaHriTxB+DmOxv7GD6LmLmrb2kuitL+2UNTc
ToMeQ1Uqza2NCrNrNopdb8K8Cb/oXQO+fMpdO44Af0Qmfm9qPN3WiU4pedA/tzZt9URrh6PWdKsC
4+dB6e+Xg1dF7ZyGJQttEZSihgaIHHTTYxqnpuvg5XKt9WA+ywkG/aYKdVosmB0fY/t7m6Uw6csB
jFSbPbCIPqij32humE3tj/f3+PlG46nmezB1w7nGjizxUoFfM6ouaf0RNodItJ+G3eYHdHcsFxvz
fBuiQfjFzkA0KD7OXe+PfDEfjGxyLNoq9hQ62NTzWChbg14YeaE8YnCa7oCJBe4wOsrKSX++oef3
swhcIItAiZDKL9/PF4HZK5VdPxLiun2tGZ+qprI8GsprXZHz/fz3SPNkQtQh2wX3ef4+mlnTn9aK
+tEQcfDZgJuyNXLnWlUiSNMDGI3QafPN+3O4gGDOg752JamawBCa4crng9pVOXScBu1jzF1ihzoI
oIAqB91TSOIpJvhsw3HsP7bqLCrRdFCsw1nYx9QzT9OH4BDlfewliJt9WXmw85PuPw8272E0FlG8
WMzG1OND2pQ0SsHskIBEqvI1UvX22ve16aoYSx+RY4TbONNAsMhlfuRoiakeJIj0+cNNyC0MLxAj
2GNFpR5RgP5eBPaLnkuJK/JxjV7zKs33Pyfd349L2RTCEXhN/m9x3syOiIqklfVjrSJ2PVU9/ZAC
s/G9VXU7uy6rI5s02+sW+gpIswyPXWcDXOzVKfxqhpKNDazTXCkIj9z4WhPcccsS340KOI7hRP51
FpTFi4pA8DGoO81NqiC6BgM5bjtdIOddGs5NqNr5FvXn8q4u5K9yklQfCQy1vpkxW3cIE3HcTRhw
hL3vPHaitHdhjGVmqxjNsaz0ygu13HSjFjmglU95GSKokqHMhhIZ6T9w1sUaM4c2M7uwetR8M9g4
AKhp5VT6sS9sgCpFKU5BGkqHrm/vjWKaPvmZ7XyBh/wZAeBsR+QV28TEXUs1oHKMTjLewUYMj4Ds
8+/vP+p5Wv/6FU2HtI/i94xDWuoyxy1UDsTMysd01MXBGdPS1SK1hB2WGp6YjDUtoMstTzZPf4vJ
IbOns3Y+M7FIDTMw/PKRa4b8uUVSonAofNSRQyVmFOaVY9RrjPbLgGZTWEWIDzIgxdAL3KllU6+p
g+oR8RxzU6uR6oVCH1228xoV4hfTCTsJCgQAfRbARXEPn2VTbxjKxnBiI0H6uCtiWqVRmOTHtPUT
73c/nwNqGl9GUA8QCpbUCyszkXpMp+LRbhzpuS97xw3w092MMsblihSXt++Pd7Gwycdn2j6wRNRJ
udmef76mEaKOsH19ZF+Zh0kBq2dHYUd3oTE3pYlUdVxmxVUtd+3K2fdKRT6LN3OVAbFd8/VKyG3l
fGjQFWYZm7xq5Ej9l6GKhu8lAuwfRW7cqZWh7XvC6g4rEvVOwrJmlxilcYXUTQ9MFR02KVdBkFOf
+pTGhwnhEAhJUbdByw071Nk8byq8YfgqKZw7vt3Uh1zXJLfS2/pTm3bBp9YaN2nuoMI6FtFOq/Cy
2VAb7OH6iPa6mP4Pe+fRGzmSpuG/stg7e+nNlUwnqWQqTbkLUSpDz6B3v34fqtGzSqZWiZrzDDDA
VE93RwbDfeY14gr24mLTztO1qPvPwcYsMHU+3aLyx6zv2EkBCDfXLv1ok3GDEuOm4+79Rb04k4uh
5kV/VUPw2zGfUKco9pgyD56EjmkBEIDMwfnchOUX9DKv6SAs1J24dmwY4EQYMMjIOPnz+ZB6p8QC
CbB0z26VaUnZ6KCi4CXQuIKH3rcR4ghWmK+rXn0qqwl/6Kgf7ys5f+zrWJe9LKzQyAjZDU6M+SI+
weZe1FFF6X7AEMrAf3SSml9zKrE2OxCV7lBNhXAnrBHvsC9alYMtbtEgvTazBZ5/nhm9Fm58bjhK
55dlC0Mea9npEmK0PsWOQlY2TtvUXlbU/SZHPxnXcf0QdlqDRW8FoGC4xrC9uIPmX4AEIhBPLOFJ
lc6/bdp31OSTKtkPEnrULmQC/ZcWawna2rpyHNHO2r6/fxYFwL/nDMyRloxCl4j893xEOaf7EyPe
tNei0ry1O3+jkd4agqc475VqF0hCf8i7KlghAmm6QFQm1wiHa7Wwy9COmQMhUmZCPwjuZXu6rRyL
+kiQ7qt4jLat44TbRIcz6do+omFt/UtF7mWnBgPQUDSuqMQblNC7DtcyhGE7v7K/h/Hw6f2vc3mQ
aeGRt9KpoqyCVOv5x2lrZPwAWud7JTLsz+AlURLuzWhtJJLy8f2h1DmuOL8jQVqCN+UFmosmy+oD
gBYKWCQJ+wJNCVfYIYoqqDVhhWvUqD11URbctpqeb+rQcDYRWNMnxQ75e/rQvs2VIvZgzGqUD/I4
2SpKUCPvKHy+nIplrKo2mzA0gSkr+WDsfN8R4ZXg/CLBob0IxGB+pNEQgAl0/q10RfILPaTIqNu4
0OYgHzYUN68pBS6ofS/7FalQknkV7BeZ3KLKx3Vg2GrfiX0nBb+iztr1kf1ZlNroGUA5d+ghNa4I
I/+jJkWlC1RX2aJiM54SKjseFqzVlWm/dYAAIkBbmbnWgPkWob8/0QqLnFzsJbAeXpZAhk1GNb6N
CvNI0Dfd5/igYoh+Z5XTUc36dtddyz7OC1dsS46Mg14roQt/ALJ5/ukDSWlVdKP6jwrFgnXbTO1K
T+TfmWHF68xC6CpAwnuj5V27zqhfZVl3pVy+SH/4AWAw0ItFiIrGrrbkW2pxkCAtIVf7oulMr5j6
dC3q+FMey98DTMC9Og71VWyW1GM1pbsSXSw23t+Dwykn8WVXUEA7nz16f0ZsmkW9D4bop4rE6wcq
4Nnx/eNpXHzjOeCdvzGTnAn8i31nGlU3Fb3Z7qmn2ltN74PNREvaZTlE5Y5wBQifTHGnqIHYNFEY
unrU92spDP2jWUzJPhH29N2MRfKQ2/Gw1ZTE/zI6BQoPtRxtEb2bXa6HdoOZS7uxEXZBM0zFFyGD
IDpXaXZNTwKSQXLx/Z5iaQt9aJgV0iwl/NKBa9tquGitMaetHsxkrEkse2k9xqNzN00DcOGhBHIX
WPGxGyzNlWs13YRq7aA43+ku9gPfynIjxrtujOptZ+nlh6vUhUWwwrkFnQXImqWiFMJrc75SWack
tTZo0750oh/aaPee6kjybZo5aNqJWQ6LRN7OsYhR+y0Yx+JbENZfk5YicZUm0XMhsua+K6riox0i
sRWgCLCRilAgk2+bdwVy9ysjEz1ihKPjOZ2Rrwwko3q3FaN6jxCmikZYkO6mcpI372+Piz0IVJri
Ldm/CtgD8tr5zLRMsrLeDuU9CUPj1vEgfcyj0H96f5Rl6DV/wBdO82wZSEF16ftjRnLvDH6l7Nt0
WIkhWgejhU268Myw2thKcwhtvAVQcgMstE363O3y/EnJtnnwKUCFLMekWBvv7R6ql5Ovg2aXVs0R
E3bX7iNvtFqXw+YWWv/J4MW/clG+8eMpxcKb1WCIcoyW/PZ+7ANoM429by2RrSwBjL6yRZ67ujrA
n9JQxavSEUqe0gkjdFV6g24VxOJeL2vdNXXKOd1oh14R95NXdv3tFNo/0CUstkZrOLclPeyPnUxX
wZbk9GfiVOGGV6hzI7ULVgZ4tPtYVfEPi530ytu9UIjjzqXJQbMDZg4VFRCFi9RKifU+DUNF2g/Y
j6PuJhr6wcFTOnXD04RG8X0lhc6n2hyblda3cNKs0Xjoy27yxEg7ONKjTSnLY+mWkxpoLldKTMsI
pmJiI8fx/iZaxDT8VlxYeajn1gzVwheyzquMwUqEVfdOq+6FJClUl4VzA3ws8hJJla4kJ28ORZFw
1rYhhFoypoOxn9IAY7q9msU+GVeZIrlYm+uE7bV/f1bL+PHvaTEvFJr4D4/Q+QkcjEbpp6bQ9lo8
4ZqsB8oqG4OOOpF8R9LrhpWIblI7Cbaj4nxqnFHdObJfQgAJppWqcDrkWFwJHxfR/MtvQswBRWMw
6hRFFr9JFzN1ZKq0fRT2v4mlixyXTdP/mGq9dWVV3xxqZmrQwicyWtZJEvSKLAPgwX5QspMEMdlN
8giZEUkOXEsE3RXs5Rs7nhsIfPWMVaShs2yQB7pgxwNU3zutJp5NyXE8JbCTVR7pXeraQB2+DD10
0lUU5qi62NJP2+hsUDT5MCWuScrxVIzBWgfH9VmSLf9miiJ4H1Q86bWJ+Bpv6vLloeBBK8lGU4gb
dFnw7Lsho4g4xYdJC/OVNKn9D00ptB3YII0Om9reVDnWplf25CKkZ/155UCJUWQlqr+wd+2KbsLL
ISsPdQuPJBb0m7LcLDZjJo2PVQP0I28H7TvXcrFKhFM9TlkYrnVgb38v13+wm/9NzvRqUS6wmw+/
+v/yvqe/foo8+n4G4Jz/ub8BnDgb/jU3YGc3K1IKzNj/hd807L9IZUBOovtAXX9Gdv4LWG7/RU2K
x4wC7IysnKuh/wDLVfWvWWGWXIg7T9XnPsUfADiXtyiOACSGxJ74VlBWWnZahG01gR4U/j4rnmlf
mPLn8FrBank8XoZgnvxiqg4X2kQS8gFjqIMC0iJ5HRdfGgfDbOe7EhwbYsNXC/D0d0b7Goe+TJgQ
S+AoEASiQkTLG1zf+U3tR06PBhePZQ+bxRsfnHI9lFvc2CyAC/ou36rX/Fbemp6qIl5GlZUsYZkz
ynGjFDqmifv2t/gmTpRwKM9fG2R5A8/TcsB+wAJCIAHf8fNpGYQltpYbIKmgfHRWgBBp5elGvJmC
6MonfGM+AIZm+jfdxLkUdz6Uj3xCQGfO3zdy7kn6qUi/mEXh0pNxzeiacNUytGVepNlgA+jyIVC9
9DW0qkEUomwiYstubVYYooorCdxyg1MmnTMrhDvmLBJU3vl0+iYJ8yEcg0Phyx/QwZMDYyW1/fr9
fTfXH17VV2gcno8yf9RXcY9eqnY3BlNw8Lu1L7mm9tl/NDcd7XJIp+8Ptfxk81CwjlCJ5eTOtbzz
oZQ6QKzeCcIDBarKS5JNaajJlTFevspyPrRAZww1jtIvVJjX8xl6Tcsp2IeHCrwMnGlvLDZVfjM8
ixv1GXuqUACIdtXPMOrRMuz/zLdxZtTM3VjAk1xyqIkt7SdUZJvyRhXhoUtPo14ewl7swDD86PEw
f/9rLsuyF0MtLoy6iWJL6cvwgEUu7VxrDyn0sdyoH4b77I+Yz5ezWqxcXXWGlaHle1DM7qYK4Vg0
1zpay8PLhwNmbRClQffgSKnnm0M20X9z0orZEJrZo3EHsnAdozXWKApghGvX0uXhmtdnBr9wAYI8
WOTcdW1oBdWJ4DCEKkZ2XK7NyrnmXvPWIJxbWoMzCo3m8fmcEM0EjldxR4gw+S2pO0xoT1Q/rmz5
y2NFEWm2lph5MsDvF6PEdk5PIlTDA3yF+KgrqH+Hli/9YSGT7cYwKNMTEdAJvHgM5WGsNOTcw4NN
ujxOFK0US/wZ8mreaAwCZ3Um6DLKku9TOymCwWbArdpX6zZ9CNPoCbn17ftH540vhggklQIAbWhB
LtVUs3IyJwNx44OSekqXKF6lS9e0V14k888vIhDUrwZZLEtTZgXqTwyyun88ajtVd53P3aO2IrHd
Pe+fJm9cIUq1Km71u2pwMQO9G92P/8Y8ibSIsjEaJ/Y6339JZYowlOrooAXSrFYoHoK8uXINvfkt
X42xOLdhndLnlktWTE939jjQ37qSVF0bQTufBaU6qQmbIjr0jV2tQ6NdNVV1DZj19iCkbbTy507e
4obra8hyNtZBhzypdnHkTeRn/85i/N8Ii4e2GWIkGMaOEbjgajnwwvzKh1qwXF5OD9IE/zfEotdg
Wa0T99EQHaqNuh025nZaRe4x8+xV9MsveCGi09MPa9uvHminP/ey6+9t7xql4c0viQ475Y0ZyL0E
Ixlh3zWVjERIm7Q3wZTALxFXAr0rQ7y8jK9iliAqhRRGY3RwHm072tb5NdmDJQZxvodmnBbyPjSS
Z0ba+Z7Ty8KK/V7j8D5jJrHFoGJTb8V9cm88+Edr/ePr7c5asY7mPr1PNupObKptuB7dn//Gnnn1
Mxa7MsziOogSJTrY5gE4M2HsNbG2ZX/tYqaLbZmCVurzxIoOo+dv/dvxV51g4+JNDToTlme6qNKu
03WxRU1s9oS1XfEYbK55qb+5oMgkUIJ7idwW85yaWIqG3ogOgVlu+7bMvktq6f96/2PO/5KLCxkZ
dmsW2wGvM/+IV7umKdqQON6ENiEefA1+mnQ3tponsDN5f6A3Z/NqoMXmUXJcx0XHJ0UnxtPsws2u
DvHmBoU+iW4t/wXQuLgUhzBPJ42X8XD/nN2mG+VO+RwMbrez1uVq8jQvW2Et79nr9i5YpV7rtu7H
fhfeyne7f+ONIaCn10f1nV+zmGybR8QEUxYfdIhxWpw9DIpYv/89XyBG5ytH+w4iM4VZtCaIcs5X
zhRtNMX4NR2CvLN+1ZPUHZR4aCpXoBEH0Q16wdcO29PfxdCnX8YJn9s60dJTAef33tQGdR8hIn5b
YaICW2+UwLCLuPN/2ENZcjtOIoMiHTflfevH8u8hUMYfnZnJkWsi+XPfywZAbLxGtYnKPPcCRdNO
AoaOz/cxLVWR4FAq5R/N3JDvVdPnz0Y1aY5XZ6j+u0la2IlbygC5QfLWYHGcSMkffFSBUVvQJn0/
lVl4j8KtqbjTYA/aesC+QLh2WqHqTFPXz9C5VfuI7mVIs8ppBwN6gO6D2AasJ76MtjwI/ieVPoy7
pRFwAL6Yv99fhIv4nA4FpSBgZxwf2omLI5rlepFHUdwdVMN/GIu90I3fE8rHuX7gLbiC1704QQoQ
adoiczmet3hJ16TomYT9EMgMJruWgtT1VXrfHJec7SkIFrOmOXAdoF/oY57vKbnQ1SATenTET531
GZu0+GqiDfhTjD7YFlvP5T14eKlzjQFYvGumhnVbxWH8O4uS4Kl1SkIqtUnonFOcTatTG3R17EWD
bn3yG59ME4a++OnbavYkDUPxu2lN+adaT+23EQNE+ot+p8HCNIZ68LLWLvCXnNq8gDZnJHuzdIzS
RQUcf+hawTg6MNTso504wwnveC1E5bHEYs0A7pmuMVhRc7dKivw+qPImxd9NSYztEJEGA3RIoz/0
uyDQ4Oahgm/A+Z15U8uOpSWV4DnLLjpKdjHey/AiXVmBOorajRBu1KfNN9OqpVvbR3Og8QO4XHnw
I+jLfh065jW/lJf+3vlaEsujKEdiMiupX/ycQjhtWYrkmMgJiv+ZEqwG37d3EpjBtWiU4A75Goi9
cGoPVVFYbjtq4qTJM7d00Nt6XZd291AZ/nDr14iSTiKVDvSgQ1C+SU4ZrrcOvp9upH4U95qvtht5
KJVNOhrjLTeSQJ+8ne671HJWYa+DwIsb7dodOBevzueI4hXVOrCe5Hgkyef7tcc3sXIaRT46Vjpf
AkJvfnd2FyRuIRT1LhKS/hVa83SjKZXUuyJt9I+9hhDQrpIRRgxIdo+5PVbfW3Man6YkDz/xrijH
eiywWB4DxQSWK/riqckyXsWRkEDD/L0T4KuwW/sIX544zsra5N6UKyVyp9L3Za91AGQDExq+hFVd
WS7lj+hXh1FM4Zl22MpeKJUlIqxm0pUezn8DQO96Cn7BunI+S0nsPIV1C/Vejju1cbvMSr6oXVT+
GEF69a5SFPIngJDyoZfi5l5N2lZ3O9ORVn6aWPq1AuJFDZYNPfcjoNXypfVLVR7LjEq/651jWzuY
MDbgEur72sFNxa3Ttju2YzJGK6TsCijQLfU5zK5qW98CHU1alET99tP7t+7FRQjuCxYCagmUlbB+
WERnEkgIWG5dcsSRLrjhoTDo3UfBlTf8okto4Egpqy8oK4oIF9mPHCiRZERZfvT9QnFLVA4++DFS
nVgo7ZJWTj2MBmgbmlsfYioPZjM89pmfe1E9olUU9sZTzRnc/PHcQe6g52jC35sz6fMdL5ogNDKt
z495b9ubqhEGkiTZNX/By0iKfgW6EtxkFDV4dhZJMn6CSmgqhTjiNVzfhabsP9hSYO7sOV0uxuTQ
iDL7oASWvoYJz7pLkbbOAiPzWiQF1mPbDG6pQSgaUhWzNh9fEkWWtNWUJUCY4cq30Ah2Jp6qu7bG
oq6TuuKuMcoSBlJSexNNgTVvfOTVvnZNLW8Ovs4ujXluvNjKCwzpor8X2IFRWnUpjj069qvatMAc
6TKlXdzjt++v1hLrxCHEmYYSu6XOmttLiWLAVXqnl5M42nQx7xw/NtdWgVIxlHLKySmeX1mXJkdH
8R2vQN/p5v3hLw7KPDxAScibUBRoZ5xvFtME1DeaTXEkJJS8wRz8BzmM2isIZvUiamAYGgtzZAKL
i77Y+TBFEcl14TTlsZja0Oub0IncBDGEdVKa4VbNomajk3Ltg8w3eeGV+0qLsdFQdGmnpul4m7XQ
ToshUW7TZlDdKYms35EEBDuZysHNiV9DXu8s8mw5UDdDkV+jIF+EceS0bHSqawrOzai0nk8Ai5Uc
QF5XHp2hnTzFqPCakBGLN2rj0BQzvkRqrny0iw7Dy5AQrOdhcRdfLE2o+SHv9lQeE8kAxBHhw2s3
k7ZGi5lvJIH74H4l0UxSxXt/U7w1WcSPEXWCVUcBbLFajep0alCifewkmQJitrFR1J2mdK1XOa1l
WW8PwlaLK6O+sRX5tpTbaHsx2xfPl1d5plxlOnxcrTrGtcBddoh8Tx/DawJyl0ebRJbEj949OAPa
9+cLqSDdDawjVo743sUrawifm2Z+j/rEX/3pV4Q6xxqC4OF8QcM9H6kN6q4wQ0M7BjlHy3Fif81b
P21HCd0DZDTUlSFpwZVNswS0Miu2KCUY+s6AowAXno+qBlhfm72QjnE04HosGTd1hymQ4yOb3OA+
6th3StgeK7XcNL5dulgj7RtfL1w/ueYod7mg5LWz7tB8dIgy50vh1YJWWq1HiGFIx7ChpYTV1e8h
asWVrzzvxfOregapsmcMRI+ofC++cqrJGX6CCNRXVumsTVVgbKUG0UoTdrbuYj/Yvr+qC+URYnhi
nZdmPHkdVNQlONUeYSjIRmMd68j8BlJ4G/hV4sZ6+HHwD3gDuTX1nrzHSDpPFDc0cG9NyitH5XLS
eB9xQMHngAZC3On8y1IQIuXUTOuoQb3zcnWcbkfCE+rxYpwNLOUrr8SbAR6Y4DnjA35wYY2X5Txf
vJb2MYzkUVkhGa1+zUExPNXqFHduRTNlr48TLrupNhiTJ6miDzd+lOo/G979a4XMyx4ei0BThTop
MAP2+nzKX20tEPspzmGxc0wAwW3qssR3iHhLc6XSke7bytIfKYRJdxk0v3tAomhC1pnz+f2tcLm/
6ZfyZsORfQFKLY5aVqZDZxmFczQHOERyIEnelCq/3x9koVk07zea2bMkAxh4PMW0RRFnrOQqjXw9
O0V+0Y1u32XsbjtuUEKflMkz0q65AaWr6NtGb/UeeqQ1Ji4EZEEvNYphuWV29ywXwCg9yPlDsLL1
3km9IlLpdZFAP8qpQB9Xq5IvU4avlGu0BTXuUDECRHNN334iRcw/F/CnBngqZuWsehVrm9EYEiS1
x+oRWnglr5p0bEnDpai7UdsYTZA08aVPJPJq7sVR7XzNlArrSnQ0gRkIw8SSTkpKCTHgST0JZ8qo
MTm5LLko4+X8Mr9ogxUwOqPe1HGkjW6ROM7jiHbN4HETYIwRFmKfyqX88/1P/sZuRxgbJBrgPxQO
yR3Pd1eodWbdlU1xChyj3ZSOXHjOpEmpOzOJPT1G3MnwU7Gz4vjW6ODTBnGRnEq/udbWu9xhyOiA
Cpr7lIgOzCCj19tclEVmwWyLTwi0B3ejGaCHr5vVtSvtIkembUj+j00hYB3WY/Hey0YtK1Xix6ce
PPeujGT7LrBQzLGU2fQdp8qdb0f1OmqlcK+0veWy0a45Rl5eaej1AHWGrkRtBA/OxVT91NQnYUYn
GROee5rZw6kfKvkhE85RG4fqGn74jfGomcM/BQPN87QMfAvwrMifD9EJbKG0QmOl203q/B4i6L0x
gvBaN+4SYEE0MBOSCLfpBpOgnU+QQgN+UFjUngZg57uxbjqvrfVgzfk3vTovS0qlPYfPESbCPU66
Eb6NT7ff4SSH0pU3WFF+6IemvgmDIFzFpC5X+mCXAef8C3lNyOfIHpefBLHysKU+F59shSUwUNPy
RoZHFWnQd82stzx0bXnKo6tl+Tf2OV1WUI1zyj5bq51/G7k0yhhyT3yicBZCwVH8DfXNaw3/N55u
aJQzO408hOhv2Z0yQ3nQO9sETGBRTDPlBh8I5Dk3BgWLLS4q2qboLM1NErP6MBptcmsEsbXKQ1lb
9SA3Vu9fM/OCn0cuZF3oPMLQm0WarcUtUypDWUlw9k9R5jwOyfgbvbCj6QdfsaV+qEX3/P5wl4Ev
0ShWRrBNKGlfNO9Rlx+tSIjk1E9GcWdKgbGX7OkLhVTlysQuU1rgjyTQs3gltYGlEEkT+AaSPGp+
MibnWxLIzZPTW+lD3EO0rpS6Xyu+1t9kjQKcFwus9R/Pk7yFigSMSweb4sVesltbRAmdzpM1WfJt
VlGILGSzXFvot7jvD4VVwsUawhFCXBsYydzLtxYhrlkALp4cvzoVHNFiJ3cRelA2yrFA7utsXegY
fHsi1/pvk4GW39aXZve9so3F91ykcXtn+SlUmz7q1GxVTEWWQFQQxkGxy+BpVKQpWJvapG40U6D3
oEY9fjSqJNad3IbaWtLz9AEWh26v1MrE3aDr9d9xSsWkU4pKvzWDNvw+JH5TuLjFkVlDEh8xvEQP
1ucsExGsgsqOvjqiHdstIjr6qSc3f7ZV3DBdGz/Lp6Ed9ec8QLTRQ4Aa/pepVZXXpFb/QStyp58D
jXHvwzQa3Y5Cw97JY+2YkuxgcZj65akOAI/nHEfEIMGx3aJWAaUOvQjkF0rd6FpXM4rG9Lo+tQ61
MMp7C/7FrM9Qhx3Bgupr94hyZJJrUAjZjQXL4M6NDupnhHg3VtuqtwH11qMoJf83afjMsR9aGX+F
Uuq+TEpLz2kyknTdilaewM9ZQ+ZFueCvyEBmereQZ2iBjPiBvE2Uoi+8QDRh68loo6Nt2YwhYa7o
ra0j0WxiFWhSxEoyTo9VkEhfS7uRGy/XFYjuoVVi8E2jabRXvYhV+j3G7BRGvw1BUiJG/EgohCVr
E6vpz5Phm7jLdKS5WHulvvmEpyVdm6KGWuLmjtx2LvYmSb6qtdD0V0lopgMakFX+mZu6EasWqovl
2p0iNWtBRcx2m74c7/w8cJ4jysrPfqdn9+MYhDL/okqYa0MK8hJTnWzSgfSjmL5qdSO6iZxWAmaa
6dGJN0JFGjO1Ics6Vqc9OASXuWulggyZjZF/Tac23uBFN93Iw1CvuQIMlDmk6Ag8vfECIxpW6oT6
iDegzAr+vh8eOHxy8WjWSaW5EAD0HMKtlVTelFXR3qGld1BRdG5wcp2CW4gA2T1Qp/F7PCW66anT
kNm72Ggn2a0lCxfpoB2VTa3k2S/byPzYHajyHyvHd1hGOwg/Nhy8r23iW1+L1i6fpGZMf7Vtmn6o
9BfRe/gGd4Ncqs5KMuvguWzq4DMtS8lc2UUuP02AmoVb19FJ73XYr2kpcCfSgPJ5ZH/ZJ0ugxVKa
Y7hFQiZsXR0XM5sKiRxlXlkX4ycxUlPgEyWT6VWhXiduoOIIOTojnaWBuOZzXBeIUCSq/K2sKwfG
3xRV+7KqrNqtaoJ0d/I74x69zqrxYnsKN4VuSvk6bvR1NTbJaVT17qFQol5CziDAZztSJiXGakIM
jGD20bdcss3HYMqDZ5gbLWdfMrX0Ft7bvNDOY5fb5hefbnhFyCMplEKkafhGF5XKwWQPhdubgRav
qjQ1HQpqiihXvpR0phsMYvxZ2k5z1w2xurPrns8wlqGX1Emw6rtI/pD0svkzrGzIWKFotc+yNvWP
LAc7L6D0Z6wHqauxnQ6E9glSb1+vHFk4thelZnucBsL8Y9JPSu/VjTP9HJREwSDVSX8GKsKZbmoW
xcEJUuso+/X0bBmDTt8PTSy0bbp0OwbYkQW6llMoLovpd2eYbp1JD13s3DhyhkuU7tc/TbonKz2D
FK2CBvgc6IlZemxsVbhaY2v3UkBmA37cL28zlPhl0jt0nd3GVkbhDgGcfU+1R/m32pX+E9Fafwh8
afyUKeV46+RE667U+7ggD1QJKWaF5fgrth0Y70HZ6j6fnFu/QClR8iy0d1kyP8W+NhAlBrLEL3Gw
0if2Hncc3m4u92T8MbeT6IPcx0JZsXa57UZ2o3+uFMMfrxSRLjF4JBwUaYnIAZSSAC1iVR1DHNVp
leqkqgWc73g0P/aN/j1ztOrBwHZ5LSqRe1qZR9tY65tVlWWD12cWbpkiZh1Mq0GFTfU/+LXf3Zsp
wpv8dfhoEYndFPjDjpxWbAvQ21uUi9Q1Nu32zSh1wz6rNPNGp9R6JSi5DH/msgVITODnqCoupX9j
rloEsozq1E148CWjQI80RGoCdR7jSnXmMpp9PdRFpOWouHYFklWdxjYM1lqEG7MzTc6V4OONCcHf
BLavUvqisj7/ilclkEHWwzGXjfzkS8X3vnPax8C2S0+TJOP3+2HOG/MBpQKUnnYXaNkl26kAm90G
kSlOVTNY7kCl0zUS/Zot3BujEEbNUTkR1awifD6fyI/t0sR+5RQO3LNNim5HYirXsPSXOQ5kPqJg
h7r2C9nmfJQmbiSlTMby5Js1elK1gd29baNU7YANiVPJWbV9N+7awLiWcL6UO8/j/Vn7gaIYEAAT
R+ZFMl8NppYEY9qeEupGsecTUe5CPQ/WSasa/UoWlp3R+2jw1xnGkWgNf1o86iUtK7w0r+vH2peT
e1WPVfRIDWq5cmJN3wnj6pvRqq1ug8AGvpQ0LyqxTTOjeXSIQKwVH6QFMdNX0SkNkP/yVJXUqlZw
8nHpKuGxHdqDiQEnJrOJpw60aRDRVIKPLbK5f8quh55JyxCdBbrEqFIsiX6jLPk0zrvyU8Jz4YlW
j7yiAQvy/o5dSjVSFSSRZMtSNaO5RQvjfJkn0RjNqPrdJ+F+W5UuFuGu8CyvcH9jyuVdxXUsz+Jy
uMXeRS4gwgiU4TDncFWPeM2L1tKaC52x4vWt7Eab92c4ZzGvN9M8Ir0F8Bvo37OjF20MogEgPnrQ
fzIL57HRCM+1In5Ok/aXVIsr1d/lyVyOtUhyfBjOtapL3acu+6AbP6L4+P5cXihn701mzrJeXWWq
0lNKHPh8d45busgxrdp1t7p51j24n67i7UNvy/uyUjehm6xk9wpLY1kXIIVDZI9ccVY9m9UcF7sF
Pgh2Bao2nJIylxXPT8RIrW/Ek8crErW+VZICXFmRx428TgSaaCDKRguN+0FO0R5qJ+Mxlespv5LJ
LlmxL7+L+52AmJ4pkqqLVFau4PxLohxPfhYNX1qlad3EIJ/F02O6aUvd93Kh+XtLoJEE5aq5aYTq
u+jS9yi/FuYGP+vqsSy7j71Spx+asWpWYykHK3R0k/37a7jYIy8/FRPLudmlzFJOi084kWQS2pnD
yZksadWOJUCXgfzy/VEWu56jrFCdnCGTswQwAiXnG6XWO03KutY6zSo1H6NMkpH/q1svofa2882+
+Pse+Q/RFaIrN8b//EMjvSS6Ru2vc34rf/s/BiXYkFBFstHsg5BMQY3b7h/XJP4vIqxZ3AgwDGNQ
GnrFcHUMLiVKXawgfpgs3j8MV8X5i4ocCBoqLPQvKYv9CcN1gc3mcSc5pPY06x9bHB5jLlC9uk8m
I7WC1JGKkyzNFZXItPAbDHF0WPtGaDyrEobiDT4WZOTqSD2m7cwY/XxV2dIQmHp3jIYY1BUm4B96
HOE7V+2zfG/HU8NznDVPoVz2FZjWor5HVz98Bl6T/K2u95+dx87j7vj/d96n73n7vWnPNx//xD/k
ahkKNYUMBK65rkEv/rP3kDD5C7kk1GPneirdb7bXv7ae9helOdBQkLxmcuHcs/1n66n8C2dpNOCB
NBLnbvWfbL2FNy3MDfS+Z+op4CFkKiDTnm+9uFetpMjs6tAZg/nZ9il5lpKsb6URYkxjU4kLI037
UNeJehNVbXxXIdr6nbqc6g1UZ9eSVJf3RmxNj4HuFCst0KZHgn9rC1wOeWa24POrr/v09yv7mj+9
uFJffjCwHyAKtLNhzS6i0oCiBfAVMOKg8KZVOkzTuhMFDCu0fDYKwqmr98d7Ual4/djPXwjUnAEX
jlLdBZ0grg2UonkuD13kyJ/00nk0s2l0h0zq1+1gf05SHTm+HGlGx4ogT7R0HXNUIKh9WLZbSN19
0gS1F6e975mW037o+qBeV01aUrCza0REY2ujj7q1jfERv9FC9ZpI4jKHmG3BwYTRJkH0GYjhHA2+
vl4UzIySMUMi2KCc42QtN0YcRKhS1yle0dZBjqv6Rqrbw/uf7qIvycAvyR6ddhBI9EvOB5aGuMum
fGgOYLba21FSo60aFNFdhgverfO/7J3HdttMtrbv5R83eiGHKUBSonKgJEsTLDmhkFGFjKs/D9yn
V1uUf3P1/Azdn9sAC1W7dnhDZyuUYLR+jwPKeN7MmrYpF7/d+L46pSv4pzfh+cwmQY1xFRwXnwVG
r01cyP7RqZz2PCtq6wpt5OEq7SWzLcdu7+i7Gbuu1dXeczLQXW2OLUtNV/XEmvzhYzCyWqVI6SGv
dhQf16QBS2joVbM8UtL3zKuKOQrGfnyS7KAzby6mg5paL0wnHeIlWdENpynflilFLGY68b7XB/9+
zMfiBSiLeV20/fDsa0UBbTywzk687OfDtkr7sGu4AmFkHH9Aq/SMogD7/ujLMb32hGy+iQYPDadK
22thIURkTco9Q1K8ekT+S124Q8UWm5fK2Ol1Pu2s2l12/Of0rAI5cKulZEB/f8d18348nvBFOJdE
RJjFqLJ8XE+tT6Sd0MN/tNPWOsuaeQ4Xk/wyC/JT1OVPI1EyCFQOOELe6ltCWf7xWUwJRMBIznwc
pB1UyLyk1RLCvYSy0ZVFakYZuLvDUHWOHhqJrj9QJ0/eLu3nrNgGjVLQ0o3UbBGXMPpp5yXScS+1
NDBeBgvTnL8vzBq5Py7M+oYwrbGYILM4xv20jsKCUOAWjgtueqaGeNkJe2jO9G7GrX3IzEtZLPOe
9mq1oW94EpP3aaPTPKA18mtWjRevu/7336JObxdNX2DE+GgZg/NazEA1L8CCtPjsVLb+CFtgtsK2
mvIcxB6+NqEs6IZtvKyAtpPprfNWBsVcbbrGCPZG3DhFOGHO/mTZhfct0AVqblPrXIL489oIxTeM
7oXrTwj+owX0LVWuDRtKAI3dtqXfX/N4C3ZPMGbtXoESaeDXSGg745IbiFVMw7hsOhTnlqitq7KM
zHiyD0MgnSZMQNd2iHP1+XfGHcF3z0zaOETkNsFB0s/bgwcZcgExZyw/MOoCvJOMrik3jT37aQh+
L9fPwNYvDMubphh2Qdeg7dqNZXOWDMiWRT7aetC4zBUQuhSA7LcGBoc02aXCMGbuDYTekkVll8yY
NSAVsbKKsATFhoEtGs3wMbzWyjdpnIIbr9rmkLkKv4agT/KNbSiLsbEyzfhs6FQ2bWS+ZNq+ccZs
P+qdqnfSLMVt01Z+F43m6OhR1Y7FqVLoEwSKPQ0ohKCHHNQaVI4CX1LZ7ZhlvffollOwZVKoh2Xv
prtBa+y3GtrLna74zUvtOI9oSYnvkyjsE8HiUzxDrIbSmRQbxVdOM3nV73vSwPqnFHXnPWqlzM/M
BdOFigFNOCRVfV565ngiefgUnHgeSR9uA0HgUqcfBSevyZYZJ3H/UdNS5JZFkW+cOvF2dNZPkRH/
8NMQtgYgiiEBWk/HLjjE2Exz8Ex/VLWAniGcZIdKK3lKaya70gSf8ffw8oefxjVG4kheRNp4rIYO
hLmnL+4Hj/nC5GyRtsuhzX9UemH+9x+NbBfqI0uJYsAxK1DaYMXiUo8fR6Y6eyQAk03SaPH5wIWw
GVU8nWqvHMOL2Kn0otbmCgkf6JKj3kDZ5LqHpKn2aBdmfZ63apWfLXKG3JzSCrntXYoPYiinatnK
QtrnQZ41J3bOcY8HmSADxCRgd9qCDOqPoVRxYAytqjXncYayUYRSA/q8z6XU1QZ4nR9vnKm0CWWx
zWAaRkEwRh2bEFHByrOels5B9M3DaPEUkfhzKgWaFN2nFbhLeYwOz8czZFklXggyDh6dtHcjTA/3
TRxgJStd49GCYXxZD6kXBlY8bHTNY/Rfz+PN4Ar3xAb8nJiTz616B2x7iiHq+o8vQvSTbp36+aHo
Su1bjIkfPhyBfSuF1X3vWYx5Y8wdpDiZFdO7WRPmIr1PUcZDw1czvgRtkD+LrujCzHKS5wzBXOjy
HmX3dQ477Mky+YEIuHke2sK6Tn9fn0uWuSlsK4lSyA2nDD4+n2H2ODJNcCKxJIIS9PEX9arpJtpD
8aMmLBEip2qF/eIyORZVv4OdeOoM/+l5rBv7HLIDnplH+UxvFa5eLm78GJjqvKhXWWkabUtaos7m
9yd29B++14oLJBqybzCCOW6l0zVtTYGe9GPl28VjjeDlrRknsCtit8G5d072QrYaNAVTbYTqxo01
URdYvfmtJTJfJx3wT/yMhrPCdIrzIHPxlxQBXfkSt+UWdfnW33sA1rdFIxfAh6n8AkbrFEr+T2vG
dmPf0/cB63gcHEgd9J6GDGleUtGqid+GbPneDuZXsBLb/zbGsmIWAEMwYDQCjkUdM6sy5Yi156MF
nCuqSutNjA2cUMd6/fuD/nCoeRINZbYCQzpGqB933ti3XTk7QXKoheze5Fwv75aDYmlY29OoRbN0
Mi2qsrhNKbSHYQkTo3PfsGbEWKoEzdGcIAb/IVvghUgS1kSBItI+Otx21Rlp2VTJoXCVd+5p9XjX
QfiORgXiU8/abttJvbgC3tFs/SD2bylLmhNj5TUb+JBBs/YrUp+Un9yFau1oUUSW+S3CpgeG9+O+
AUO0ddL5v9VE4G5zkA6iqKBDBM7t6NBXrWrdXE6gUfJObAQJ2CYFe3Di9P1h2+KxtTK6qeQImtbH
31Kq2mN+xyikaxcJ6Ll9BN9F/10OG6Off/x9O/2i7H1cOWpPrlC6Xqvy5zGVZK5cU8NHJztwY2+q
RK9oTE493q+gWZRxpkTn3NjFwLAvLjAYuweer2WRaoz5bqRVqW+XoJufCrMJ7gZfq7+aVWPv3TiS
njyzShdzrMIEuB1Ba1Dnf3/39fwevTpoSw74r9kxTI2PC+UagxYA5cgOrY47l8vMEWbdE77Cl7pT
fEMptQz//sDPiRTzcOb77DOgrJ+uMScT+SJaKzuM/pSSVGh4JhfomDfxEJzYBH96FD1Hms0Qbday
/uNvKyonKa3eyHFbmYNQTLgW43HghLOBd85//6tWWfZVExBP5uMRlTIz13FaLmfy32yzyDo5c7Ey
3gvTGE4s4C+xqONPtvo+87GIx9bx8HQSwL4tu6sPuS37e99V5pdk8b2vWHobr70xW9+todeuE36r
HeV61T4JpYFVKXMkV2APpNrTULPseaYYko0qqb/l+WLnUaJl4ESQiFEmIyJHkgcuY3cVN9jgbtiS
1rId27S9q3KntjlHdgafoOjUq6s17lelYhf+gzUNVTSoDqBYhhVOFmq6Md5qnfT2mZjL4ipxh+lK
bxPm6Evi4rxRzsq1NnjjWAm0SjFG5bKYuD0Fkzlf6qAmvIjL07+H3wA+cDDjqtupbDVptt1Gvmql
DfXdjIV405vJgteQ1arYSs+shxB5IrR4x8Ti2pL9LtPomIZDHbhtqPVNkUTlPNc3SmtaGFBQJ0jt
kwEx7NLNNblJs6C9smSnLQgpTNNNbsinTovjbFt483xZdI3+9vd9dOydQx4MV2UV2KIPS95wLDNk
WoUtc0M1hzIpRRpi0lyMWCQP2QQoyfHijaEvGQpHs+/C65n8/GvsqhmbzEKp+3pQIxHDkt7LQs7O
nLbq9B2w+UyEQzy1e0am1r6ak+a5SAYn0gHy3ORK1LDae6u7GaBIF9vOt4b71M2Cby1iFW2Ei8EI
1NP28h/S0dMU7fbC9KNRdMa0FYM7/ygzMz51oj4RmFkJyknWgikRLcxPflcw8jpgYupg52bwzak6
rmHV9lkZGkPTDLwFVk0oBCLOsJooNfqZq41dF+IabwaRbZT1LqiB1DWBVC07SLO+wp8QTah5zCM3
tZImBieW/tpNBbI5oIKra34XBsh2QyIf4laDrxdGEjSyuyIxrNAuneqm4yuEqI+77v7vn/5zJIYi
RxG0ytIiE3dcYTZ9nXlxHzQHfTK1nRFU8YUwhm+8d7MV/uxdejkUnL8/83OEpD+OhwPTWvqdTEU+
RkgEcFQXDG19MGhdbyRWRjuztL2trsb58e+P+pxdUNqtrUQUdplCHxOp1YAQS21k8pAYMBldo+23
wTQtJ+Lwmid9jI08Ze1ZGusi8pyPP4gustM5QsrDhKjMptX9W9FrcpvEIHpENz9UkkrDGfJp+/df
94f6leGURRGNrBXN7uOgPBt2k8LOag8tuce77i36tVfr4nr2EM6oF824a/Ku2LpEwE3u5v4NDdPg
B1Y83nmqyvjErf7H1+HcMK1dB2qfrvVu6EghC7c7AA2dzuy0PJhKAV9y+vHr3Aj2uO7P935tVDvl
eNbZtMzDfRnn+oXZpNWJ7PYPnx4ZAmSdkDla9RiOUj43g5dsT3oLXR+6Cp7AYqNXwynA3S/q7NG3
J50EecBGRv/7uOCSiQ/5KR3GA3o+xjVupPM3tAHJnIPC7rarixXKSlqCIE1ttxcl7zpvUWcSaST1
voegrhfcRq6eg530tV75e9QFujIUcbp864u27TeOq1lj5CZSuJtlNrHk0LW53PjgqM2NKYYmP1el
cr7FaWdEZqeVQbTMKjtFqj1GnoD0QxAG4puOqyk8Dvcove0Nf7CTdJ4OIFvjM3NouTox25B7KRbs
SILqDIPK9oov8rRUQ/ZUVmZzVsN9CgWjsV2ZZDN9C1lfTHE17DAINy7GJK43IIOnE1XFH0Q42ECI
fNAzg45pHpNhg9lwUyj40yHRvfm5kNMQgbIrijBdzXNUm2n4HujnSwa6zWCvPAB01vat39QX0kuC
W1ME3Svo8lMWxcexb13D9WxwZAE04ln7MVQ0Qy9ax63mg6xEEjYyHS57c1Wz72ex+3t0+NOj2I8w
XkCDrRa5Hx+VaJieIZ87H/pUIhOhOzIarbg86y2hTgTA41tk/VUMPxAq5MStIuIfH6V3IPgcaCSH
9XqMBk+0+IjFfpRkcriuity/xhxWnki0j6ut9aHwMRHKYO4B1ebooUYge0AcAw+VdgGWfrJCZU/a
dkhoSulSnOozfwpvPHDFtlC6o9gEJuWoVEUtsujavtMPZRvMO4sMZYqcJBVXzaDsjZnH8kxfJwrL
5NAUGYynQdX9E4pAwfVYJerEFv/Dmq9kplUXfl32Y4573wQaZ8vWD/Qs82hIcVCtaTyE41gaO6nM
aetM43xizf8UA1YZe0CUACrgfa9R97eBk69sKzcbfzk4saZdLoFThbmdSoxiko7xI2z7vI4pSVVV
7PQl1w+YXTobGkrNZT921xozj0tH2fp932jdXtOb5Yp0v95IV/uvRR1IJNj1zCuZetJ0OUJdoMrE
fNmrl4MSafmc1b25ZlfBTg1tc+KorVvt90uAnUGWQQJtsTXoKR/tjNqYCMB2YRxsr1/2jCrmfTGj
OeIUUFuSedApNOppO8V5dyJ/O77lyNaZsyAVg1AX87/jHwmeRKcBHSwHd5j1i06Z8x1iQ+9/jySf
fx5sc+KWT47DVOlXH+m3jz4jrkedW+iHqsnLzcAfXyrdLsPArvOd1TbThZLlcFMm3XAiw7HWj/Rx
ZeH+UrCv2SKU/mO9kxmHS3COyG01iz1vOl+zH0pQ+3BIsJdBDNJOc7VZlkV/r9qEzLmr+2ncdAiK
ICGll96WQaauR40/QMFaJtE8mXjbnU/M/1VUYxaENVAW3FheDVl9qebl52TCKYsaaJAIhab9I7IZ
r46zFHe+Ar6wYxskcOahVf60F6e+DACULBdd6iUTyIbM/zKkk39WuTCQIqvM7BdcSRmjJm2t3RSB
B1XFArciT6TUvzomH9ZptauD0wfGDidB6pejc1kM6zjOzZ+yVpeXkLj0fpM59XTlzWmRIBSHtuKt
xuiihOlnl/elh3EadIwSnRgL5ak+mpYSu0NbwlII406rcEKy5btW9tk6uYVFhtZLqoVTVVWbrBqm
AAu8sawvta4DOzFPSQZyrpTDw4KcS7ILzM6B2xQnXWjgl5dGNH3ac8YpiMPZlcxe/75FPxVubE4Q
MLSLUV6glXish19r5ViPViefPEuIy6Yp+3PDyeo0yhK3SohAdZ2GpejlDWVNdp4gqzfCuXTrObKl
psmwBp0vIjULKw+tpRjOEzhH22KQgQjR2zCcDSwSjK0kKrmhF+R1s/G1UXy1GU51W1/l2W5YaKBE
ceWp23w0aDSW7mJ3O0M37BMV+6djwVEEKr8CMrj4OP8fPzdDjGbIE79+GgapdugBEmf4cuIC5wv7
jF1Sb0vHb8/1RNhdCBJRnog7n5rZxFY02OEN005ZjTaObl8bQeK299PhKXDy8TyvS7mtvS4/h/bo
bJbE6ffamCPz6yNriQZHHY21m90Lr5zP/v7lP4vboEX0rykVOIwVg/VxLQZ9ShHKq6cnDHG7V88Y
fWBznXByWJ1+VkRJ4zBEmszG/LLoC4VR4uXJbYWX0oDqYNHdl9bgRXo+F//6SP8H1/x/DCd/+0if
gcLvveo/gDXXv/+/YE0gmQxBgDkFBpNF8Li/gzX5XxFGoiRYjXC4Rf8N1tT/yWCG8h2MIJoXnkV/
9T9oTf6js9J2gCgxJHd+Hf5/g5jv/hUk26M//w5+PEIKAxLmTK2FDkgKMhxyrI8bCo5KIeCKx3fc
huR1Ai2btv0KTmQ+b3zznARICxGVBcSSjRC0Pf0q9cdXu0vQwHCWTVBYDuAUJV6cOUwXkjO30Yqd
79kvsI7hEHTd/K/w/387jZ3Gh/7/A4NX76W3H+/Fe/X9437j//VvZLrn/nMVvWLKRGJG5kqk+hcy
HV2Jf9LzovtISo8a8qpJ8O8NZwI+X/UXUJ9YgbCrEvO/wcGO+U/a6mxQesDQxYAV/1fgYP6l3zKc
VWkE1hcuDSQ3mBJD3/m421J4xJ3bDN2rDo5ticQ8pjb2pgz68TAf03BQRYk4Lb33VxBxIwTVuMFj
14s92GieJ93vboWCyCp12zxn7Tx9r5ADPWUkf1T8rK8J7G9lT5HlctVaR1FWc7FmLqbefqUKNIuN
7fTBi6kFzmXc4WkHdqVbATHVNJFCOPWroY32TesM2mvNxQ9CxsqKn7996f89t7+f01+iDf/JeVBx
4E1WvM8KNlpHYEd9xEGYRWL5DIVnGixil+A6+HMmH6vDXgm/3eWqX5C/sqbgzq9KA/UiAFEvVRnk
XysjaC6DLjD7jTZWC5Vjbyx9CIXWmc5XBfcGWdvFu46nAujcIBLvgMtFCTXP8y4RJUoeFH6pD13V
a++LHLqrQCelWVReTlsy8rHazEFZf+EWr27IeKybGeBasymzSudfXnS5hFqOput54RjDLYWkczvF
yMDMxixujJEukOZp65BSOPU6pXDzu3lQ3jehHLVP+sH+2vWj9oN2JDrb2JkHoWYBDzVUsdz7qZ7d
LZ1RJfRz59G98htFpyZxp+6ltmnz081v8EGVusSXkYb48FqNVn5p5l73UNOXxcO41aS2XWbCfJgJ
V5gn6qX1+HzY9L/aBMwu+YTk9Oj7fNz0wugAIFua/lWvLB0pZqsSkZxn447A7M2hoeRQhtk4zFdL
ahl3KDXETmQpn6JDQ7qqDZMlUzdelvj3MxLkWTiKVIN1xTjoTuSO/CFMDDJDfI1KWmlJ45mo75rq
whpL88Fze+dmnodxL1G9+/H3XXmcjkBkgVWAFwqehTR5gBd9/GlMbAbT7JfyVRM05aguGmQAZor1
NyTf6PCnlZoeR3/Ov9G9EG405oMhQOlV05uT2PG9C3aNrr9GPX3izdYq9D/nhWgGOQp8Om7BgNeo
VomRv9fuha5RHC1N/jZhp/JUZz3aAAFKIV8K/AONMEbXpqZmSer7hUv4QZeaOTGZmkDYS98GV4ti
ROGfqFyOyRG8lWfTnYX+CnqP+HIU/zyXp2qWX73ROTZuaj3HYcyp6uAZFo4BRdXuXRPdLwcZJhqh
6dvA4I0cfqjfO6MDTZPZmvnMn3k/v4nt50It0gmLpR2+MTkpblHsTnoUsgq3OPXq66t9XFCYRMww
ABIBoADz/nFBS1OjMTAF8s1vNO29clLnQThu/d4OSQbgtpQJ0XJxvvYO0/QQEGrZhwOy86jWG35+
SnjmuOe5riQQCogr3GcGft1H8TANgqRspN2+ySVoHhsEXNh4FQOCsPbl8mRYeZNs4qHonXAx3FJD
Gn/dAqr2p+916iA2nnujc9Uz+UIJTi7DKUrsr0vi44Kt5SlQBWtFUKLG83HBZqukOJvj8Q1kd3Of
gS57KZWm4+Ju4r0VIu/eBDtd05ZNLwYgvp1qEMjolfsMmiC+GN3F+7YsfRqHIxlmFSZIYzxaaeLd
9mYwvg7WjGbLPATxal09FZGiA/fT0/Rh2omx1Z6QmRtes9bzYFZ32XSV9P6wS6FPQqxxsdN2B6m9
xHrH1wLopOglTo34GSA0c2vHQ/ucWyW6NsOSVKfO5lEfh29HL5iKilKGThLtpI8rMxp6meq5vrzF
U8KAEWXt8TmggL+taxPtHRCYh6TLjTcTRKiPhXJb7Eu9kHnYLZ6xHpg2fpS0nGF7TF9PxI1P74b9
GtGMlJgvBqJhjSu/tX9gP5h+ZSfxG9myQnKc4TAGyDYHLfQ6nfux9rPygMHpdFNApX8OqmoERAQ4
PQmrdqWcm83ytRGt+4Pp/bRsTrzfx8uEuBbAPERciiXEC5NU7+P7SXDm5OhJ9Q59f973ZWv0oQf9
7q5psuTBxCXgK5HX6SNtlOltNxrpWwyR46VGduoGn+D5mlDulUhaKL2PrMPfX8/9xVj4fdfTKSZI
0Itd8xUU9Y7OpYefttZ6hf2+YD07hBoDknjneZMpotJK1JdgbmMyiKXUFKhwxtO7ChRYEU1T0zt7
P8vsdqs1mb6cNag9otmeIVhz7pIqNJepPlrtTi9hu0SpHOMa4fS+XTg5bfdomob9o/HRzMWUuJwu
ZKaaL2UJZKgQkNMv6BhN34bcWTMmv9XL/TLYS7qzkKEPdl3jdW9N3ksnGhwwDhtNOcV3KA3ZAx2B
vNsYtTteBqtk0lWK+P1Fw7WIfFOgM2RdQIHoJH25ld5nU6NzlJtg+WpiFbBfUKL9Tiiv/S/MsbJq
S2ICO6DOu/6b27jUVWOSopXO8K7SN2nll5cYozTE8LFMFeIni7YnqtJ5RkafvhSqkXES9Vmg8s0k
Z/e5QMEGAoTQ0GNhfNA/ue7c6ltTz3z/kksFyRY3aDJ57XsKYSRU0+PxSpVc12dm6072rUvaVZ4h
09WZUWv2/fckLoJ7PUU9NlzkGJwnSVlomzn15iQaq5F9Ll1rvs+Czjh0SOGoUA4SZ8QJqdI48r2y
eQg8oR5mDlB3JVy3ftDzTj1LEtIvpFdLed6OjnFjlCqxyXYY9YVLa2TOrie300kfCrnPltrEAGoy
rfcsGK1kO44CBaPSxHaFvLsQW2z4qgvNjuNHIgMiFs3ieF9mRmTlRhe92+0600/3iXCXZ3YCAxnM
F1exFb3y7+iell8MTzNebcWkDmEtr0LjK56+9X0514gyTdqbSmT+qMe1C+uDET44noXRcliIKbAi
TyDfFGoJcO9zWdaGD3oa2Z1Qdm5/bvlpZ193uMzeVkbiiG0uBiAUUyqre+Af5Xdz6nAuUGSM82tW
STYEmlsjIVwXDuOFnthHylu90IQdIHDoffwdbVnvyhatfYVifJ2E6JpiBeJ7qJaGWMaoLLTmvv/p
VQBgN01ZogKMkZBNHiP96uvoed61yj1AOW0S20M08PceNeUbt0MRNNdTloK58Dsh4sjMOnHRdn0Q
b8rAy8Vr389tcIHJfJvsTBtLeUZPif/SKQY9IZbV3kvat9o9AiIoZqZGU91pldneOPqwGI+lIRLO
ssspL8nCB/FlRIbmQVhJdadMFbzGhVZfKSF9ZE9HbM4A/VM/0qEUKgmBZokytIVjvY32DBmg1uD1
5GDUS/TS9OpcebJLLuqWRulF5aXizVxk7++zQEuXW2cw+nSnT1jvkHPahfXYGknyBW30wY68cWaH
Iy9uTKEBZd8Ny0GTlwUqRMTWpXgeK9t6GGAM/eyqVSA7yNkfKdHzBo+UIdsGyTI/ajhf8CXrNP06
00duwq50vUMzZerCIeGGrincHrEEB5SfOevtq4/w5L2OsOw7Kkjy1ZjHAW2sOcYvPYs7zFgout4Q
QWseCtdb0hAZEnGXpVQVYPJNBa7ZkAZri8gX+rODereMLPmqCOmXqjT6PDSqyryC9wMXsmo9/nHP
jP1Lb8yW55wzpULVwTTlEJnyHHnq6vushOfClsyRztUDVILDOIjNV9n5utyImjR+U/Rpc2t2FIQR
sp6o0kmrAwHENrBzzL0G/zGx7eJOynGaNlyfWRf6Wqur0Gz04XIq3OSL6gdzNeuIjRYOn2ZMVyTj
S72N677mJmikf+MBNgOUbAr5XnpD+rWEECU3TozSe5TIufUisTiGilrbyIJtZyzdSywzI92OakzB
LCEYdq+qRb5UVqzdJHFWwJVqaW6sZUe7J7bqKLrmfeeSXJv+i0Mj9Vl3JR65rfBunHqoy3BsZfGe
4Tcit4slhR3iGpNwxeSzc41CpzFEyot5iaT1xXWSjMlDx2cVUZAtCPRmczDFYT4FbhYlsSt8BLQ6
9w6hLCJH6i7pdzZUd6EnuvNjNNFetUoDJthMG/3d99rgOUn5W2Hce+WBazR4Tbq0f0ZczcUFmZ4t
070g2CZAxuMdyFfdZ7SI8jBfcxy+lG3aFxHI/NbZuKU7mey4FPbilOVcpEo13kOC+9XroovgVnKB
oQ9WB9broOCnbpAeI1pDumB6IdpZRWlvoYFouG33bMVBO5+luqqekikZxw26ZwQtHxjuT6Ae9qFW
2HiEMjH7A+jMkuscHzOE3Ga9vJABHeutsu0HiY5YJFBv3pmLKi+MBv2W0MOv4FuQ6cBAELWBCx1r
08+xbb7gb3RhZcGEVUyWj9vSdsR10Lo8J/WKCom1avmatXH5wkWrpnOKHr3aWkBC3u0hSR7rafD1
MKgcb2/UIm1DO1HurmbMZSPkaCw0JVKTsUheLQw9ujHQf9gMuQr6KWiGBENC/eIV6LVvk7Fqhm3Q
GpRpwiwf63lpb6ClDu6WOXh5RxKAQeKYe7cZXzeLvA790i1SIeajskqyQ0U5/qAPtXvgZxfLJk8r
BPG6eqmeq8xYrhEUs/cohoz6jS9KR+yoqzWGnGmVbgriS7pRMSJrwiHARa6zhhkni1m7gbLxHCHM
9B4MVG9tObfBI1hjxiCplbUXgE5RelRL3HNrUileMTXAiCTxiGm4UHlXsxj9Q1+5Gb5ASz4/I4Zk
Mz5YlH7AlMz9spjl8lUb67xBuazxafEKq0+jwaj85MXrcz29Xytd+24au9SSoSYaLd8QBXyXM606
9sjgOiLSzdg9lFlt2WE1w5AKY31cmEZqQqb3OJEV56BXg/KqtKv6opibjH6GPnn2fkisvkMwsGya
bevVtJWU7sblwabXzE9bpBxQ5MNh1o1foLPUwzWgVmgd/sg/COHF1IdIGEv77tcDXFClWyoOS4kp
6L4pEVP52fVydp5zDFXsqPOa7iUQ9EkvVS88Y5ekbQAjGX8bzLxsvchuZ1WVijuKOQtjsNi8sTAA
tb9Ni08y7ljDtVOMyrzoYbLOW4i5ICRs2St76zbMYVrCq7mHV4zm5TyYz8O01LtEBB6Y4B618SjN
xErqzA3vlYiXI7XJjs/OO3Oa601SCWs6H0uRPLR+Vt/2IsigY+aZJwHXTKJe17YeHn0tm+OLepk9
7M/o7Xt7kDiWvYXai4h0wT19lTkJy+oncDQvg7xrin030Orf0G7QoIT4zTXCqu4U1QFcK5jPPQtg
qqyazgZkgpozq2kqK2qTTulnmC+P+0wDVnuWt7FzhxS6H2wkCO7+XNYtKy3TORkv27b2Sg4HDaNI
tZVKLjWnn/VN3w3aY6+bzrJNyxahvFzYZbJTulfPOzNzjGyL5k0gERsnA9lLElx7G3PXOOgbWEsb
VQy+XByf5viLn4zze+H7CJQT8DI92VY0Va0bkck8PetykNMXjpJNep/XRtLsYoNS/JLOs7ytu2ym
L2mUG3NOZEKBhC7snIouDVMzzi/LKqi/eHiCbQlTc7BFZbFBsToeGRmrGMULZD2X/pxmNnKFmR6P
fWQ7uf/itYb7SHdEu82SMsUDCkbiTzvo8tdYWJkVIpTWX3SZRdMzRfYzRH86XaLOL7pLAAjivNYm
H+Scj2rrWTnr3XPQJuOXtkW3fW8LheqsG0yGQ8HQY7lQ1NwvDPSb6Wyk28j1OsYoNACbemnpmWM4
GGtlHWqFW71Ct5uMh8xth+I6cIRvbtg/8tsiHPWVGlM2u1o3locY8fFs+482Qx9dE/HwRrtxyqPA
QJM2smoT8Yd/5LK2Mt2thzetK5MLRGd+VpbJ+raauvtHg4CraFqHrqArvPsC4nS8/R/2zmQ5bqTL
0q9SVnukYR56CSAmkhEcRJGUNjBKojADDrhjfPr6QpV//yKVLba6t7VIy7RMUyIQAbhfv/ec78ip
nQNQsH7zTlPyDbsRZi8TDpvRGdYXPE64kF4fkQNrFF6H6vazvi7a3hqC/MoI5mXfK8MOXWFqF8x6
7VAMq73tPUeLR+mJj3bSy71BK21fVRk20C4xEW6KecuRMt10EFuPkmWMXVzKS1MT3qZJjWVDonAX
60bTb2XpJBut6vxHCBjaO+23NwaY800RdHGe1nGKwvH8loS1BiO9Qnbg57WwOECQOcHeLLz1UZGh
2eMo74bPBF+lD+ko84dq6LsnxwKpS7N4kXCRC3fP6jN8cUUw3fTIZb+OybkhJsyqYNfxh6+90RTc
LQfqj79vCvywAv27J/Djs5/nlUwvmIRy0ngzTilGlTvEwjXPncdF4m6oAAUL4n0OHaLoj/w5TAyN
rpu7FfcnbVgsPSANyqC+K8daPPtoW24xOQJ2TTpnvGtrbz0qtNxICYtZI0hpZAQ/Enj5KJhMcizq
hc42lzQ68nW03ptyJYQ+BHe7wL5DSnZBa3GCM2oO+QPePKALuSUChTOnZcifw3sHdOqun5GekmzE
XuleZmUuHnrO4h0ojT4foqCf2hvNFJzsbM+XD7KZZBMRAueMUd3kWN28LMiKW3fyJjNypSbT0Bnd
9uTjOXQ3/jRWT1T8KyCAomkZ4zMuuVHYdJ/1MSGKvZHM6kOjdM0rjwLinle5aUPc0N3XKYc/4IyZ
c71OJrP/ZF3nY+HbMMc8c1HHasn6b4lXqae+z5MjaOq8igpgiTJWnmNUO2/1Rzh5LocuWihuv52E
rzY260/Owtc4V54jhwE+iKY+ZgOJ56BqwZxgjAi+5ilcHEuU46PfYm5wzYX8PaT++XO/WlMRjSUv
kjcY9XU1TOvMAgc24p2Zypv2L48Ups9z5ggTOh2n7ts2mMK/1ahhrJ9BZnTfaiQQn1rskx+sAXcn
B3GMHY7ys2tZ+ZxBh9rTt3RVxmuW8vWu4pSOFNszrqac1K93WnQ/pME/P+4mAwfaWjA2MRHjKH7T
3qR21hK3TOxnXzVpu2m5/Y+JiWhwOy2ucS092bg7JNrLJwGh4paWhblf9ZEyrzWcYT+pZLgUSyo5
Z6+2ycbL7H6n2YF/3Q2MDHBQCnmgH+B+mvsSB06FPZmOZDfea0EW7JzOZe5WtBXlGiub1kY5g0KD
hQA1MlLF5ebcjtrRXYcJNna59MF+5vOnuoJkADI8c0+YPTB0kAgB/lim1KqZmtciVByBu2gZnYZM
LEKETyi7zQc4zIqnyxv7ey/ThypeLaxQCMhI9fW77rrP0qqOexInSYssqTPCZMrL00LZs0SKmzms
uk2aCucPRbZIz+yQLoKjbgXns5LDKEvHfmLe/dBO+fDOg/TDofbqx/ohcmXKew6oRdL4ZiJjOZ0u
VJAY33S91b+U+mTsQNpD6PcGcahS2e39JKtOdgHGPmtt7aErA7Vb3Lq/MLLS3BWjd45qkWvFsmVr
MN6Habsq4ux1rF5Xq967m0LUGK8L32i309hQsrGWcSzCycjLh0kjMbEtIJ07Kpl18TzkFFWCaY8j
O3XBqiA2TAjseBKOuf/90vzLXomA8ywyOZvvXeRVP8xSP7W7V29VTd1ZyZeygPazSYY0vZGSecG2
aMX8Isqpf9JwnTxZ2CyI1ZygCsWNURl3nEA0zG+BPR6TmpN1nPhzoW8xOOhdpBaju9U7D0Z9q0lx
ndh+dlvw+F5pTV1+1yrN+KIqXd2A/dEvznuD3NLqMt+ZNCCHYa9/9fPi5WfgRlPa4y+mr69rAQnE
eS3seXi24bR8pk2fXbDPYrZz6Bc+Tt3in0YDCUFUmEMJpRjkOfly7VxdGaNCL5kas3sPzWgkHAWi
S4chrJxv6sLwPzn86XtDOYkfgoCS7rZZBvvjkAflRxet6MVAH4263raHj61FqyT0FuwxTtoOewcH
1YvUhmWb+2LYEvNjRsyPs3SPk2JQG92t9K+KQm+OndTorHs6HDVxZUJMNxSxpBAU/RDcI6WYjaOP
mr9HmAza++vAbb7Yc21916YxJVNgcCDdVt487U262TN4qEWKsAzMcQKUXLt4FIz8xpG5U21Wc85u
ROZZR0J6jachqNVlpmRzJ7pgOTn0img5EZzyciZZxyQHlCxgMzuRTt14zPVWu+kXYV+WHrLTsMaG
9zhNJdFXDb2Hq7wBSA4NIRUvOaTTbzSQmk/DYhluCK7TN8JFSMr4kZP35VS1xYu19j6oJ6udjc2a
eYJQgsDV+21P2pe3a5aaktuaO3+553Qw4R+cRQ9t1q6c5MopneF6LJMJpaAzW/drnTg0RbxcmdcJ
koTxVsGTNoG5Qk/0tykHAJnCb1desxsKJsYpObkWZ5GkcoIXs+6ns9ey5V3Obak/TcQTYHLy3OoK
OLy2o2PvTozp58bdLG5XXxvrgt+XzNslmkH+33rGSMpJNhc3wpt1IyTmpyHoczYUynEZODKyq6Rv
I3+ezCLi9GuUeB+T8bTidjifGUYOiqwvc7drjNavdqxEhr8b0BvYId+Y/2kKnDaJEgQNRTxrfquH
7dJ0FTlZ9XjNEudeehp94wszbxr7Imsbs3qs7YBAYGPIqnorCkM74k0HrRTmXQe4opkLeQ31RQAL
b/OBBnPQ5l+k6dOVzKdhwdpTTdmJ9k7w1XSn7GomJnS/WjK1tmg8/KMIUtXtSoLhyh3e7GLdVmng
7QfiUW5cf6RBOdoqaTHMdDI5QDIKiAdZMk1GnZ8U42ZRcNM3c9sjkhhSUUyRnXjwSEbHRZU6cST8
QmOqvNfX8UxQ6WmSlWqhPUGog91uTdosH3m01nlflGeatbDS6lKNC06GrG6p2jSEy9tJTqIPef4Z
bPRrCftEsVdf9Y7jl5di4gjpKs/8wKQDA5NFIPc2kx2Qmka0p3U0lBu7Vurf+7hu6GAZqXnnlihl
QiXzke5AqW5TYm4++EbmXRjyfFIbWtEVYa5cUAfSd0g2Skl3ymh4+NlJ51RIrwp005E8Qovi2LAu
dH3y1HZkiYj5nMNFqtapQVs9m7esYGc3cG6PT2aZIWr2FZ9mrhjanN+o9SoTqZhpzJSExs9WW59W
JknpLnHHWqfXNVWnaly9D1mmzGNezKX1watbcUknbNU32UILj377nE/xWNXiMZjXCR4GdcBlhyIc
5lXS1N9yfRinDaxsf46U2ZUqVBWBB8acM0FBt3RRoVbII6+t9HyfAOF4TpvJOxWmcjelYEAcK3MQ
LLF2m09YCdeyDss0EBPLQaVekJ+oQ18EqL+srn3OZlE/JIZi3x0zKX26S1hzY3NeA8LRUd7epxqY
rYjKBr+pmrOvw+zW2zktJzJdkEIfBzetqqgKGuZ/WTHvpF9rLy5lVb6pgz4HQmP4xWe9Hn8kXQDs
ko2WcjwWZOncQovsEsZxSX07GtXwBPBKbbLKSu+WfECV37sqfVjWuT02Hf2YeO4TAqn9jgbZRi+1
BbLN4HUvHk/VEBONYRRR42RG8MianlunqStqfUdGsuLUz3S/vrG1fqY5pRidbhPfGdLjMGauFlX4
pFk8S9Nso1IjWWObNdNk0u/VRLW30Pw4bLcu5hjETWThlWI2P01GNivGYl1AYGyTL16BqUEmJ61s
KmjdxL3ddQokLAWdmm5l3fBglpW0PujoGaYtGK0OoophVOOFNbD2d2niPTNMyK9aSRc3zBOKjA0D
UAuQnaNc8kAyzeiuaFPJi97g0BIKQxV0auwgu4EdIOpb0yMR/AXNHf0DyTo4bAkD8ZoDu8eaf2Hk
j0od+Vvx0bFqu2Rxb8Zp36XlbMZlOdmfh8Gb82uUztW9MMnyi+uur7KYgJ3iu1tIOzj1JPsQ3m4w
vdpykEPSMA2QELGpmvaTKMryoUOzWGxJIHbyKBu6rIpU3cIWlEJzEZEla7qv1NkHQjk2uR/pPHRg
Q+bEW46wEw3zVHu9Vh5SCmooQbw3RGXg4qbT6ctkinP4Wbups/yPui5nCo/B3Vq8FHQ1C2cktAUA
DEQePxk0Rga9w0zKboUTlvnQ3Gu+1X0w8mW9k/oy0KpNvc7Y0ABLygst0RFG1P48tGE1T+W5k5hr
c1irqfrqeYqBGnks5k1Q5s4nwjIx50KI08XltJjMd1oaOkvojUkNl1V3gjsE5QzHfLmKD0CS2juL
NZpjQoOx0J2W+kPuJcwGusYCDyeI1MLJLPPygp9Iv2r1Sncu62ViUJ2aY2Nth3PJHPlmtrqPo5ek
dCtaDrF2tVb7TE3qQuRrbm5GJ8uzR5FAu92NLRt0yGIuxKPg5PyxOEv3Io+49GaTFOtUxvgWxA0d
5P5b6XCECqfSYXzHZDV7GkY/B/JfuznSjawwjoYwswtrkcat08IXY3m07e9pmSu8/aVWXRRanX/V
9azswrM0i5+AQjfUG4biiGuQfIRYuVg3LEusdKZzNtZSKHTOOhTBbZDD0yGW2SsWJpZp99kFh0D7
Pq/pEWtjS1cId6gZjk2A64KlO/3oDXPxSeiV8bGrRvdBQeRRl3jg3SPBFUm1cyZtgbDgCTffOExp
VGQHZYerZzTVCR5CZ8WpEuspYBT/UDkdYx4MnirWeRzExsqMzNnm9I+0LYXGSJQQgMjQMcuZ2Ktm
xTwIiqT4GOCY2OVMarRN4M9044IsvbJo1DzwbDDZ5qdsj0JbCNIM3NrhDqwqu/fbafiQ6tlydAjj
08PJ04p5s8jevl2baXmYl+axSJkPBT7RXaFq/IkgMH0QXjxNwXSnzZNz10N6I32BdhHJAP3YHlWt
iiZM7J6vmVkA/5qJc45JP812uXSR97YiWV4kmWrutp4q2/9QNGufb6q0HGO8v+WpqQbrctTLbN2Y
YBb4relobVdLpN8aa6E2+3Fs+h8J+n8i2vnpBPmL2eEmV1+f8775j4M8y9Dlax06f/RfOnTThpBu
AjeFi48M/d/GBw0c2V+AqPEunTMg3R8A6/8tRLf+whLhQkhCvQ568Myn+pcS3XRAWHO6oPFzpjgB
lHpjc/id7YFP9tOx0AFNRpgs2d7ol2hKksn++lhIUkDHTKRZT87capuaVpfepwi4KFhiUmzfIzK9
FZRzPbrRZ742XWmD+LA3x9DerufcCDLzpBXtEmpa9t10+mNQ0QCfzM+6UbWEXapipyU3df2Egx6R
dme+5x5649/ntpG2oUhENkYDzUPe9vq227UmAVu27UmwDXSryaS5oS9q1HN22clndvtkZ+UZ3T4b
akLfO99TOX1ocCbHnKGdU+PJ26HF+04pcI8eJAdabRt3pp3sVaEzysIZFXe91W9GRWSkSsf8sH4y
XbFSakztO1hFMiDe/oy0+QHcn/HLZ3HqWxEohRjj0rkzjzU1dBYNPUL20PrqALPP5dY+z+H2dnVh
sy8DtFH7St7mFGg3gTgUTHftvaNF7ktLwBXTop0Uz9LnFLyh5GHAwf126P3ksT0u7VWRb32Iqor8
NUyFMFhjZ5Me3C62vCjFpxmEyFUo691ma35zSqgmWxdd04k1TTT77NH4DJeZc2tOmMZytMkU7Q5t
FS3XQfPgks9ntV8b48J194N3ANfqNHGyB+fsCfKN42AkH2xnYGf3d1a/rbN4GKLVi5F2zs6WU/OC
3c+OMhKd8ljcDTd9unX9sLoVH71P1ifm2wvtB0IoQ13iU9/W8rH0w6CIW2g38IOuxq27+5IiaQHd
EhqP7a32GPihHkS6u53rbaKxyH+d1WY0qRiOqxUpeLhhl0S0pepLESefO33vBFSK4ULRUu9QhTlG
aB6Lo3dwYu9D50fAcpMXCaqU5uActpfpF34154Pkror94kUd4ox75mG7ZGfvsl0B2viYP66oeJf9
iiKsDYPr6WGbHIOr4TI5LV7o3LeXaltdzU+BEdrHpolUGo/APL8QYeBHy0W/dQ7JHUXYXIQlCYPi
SA9+nnfWzaixD4YBOomwvA4+VTvtav1Uf2mOvrOrRUzAMtCsyNxN3wvAvLfV1RQFV8Eh2+ixxFQX
ic/Lwd/OD9AxIyjsG+7xUPJOUbNvSiiCddjWkfhefA/msPjeoAzRD6MfOReMarbtJcMBXr71pjja
bcwX+qnZcV45dCoWRTRsjaj8Vh7ap6XYBXf+1boLjuNmOgQv46k6Bbc06bUlqk7rM69tv0lpcjCf
5hB7Y2ya2+YW0FQwxLMN/yEq2IDhaVA//B3y9T+b4H+y//x2E3wWw/N/nN1YuyFvXp5fbYLnP/q3
+c8J/oKvRB8dhfrZ/cei/7cXy9b/AtlO/QxfzOEf+C//2gL5Lx7WTjZOdkIvoAhi7/rXHmgYf7ms
dPiwmHhAZQiMP9kE+WQ/bYJnP5dH94jAEf6HOBDfstjhiOnaDGfnSgJdoLsPwOl7Q1ds/9OXc/Pf
zdafrUuvW7A/LuNg90JQTTGAs/7NplMna6tVUvhXGjqDjxZUsdjuFUgw+vuPqWbYj63SzINl1Poj
wwf3nUznX+8yAIYIrUbHuECb/40RRGuDXsLoT4+NvqqdUfp1XM/T3e/v8Z8u4p6j9c5oHDAVb0Y+
me6pivo/O9IqTyIN+yQ8wf69MuL1dvfDgHdOmwGbz4Cav58/xU/Nem1dUqYheXbUSdAk9bKpN6u/
EiKPsi3+8xtCb3em353Nf/obGTdKaB5rRDDHYimGr0Hra+iuz5DwP79MgNMVkQPQg+AH4fWnO1KZ
7yzBwB3RPKOJMtGSqpxSvUMPeevfPjsXKbrOxhWyepAFvFEE5Pi8NGOEFZUGLXuA1RKGZunngHHz
ZZIz0aaMQjfMDn1GdFkL9QFlYl+7wZ8/i7Tr8F+aFu1l623CH3nDdqJNCAcz6Q0XmQ9cHdfe31bs
r/P/Sl/af3jhXhe3Px4T/J0YzaC6Ycl6izljxl0nM5Gax67Uv00ewt7AFbcO2vhwMWf3z58UoFM8
JyxVVGjemydl4Dvv88Blrx7sga2c7mUt6VP//kH5h0efUCMdgx6PPm/ymwI66fPRpQ1fHK11TnYz
EvG4q5eXCZ1N9Psr/fIqn70VSJXRdaK14FKvX7K67A3yVYv6qJoyoUnAw7NH/mi8s2L88iPhWmI2
hdf0zPTBFfb6Mony69L3BCsG0oTYTevym5sKFbpD7d/SxB//9GfiepBhzj+QwbP39nqLYcmpl1l+
TFbOONlZYIcRrd786ZcHDhYAGU5Hj+/xvHf9vEJ1TPw7vyBxGbCIcUCqMkatKK13rvLr+3ymzvK8
cZ5hkwSE8PoyAP3p5HlJfRQuckW6o3pcmN38jUzrYJup1Lxe1vGW6bP8Dq6ovU5oRkXtip7sT2/X
IUseeIKOD5LV682zwtBgQafeZEc7s5dNNmjfEo3s5z++COuwCSIA3AM3/OZJIXmwHbqcFyxI1LBJ
mj6PF4+Dx//fVd7cCsq6RFbWkh2VWQZRZtoztn6/f+cqvz71oAl5uag7OLrBuHn9wy0EQXlj1tZH
vHfdXsNmtnVJMjiQarzEJXqX/w4R+z8uhb8sG2xhbC+8Xz+OiD+suT/tL3rrTz4NJRLAa1R4lpWN
SUjHTj3QuESF+qdfIVsZyyDWJ1oYAEte35wGwxVbk2iPLvnVl0oliPLGqrr+f7gKiRe8yOeV423r
wiqXeVREUB+ZNcHXqfEHyqV8zwL/6xfHvZwhixSvvM9vizY/awqhGU57RKbgi2g0taFm4iMxHy1K
5enh9zd1Xr7/PaZny0J7YNCRAeaDeQz40euvzkNZL8e1FEdiRwwfdSf+iwrnRLKt/dU/peiVvi3a
4B5noSHl/v3Ff30oKUCos3VkdSCr314cX6XdWrPXHVvoPk1ckiifhlXTF58yxjqfs0ov3suy+eXr
pdrBQMgSRt4al33zTpvosmWX1vKYzg7NXmZkN2tQkAqQGM47z8s/XQqrMfUvUHCXYu71V2t5ae40
Q6uofYzpBcqOfuxma9rNo/Z3ZN///dsGtwQsKH09i9eAiN/Xl5oWMAJGU43H9SzdtqU37eoByW7K
oOrpD38zKo4zCo7jE3pCFIKvLwXzobc1px+OvV8jHeKHupjmTotWX1N7G8f9O5XbP3yLZ8YntkYK
EJeW5uvrpS18RaIBhqNmckMSrWDc9M1ES2H29r+/tV/ehfOtneFOFAUcDt9K23j8+lkvh+FIFWQ8
T6jOIy0leHZGynGi7w3aqQ3wHnh16ryzXJ7v4tVreL40BSG4GpqilHOv7xIodIngwxgYaTX6tsO/
/rmxsvUdWOm5ufq7q7z57dwu79IBGsXRqvVP8PbnjWnnwb7W2uS+INUuWpNi+tP68cedUV/jjHJ4
Ot9sPFbD+MZMuObkl15s59oTxOZ+QxZz+k5N8I9Pig89kaM91J+35mbXBG9tKW84BqJeo9bKyaRy
aisiyvu98uMfL8UaTROdbjlq59c/V4NOaYRSPRzXaWxxuej6k57o60Uu7fcAs2862KzQfHF0Cs7J
hTSzrR+CzJ92Umm6pAzm5ojcqEtynBV+cVo1t7zAnJ8e9WE2m/0sPAcxbh4kqKvT2nxBht1cd31p
3PaZ826Mzz88rT7vvwVijfx3to7Xty/0udPZDMfjMmEhW5PJvrDHPHlna/qnq8DEOeuWYeD88nuu
+aqpVXGVdaySUOuIWSspPze/f+l/2YPOz+V5GEFbh83ojJD6uXBGGqSGxXSmo4n5IsrZBnd6X3QH
4vK6p0HK4o/XMwYACFR1xhLg3Pzzo/XTzzktQSY1pa/HqcA7i4Okjzw4KNFqkO38p7fGQ0PkBYcC
zgT87fWl8O017UqUybHQe5atWkrTQItDHyPWusnDr13MdRn9/qK/LqI2sxaKCThDgEl+BG7/dH+p
VycdFrXgaA8zILvCQOK20wjV7A9Iqs5j91E1400VWGV7rGi4eO98gF8XubPy8Nx1oq4hs+v8g//0
AYaM6TruU+3o+r1/MXnCuF5qTe4w7J9pL1Kb7Rj3Gma039/4r48rpRRHV5JkWMc99/y5frou6b4J
Xao2Oa48ZZsGLTbu1CR7Z4/69Srn3YFOBlmv9Nbergb4IJbZbf0EjZJat4ttZhuP0fg7Tw5tQj7t
q62CMFs4VrpxfikCZNVv7kZoNtlIgXndjXxht7M3A76R/uT4t2kAW2Z7bpKieOkw9F2lQW/aF3Xf
tAzpCxEwuCg6Ad+yNmo5bdZk1V2FjalCHUfEjxiKkxwsGiKWPenagYKmt2KnL1BBgyqYi9gZxuRB
cxuNNs0CE3RfItgw437UWn5II+2ZWneik/HAdG9G1jv5ZKAGyCM/98VaL5FI6vWxasy8vCkBE/eR
mQvpXjak3uDMgLkoWnQdQ4AxVsC03PYjBMrnvBwntbVGxmo32aAwa5aFI787sifpArilll01rU9+
idkEg7odqlR0MT76WuE1Qzm6t1Stl7BiBvmU1qvnxTXW9/TK93H2M/6A1BnCaGFGkVXo8K5ywjqu
dH2uHhTpJ9amoEOV37uLk7OnUDU/zyghzVNW4uW6zmQ142xrVv+zpK30qJk0sHZrQNTMVgI7SHcr
OP/hsSq7Uruai7nwDshaUq3F8pYkxm0xIZ1hOgJh/Hq1R23a6ixVz5a9YKLP6sZn8NHItouTmZjc
fecJtJ1dlbekthcEvJyzJWx1GO0Cz2+DZsDfJqY2f9DG2ahiAZrqqVe1wPSEibbdSJutitmTZddx
GiT5s0CjfnaiO1CYFJ3cg6bSsogNVM8yFHONP7IuE/klmUz3Tk0zjUHKyTG/0hXprRshbMYwqvLX
iBBf3Pm54tSwSzLMyvFKTId91JrRmbbl6qG1CgOcbs0mo1HhXdeW5irSkKvB+8J+iLtWK70hxfuC
jsPf4Oax8qjVgvaLu/ryi9u3wow0VVbD1pZTWt6WfW7OqPFr3fw8047LXuCPTuZeQ/DR7qpEr+Rm
HjPhgYFyMwQQMPqdLfGzlX5ITDrXWwnA0oj8oPTwtdCsK9cN6ZbdfMHUWLqHUlmOZoVO5Q9Mj4KR
zKxGdZYekzipVbFc0TxHslSlunQrD8PMiPJu+AzMqpPbYJos6DalhTQDLpOYLiSqFynDxXLm5tJ3
JqZtnebwuBejrPNLXIBVeYSOoYxvU4JSRmwKv8jEcZgrh0wOiWeA/QIn1kHBA853aM6F9oxysW1C
4QXVSHaU3lY7LE8B+Iu0cm+ZImR+FuU0fPXQTbrUObgM3tOtV4m2361DosQhL/nDRBb7OarnXg3M
89SU6RfslDZ6TpC1TExB9SSbacCU46JWdENvYrhxLftelaE7+434XMxdRsuOsUPfPGANd5NvK7LE
9GnhlDT1ISrMWcQYm0CxHsRauhZde3+25LOoOkfdlbztyxXJLrqzK72avrcSFn0DMGQA0voYy678
Npiz5LFoilZnzdrqTSPd7GJ1rAU44/Q9TbQvc0afrTQqZYZqEHg8TOMlM5xPqveu0yCrYlc4H5C9
8rwlmExl7+gbDD71dznMzRYF0hAH9OHDBnZbreFqww3VDzup5Gk1zcdG2jxKOfnOojCvFewxRq9r
CcCNEiXM6alfDIPY1djG8TLQZdYhgoVWkopT0hnTNlhtOyyIAMNTQISqaSyY9eesu8VBwMBzXZlU
Y8DMBe7wAUnR3h/a5pTktOu0xfk+p/2E3NI9Fn06RMCxtLu6a+1DZQbXVpM0m5EMlf1qWF+WbJzi
0tOuLEfJjd80YuvQydpBfkpj65xCs1hzE6KbHJ9cS+09vxBbH13m/TC1VwEK5c28kIicr0Wxp6Ad
gS2YN6tNBPigGmO3jCWZTYl3/tcNdIW13/lykddVg9tMuGm2sd0G66xRf7Zqx2DSvtx2+NsjbXTk
ds4RzdLoSJ/wjJZxMy9P0jBps5n6RMKwbl64WdXs+q7Yrn6NHJXJ/pQkewACqKKB2nczrri+RmSy
NwYLgWvvAitBZ2ipqf0gVNppMaaDob2Z6iJY96oq7eoWCosTRFqXG9oF62QwXLgk0+T7PiWfIXKB
B8JdwsbaYGJu1vkGh7PnELR4JmVFhZ430wsi4Hb8XuaLOd7BAk7VCUzPSvedTom1E72WmS+1qdcL
pm3hrOv90sBiWBE1pnK86Azd77+CBNf7G73FGQevPjGLjRRDFVzUC4j+MEC2eafxnHu7alqtZWcU
Q13vjcLgyDbSNnLgTVdp+73uamyLUcZeW/hxvQROgM92mq2rJPXsr4A88uA5YZFGti31bti4TZFi
mWp8ZG8o/nJl7QtEMnQbeaMcgQ3RMcEVJB42cghB7tNYacN0xe7lIRbMyNKKNTMtT62cg35DowpK
qifH4AGEjs+Gq8n2WwDgy0RZiBHjMqjliiG9dWtUNPPkOxvaErW9R1gf6JBUVxFEQVZ7/GymnnFa
Ai7+vVEJfKmpdiDTDVSk1WaqivzzOVyrx7zrdA2W3iG7yDBFoz/sLGQe5uIj2++mSr+ZB2UFxOsM
+K7AaWj2vQ3J5WtXo5+NoLBY+VUHQYxt0GejjvHGDzopOw0aaL+BRRDzvVC8Lf5sC44BqfiGSigx
4rYeVhHO6cJcDFO97d40c732+yBfcqOJZg2lN9FiWbDs+gSKwlU/ZzrShrY3rPmKtPqUpjimbzeu
zd7QDv5MGlWk95aFaXskvStcVVcpO6yrOZAxDTAjncOhK9jAEB06t10/F2mUGgMelICWDzsz6OLr
rKZsi9vOkfbdAImgv+m7qgCNnsMrjAtrQg7Dsi7bUyBQ4MOHmgIO/Rjjun1uTEaym7x2Mi+8Phs1
iMhiJiKr0wUiFse9yQixRgpmTjLA548ba1NR5H+myj/DLHglOdCbVkEiaKaja57TEf99nlXmumOz
cIpIDWU5zqGFdldhzUycZodGSblRO2YJJnnYjFU0jgQYkBNaoudlZwbpYM2SOl3ziz7bwicDflp5
Y4XIXWJX1C8ZjU1LGGh0+rY9K9d3AAJFDjGrz6GvAOmQvZhBE4zzuZbI+lmQJS1KLYnsuT0rpXOH
p8YBeKTdNVZHeAEBW+wLCLhHQIfSkCwTbC2CyJWmEt+cc6F5GFH+Ep6dZ8WZCwH1YIpNXtNp17WG
tRwNRJrtVqyNte4SprfDzqxH6C92U6g6qosahH4/wT44BIRtPuQeyQFInVrvQ7PqOajFtuvanT8k
wbc8N8wilL0JBnZV5M+GvVjTZ9omXbNfqOmbbVWUpgytVBV9+PtT0y+nNRpueDUDFlWQb7S+Xp8z
6NfnvpGP2anJ3PSE9Q0N+WI012xkyaY2FRQVe8BM9Pur/tK/+XFVVHkUfwwd345OKerLvl2G7AS1
qTn0TpNvinz24q7V3rvBX/oL50uhqKTBQGeRvuLrG6SBbhhCrdkJrxEsGE0vjwuEaWRja2JGvdnm
74jzfjkhckGaJhbRLxh8UZe8vqCXGvTiwPmdMKN5Tymihk94Bdt32ib/eBUmtS4qU3IA/DenXb2b
BzFbHhjZ1ezkXnOEm1z/F2ln1iO3kWzhX0SA+/JaWy9SU5bakqx5IWxZ4r7v/PX3yx7gXlWSKKJ0
xw/GjMfKymRkZCwnzvFmGG52qnpbC4nyr8rQMa3HFe+6bQ4NuO/Yry00gPQMUVhjTpqH+w2CtJp5
TOqUMCNKh1Yx/wmhVBv7YFbCRw8YApFmUrwITtydOsGWQWAOCHyLNjR9iOvvkzUzwfo4xlBJNZ+6
zMNNFALtaPbfaO/+9Rv7wu6Yw+RuUX+9XixBQLwB6RH7RZuZH9RwhGWinZqjMet7hfrND0U9C55k
8blkqEeRFRlCwHAaEBCGPLLNELRfFGjEhj9v72lzIYqvdDpwG5Tqr/eUmTEjfJ0Z+wGjOqQaimN/
MdAS737DxAVWAAQT5WT0aKR1eBVgUkwSPy/T/qszQyB4KpcqK+4t6cArQR8MSnnKdbTipILVUheB
vqDu5TuR1Z/CSNMvs+NGr/eeGo1VBw5r6HLEV5JWabto5jWtU99tpul9Vg/qe4Qgsx3Az9qxQt5N
tQgedAgzbVkgJIPJdFK9wXnpmTg7BgBljgRBNQMJmX7357leSqpQqW02uNU8O3S0e+2lhl3wA82p
PR3vDWMT7TvAhJRSKdtKFwiinhzxxNF7qRLFeap7JoYQv9jT11kfG/ACeqDYANaG4tS1qTFrZ5pa
1oR+NaAROpc53OctgiHTIau95Mu9lmAYFg+fByZFkDhIluAMjp72uRf6ShaqzYcCjGD+QovXvNxe
Z+Npv1pH2tRiL7kXKXnkd/rgMoijnLX2B+qT4L8Da7m07i739NYxAguhc+7h8zC/62Nk0saNRQDu
u7OZ9Uc9HfNnA4RH/Dhac/T99vY2LAPqbYhhIJU2gPeLH/NLvXfWx0RJGcnxoT7WfEfrUocoeap+
3l5mvSfKxUDKYFqGlZLxietlhCASHJNG6qMqC/d7PCAO1Jfk+pmyDMf/31qiKPzLlhI3cxXIV1If
QoDlI5hS81S2KvOlGXOrt5dan54oKzOoDbE+CJE3BbBfluqp9gXhNMV+lxvBFwoD2oX+qnNvswWO
CdGlo03Fd1o1I3K7MswmzhMfjo/WOWswd/afENFKBkglF9e4t2MlluNTAe21gKLIzkINtNCxeoMo
YhypCExTe+y03t4JXkUsclWaR46AurzJyyQQX7JsvS7q/VbPQxsgAkUyCIykxilZw2OjuuX73h2T
9/BFKb5plhPVDy13g52fsGGULocKFNYQLWtPMhSrTagDzXXiOy0lc1K2hSFjRF7Lr0h/mu7ptq2I
P221YcQgRNeDAE2VPD1cl9UYKU3imz0sxGRBNDkFYaXJaOuznfTdu7Bo9cfGo+N7e+UNK4UuW7R0
iHDFf64vRDzEsQc5S+JDAckwSA3lZT/q846Vbq2CQixYNuBLyEtJnsRyp1SFGS/xYzCPX201ifIT
/2Mc7lxv4djlc4QY2hbHSMtTNpyAUkdgTZwjQp/Lq92Z1WvihAxRBGRdFfVfb2fBLTMhgOLuoVcA
9FF6aXJnHpdwVGK/agHczq6CFFKreM8d42avt7+U+BKrveGEbfGKMvUlBfAMWCZ1YgZIPoct47ym
G4IdfWF0U/2C9vBwSiCd/p3diQ9GVGULNOm1cYxU45EqixOGmTXzwgRX8ewok3JoDKfd8ZZbN4Bu
JgG8jddlkux6qSbuwG1M+LE+7rJXO6qzdyh3589jB3f1gAKZJZjwvGeUCPe08Ta/IXRPYqOUQxyp
iTxRFjctL0j8SbPb/xhelzAx0C5dRXOBwbmdq7BpoghOqhbmCceU5FiiKIdWgTV8t3e1IxI01Sla
0vRcQHz5zlYX89tvmM0v60lmk1cNhS3qXn4+zibd+OxH2CtMdU9J8kzjKn+vwd6wg8LZOlFmLUES
Qh9FqimdqFFk0egporIZBPO7IIlc2BaivhC0hKq+4zvfJvHki/HrapLpUHaiuwWduq81bWWepqLu
DzT/gj+SHv6FIikieooUgufO7Z1D6xjFV8ZG9iILWa9EPIsu7WTiJKRBLMZQry3YC6LFG2OHl3gc
qXgWmVP8W6cR9aTOgaqV3mI4ZMcCKgibFlY5fmwsPfgD9uPwMa+M5Glq1OUcQY1a7bj4LcehI1XC
MyaUVDzJR7luO9pBoib+DB0LsqLJ2F4KZLwhgK5hJoLM0fmHx77aqdJsGoFJBMW/KxAokuEBTQiC
vqcR3lv0esrC+LIkgXquM1vZ8R1brwv5GFGWgNeDELw+eei9m8Dt8B3GRHNoCIrkZKMVerl9kbY8
FMUt2rZvoYmMF+jKNi3afk78EuCMr0Z2+5pFAzLN5pij1dh574zA7B61OgjvhVkKy7LAJMLDRslL
Jn0zm1SFTFVL/NRLLciCFyTR9cF4BnOyp38pPop8lwCUIKlsiZGjFYga5eyYMDz14X36kXuYatfW
y4+2NvRv1P7mhwjVx2+lW+Y/6Hm2OxjBzTtkEP4wOgaQ23obMv4lZs7UsOafBKnfkBM8KEreMcoC
MWB01GFgek2ruPvq5NDHHOpR+3fKrW9zMZiXyu2N10ZV6P5G1rjseNCtD88UigVGBJwW8szX5pXO
c0PpmBBJLQ2Kp42mLZegWrq/9XEeKNVlxX/oKrSfFE23dw5kc2khHsA9Aq0iR2eoSQ1eqQKHc8pg
hKM8QanpUCb0yU5NrqKOpRgWjV9NRZ/3lOWe1+9crS3fAcsp4rhM9IE+ly6xYgQRyUCb+PqSah9q
oBWfmS9KXrRJCU8tkgIPXjQY807csfVGguFndoUSorjT1yfu1clE9a1K/KwwocuySrMUzatI+TBQ
KX8yCk3ZudxbzgpiAOptnDbRh/Qqh3M0pXS0Er8xtBotipxR9FM2KVZwcOIs24t2to7V1CmR0hgA
SSajmYclUHM383iyosZlnbH+p01DwZQNWcllhNDiZ0Sm9eW2B9s8VqYlBWWdgQqd9EIxLdPbMUOS
fj9M9FMXuBNpmdNzfRADkv0Fxpz28+0lt85VwLZFFZiQVT7XCU27OWEC1O8no/jgROE0n6BSG5jO
Dsz0428sZjGZJloedCsls4lDF3LEoiO5t5rsi9WDDryUU5z90yBUGp1vL7ZGreKVWUy1KWd54PGk
05y8Aq4ul9NsS/IYBR55evFjeKYjuxxtDS6xzNQ+xmpbnBwo3U6IbND+CWEaPyhTtNeEEXuTHTeg
PF4IUFMUG+SQi3JY78R5Su+1h/457zo/LSOKk8Q7rm+kU/2h71M4nQz6ru8tlybATpixnpwSByLU
l0QZgk8t3aGa8aHaUvgJjSA897RWhaNysOZTAuv0h8pFN+O4RLAMap35Xokd7aBGWs9gwjju5YFb
fhOENH0gUjIKteIm/PKOIBsWoeLbpD4Ece6FwhVEaOYS1u96iOYvPezm32EyzF6qsrT37EJ8d/lL
iKlgsBKo9aziwLbp5zBT0swvUH4p0XJUzL86N+n/UjoraY5I6LQPxtCj37GMVVcds6KeLMC/TFLv
OLUtL0M2RRWDaRAMVbIJRFURXVz61Nf6GXhf3NBfOsIQTwt6man4X7o0DH4qSqYuO7Hf1soODTrY
QFDYWjUWOvYFq1kCjQD/FxgtqkKNzr3SmZ+yHmgCFExjCQlGN++VzLf8DRPFouUJDwyys9cf3py8
cjbRIfAzq4Rnc6oh9lOL+tOgx85O3rG1R2Y4MTECM7YqpR2KvUQxUA7aDYDbL8HUFUeKWvYTuF/l
XZtHX5JiUHfOdXt7/7emFOm2lgsssCpSqPyGGJqt8BNYguJdUFb50233tvVWULWkZw3ZMJh88Ut+
uUElEL9aBW3gB6i0TIdRT+floS76HrosvUAIcOyVZifa2VyTYUSPAg6AbtmBwO7GiNJcpf5Y0I4/
mN0C1yE3nOmp1PDO5eDsPftbfoKAUgRXqNBaco0Wfu++Tg099acY3BpEZSYMj0VQP+p6ar8b0cSA
lIVX8qR4zV7zbdN+iKgoq4ho2xD//JcTjgbQW+jWpL4SNs+lGvg2km5HJKE+KnHQnuZ8r86xmSjD
F/G/K0oOGjWlTINIF0orHfysSeh1aqs6gAEYRU+n7YbT4hTfcn3yHvRuWB7iqN8TLN1K1eAGogXI
aAWAR+l+UrMFDFthVnpeWA+xB5s0yl7DTo1l87OKwbQ3VAJVx+ujzZbIWOq8Tf2ocNKLRW3/0KIS
C/3SEL2HBC66DN3sVjCdgL29fW82b+gvS0tfFVkeEqhAo5lBd1g5eHYWfa5dMI8H1REg4turbR6n
YB0QlwYAgfRF0RAZGrPNMn9WlsA5uMNAZFXV47RX3djaFkA5gZQHpYB27PWJ6h0FeS0WiZlbaeUh
sa2pA/yr5RQUGtitd2KJzeWIxukJmTbFacn7VOgcxmjSYqk2HQekXrP6KyDY9qdiB32280xuHSK5
nWhNi06NIYWN2ZRESrEouLo+q04teP3jUk7Rjk1ubsnFu2H1tE/kIXkmA9oy9OLM7+hpqEczAhv7
gFxv9zq2UPz/RgZFKMgkPDNMEHtIwanS0iX3+ibz+9JIXzuzm781hhf9BS2L6R5bSgi/UWUiYYMb
QmPwh1xVCjaCQitgtlgy33IUhxg/rx4GrwOLmAFNP5bRbP5RB+38ePsCbJyqx5wryQwFeOS0pZsO
Q3bmGgXBlrkYggnVMTKah+DThEiYvpNfbEW4HtACkYyjbs947fUtwGMHdoNsJ+WJgrmNwW6fYzPL
nuq5mB/ssNERBgzy9wnIM2SUGjgwFSZV/8q0ttixpo2n0qNtgyXBIq2Th1z/ErsNFNTMrcxPBnOq
nvomAFEY5CpY0Qb5oj+7omn/c/uoN94r+IZEeZ6pLsxKupNNwcDCsMDpiyZl+49WhsysNLF6ztXB
+MDIV3ABAO8MO55g43JSthTzqtxNlQG26422kZDfnVQ+cIHiygk9uQ6MJCyg6fn29rZqT3g4Hd9G
wEqVT4qtGEJEz6Bocn9qZjM9a41HA87Wy+zz0pWky0D6k8dkqI/JYCVnwob8FNUhE9awrrwEGWz+
djEpf9z+VVvfWXTNLG4xMaY8crU0XlCTQec+4Cft3NVDnB0UrawfGKRRnxhGrb7dXnArSIAGURT/
TBLp1TCmHozdkC/4KSKg4Ig8oXdcKn1m0kEdxVSFeoT/HL41rwcVi95J8aeqpMXOtrdsDVdJ6Ek/
hkdAetfoLwEP8rjWlFWXP+N6+dtVsvlRMQfntQKvD082c6C3dy4sScrbIM0S3Xq0gxmhl564Kc1M
lOL7zHdzY/7Uh6q9vEMPt2mOHjWFEwRFX1NaUjNInz5E+Q7Fg+XL7Z+w9bUJByllM1dIU1/yodXI
YIk1cavTOQmdkz0VFtJapIc/nKYYunfe0lvlzkuxESvxpal9MUVJ2i5zWDWNEdmpaWd+q2TDZz1B
FDbIDPcJ2cn3zjxUJ7QUlMeIkcDL7c1ufWNqQsz6UUSBeEfKn6bJmg1U3HLf0YfyzBCX8qDCgfuk
ZWrN+ImSfBNKfjuGJYm7UN9zgaGRrNFrt3jz5elCBeb7rFOs3DeSuPxKwTcGNO6MX5qlHB9UI0S3
MJ7PwPfR8DOD8GTD6nSkrVM9oQkZoctWmg+oVyQ7gdym90HknOI+YTdlHMn7BKUS47fV3C9cxgjQ
xvFOQPPG+OiCCzgqGrNfgcGk0IDe2cnUWxqhMP8xBRocyxpGRE2Nkp23dcsaSU3IpgkjIKORftKc
zNWIYGbu02p2xgPCpprN6fRiEDFWG16aYS60nYPYuoWi9SAyav4u1yy0DtZo29NzX5kr7WLBVPrk
AZt5Yoy/vkwWuAHPVRCfyKcA2slqnPcMZMssLZ5UGvSEFKu0LIvHqCjoPPu2CeHEaezp1R0Gw2CU
AEw7dIlzZL1gXMeaKU94bCh+2wxgHnAszRGa7vo5aZv5ZzQBnDpMjVv+G3RhxeCSPmb/3r5B67eR
WyeyHNFx1Gk6Xr+NkAM1JlqNsd9XKLQdmZjQPhtZYy47N3UdZDHtK3qaeEcKnXIXIk0meFVEf62r
qdzN/FeLh7Dqy2ctcxhZvHtXTAsCFBRmx2KS2dVL7zGyYAPozUw7PNXIxC4PZhhDhn3/Qh5kUhDW
igBSxm6g8YwkZExn3E3BbxpBiTwfNfGdVdb+lRcFdl4smrFTupPXH0nRjZbdUmKgCV7GQMDcyj0B
JYl7eGuN6EuOag1TdC2AlUOteunw9+1dri8U69tUcAQAV4fU4Hp9OIMt4GGIIoG2gqaV6aXlXOiD
ilax0lTUIxk//t4qyJe887qubc+jUsKYevtHrC+VeFbfMKaagAGLH/lLraOO6ErEypj6TjxnSDxA
FUwjPi5Tbow2g3qq0SGc6kz/dnvdtQvjUQOAIIDU3BE5fIKfJiwJV0jtmkkPYLyNlvA8IckwP1g5
y5/QPqruR4WyKGhXk7yLzy6jHwooISt94os3cNH/S0lwOTqDNaBTYtTvSc7jv2pv8HY+88ZOAcDT
pKPZIoippNBBUUK76nsKn2h7I0Ucj64RHNOsYPTSmLyYcahMdXe+6oZfEDEp0SKU2uBEJdOCMHJZ
SkatfEZWJwj0C5LcB88j90NaTh938o+tHdLYEIhKHJ5pqJINUREoAzcnwbRHg3HhghmnxZ2Uz27b
jT4V925PGHFjf3Qh4Tk0LdwrAK/rFUvgFHblBZmv6Z1qPy2dWo/njhZM9QXOh+bu5xY9IAu8OGQd
lFzlLv9iJr0160bhG9lSnlR4FvwBGftjSDnrwaRT8fnuu0FhXiWnAC5HjVqKd+fJTQvXzZiGTezs
cekM45B7+vyjQIQSqRXmWfdc4YYXADsBNF8gvHRi7OvzVFAASuKlL3yGK3TlVE3BhwDyjkNuo4Zk
Db33zssgF9+x0o1XkhIBDpiqBOGfjMuhXhEBoF0KHwekf1YYmvunrqP56fZpbq4C8xYkoKDpV8xK
WhOaiDuphV9OZXlGZ2c4usq4FyZu3AHOjvEdzk9A8iSLhLm1qM16Qh1oIie+mDGYo8MYW4l+WXQ3
0i+tPmvpzgu2XhQMLFOB0PSQnDCPcv3ZjChEkrL1Ch+9WuuTEy3mqwHxwI8lCqzXrOxt63TvWTKl
RNYHUFRA3eVRpaQQXLSqUfq9bSvnvmJEPBg6ZaeXsrUtqFupvNOpgzdQssYiNM0ksl1WyR2mE/WM
SfAc0nKnhW29XXTj8hu7ElAOYCAi4JC+HbrJTufCFODbymi8RB0DmUY57zwD6yvGn2+K14e8Cvi5
5CQ7RaHT1qS1P2ZF8lwES3YOwmHgnc11ILdtPP0VhG6g7ZjI2lOKZSmfQIbLdIzcb60C8JqT4VU+
JCrDBytMtGfa45AC2EhsKPebB1AjuKIMEDGAQ6SDRIi+C3RUhvzGHr73Vd4/zOH9XDewSGJ54qZB
H7iyjprx8NkbxsZPegRp0Cyx6r/mlurf+bZVbFghobUH3SjY0zUj2xwUZphR1PJ1nZEy1IXDZ83V
f+pZVfiTUu3BvdfL4YGp4+tAbQGUyQ5kLk2IN9Jl9KMy/IbAnXNU1PajbcEf32Xz3iDgOvZ98/dv
MRi1YZnzLe/qQoXfYvK1UrHBrAVqdQzUpEvPPN/e+2LIIw82rzqvz2PhjXut+PVlwFkyQkV/j4eV
qs6143IL4P1FWs/ccMifC7f52mnLF4RdvGNtjR+KSq0vd35NHjXgjgLrQoGBxOx6xd4yGLmoPeUl
ahxG3yfzrOhQW0SFy/u2aPdGDG+rOVw7kA6cr+TBNLVlDq3SlJc409VHErSOMbS4Wx558O3qEOAf
dlZc3XOKzgR8b4mgTsNJOtF46tUyq8k4oXNb7BMCJ0qHFrLu/Nuo0WTt3I3Vm8pqvNsiaWJzxNLX
p0kjFlU9RUzQDDPCTlOvfDT7eQ90uLUnwZMP8TkXwpS7ztPYhAZeIPZH9OdOKepCJzd3lWclK8Z7
gwQ2JMbfuO+CFF9+crLISgp4khO/LqfqGTRPdp61Ud9po4uPcFXIZBWoNkU+R+CzGlPF2weDBR+T
31Ne+bMENAqXa5w09gH99KD4ZyziVM0QGwm18F1vBFN5cNJG9/bY7bYOljiWhhfHB1Wf8A6/JH2R
ogboqIGrp+wYlOder8v2BNWDNbygt9f/hrEA0SSexY9SVhS/5pfVvHawescayOYLwNY6krvxqSuL
rtt5fbZ2xYsgQHREYrQlrtcZmzmfwdoAqsmcZDnQ7nX/jV19OWoB7DW/tRj4EQpwpHYyhjroAo2p
DhYDCDpQNfCS8AxjQPNpyXOUvO51Xm8TXYhPQv+Lt5ZihxG2nc4eFTqUee0xb2U1XQxBhJF8Z3A8
/qDbeXL3fWBFHiK6WNQmNDkkyisITahc5T69BDGlMzqFckEbD4au+7dGGxTmdZ5zZuwlTzIkRRBZ
DVXFJuuGGiYZLUekBcH0+eQMVYy6Ti0qELcXXT0/WAnWD4CVFJJtSvZvL+SPcZ2HfohQnR+rinpR
YMCCl6XJH5eq/YaUrbET/63ed1p0JOPCwVBDXjWxEhoYCbLHEaLSU3zumsr8Vnr1+AmfnpyUAF7G
nU2urwNqW0Lpg3Yo+GRZEKByS2+aRtoH6URV4uSVTvtdUcP5z0aZ4W65faLr3dGpoD/CnAXRJtnc
9d2rS9WMbFBtfj4paI/reqNWp7Ga0b9zOyeCMMrK6z1ljPVnhFwAvIoAYZMByfQWiWdmtp13iOMs
VvAMuzIEXtlsdp+QZzcOXTKFUJX1sbbjxTf2CpIS/CBhE90umVXWLoCxLQ6dv9RZfnRGFP/MiqL/
4ppFDYiT1vPr7bOVPiS9VdIg2BAFepZJbfkuLqAIWwV12hf8UHDURN/LhZHoFHXOHkO1uG2/PFBi
KWxFp+UDXNRhMuX6M6qAjtTKteeXAi3B1yYubaqQS7wTq2ytQvMC7Rl+MSUq6fp1C/xKBWLpL6rZ
UmPAZ58T08h2TNIUXlHajLhqVFbBdDBEKb07VjBOTRlZ6G4RGKZHQ0tq/Vx4DRSIcY0Vn7yhdaaj
Uzvzz7DTq/IARMR+H5JQIcgKn+E3LSydT6Xa1dO5LXJDhyEtC6BSituM44fESUESDJKQQ5sDI30a
Vai5ns0SYcaXdsB2jyUC3tmFrq05PuizUUYXNQty+0PfjPVw0s3I+zEWZKQ0j4oIVrDZdMLwfWI7
bfSSVm5bnL1qbsZjqDYqJ2WS8DyqwFXmp8Kr889pGjmouTWVMd0XLgtDEBB4ImWqQpDbS59o0bUK
ciNXfan7oqXtWHlnLc/gKPOSGjayWr9vkEasR6EZWAxtDPJjuZKh5aliKvmovRhjbR41o7LOAhR4
6Bcj2bOLtVmgqkCIQJIqFAclG6eaP9hzsGgvatp1SEyDFljacO9dEwckGZ8L2JoOHSYIKat0gKYD
q1vaTMYLkh8KzITNhOi002rnUEuVoz73P7tEs8vLPDB6dttfbFwvDlIEJQ6gn1W73FDGIY+nbHqp
rSI/FUoRfkQr2dmxEMn58sUoBYJVothFA4Hy3bWr4CKoNlqd2gsMVX/aMeRTk6se6iL6EULHcpiD
vWxgvS1T5+bRVhPAA9qe1wsqRT/aTaFoLwl0e49tUnyezWpvlGxzkTciDAoLGIi0K69s+y6x0RYM
O6DvfahFF/zFcrr9hdYenXqyTtWTqoxH90mK57qs6gyFfvML4IGgvAzV0loHQMnUlGFx3Z3C2/hU
FJ4YJoe1F0CrvCnH6epgDgbzZYo87VsP49+TwTj5M13+8KVmpP0yAWvYeSU39giOlGUZ+QCcJNNc
KZbWzhDcmS8kksq/ptsEn5cxZjAKvZH6PswVtggYmttmCpUbujtSi8UaZy1uEtd8gVwLTnDFSk9m
FTGVBXXeKaCRtXPDpAjgv+uJppXgIKCWIKzol4wmze0xDChivCRBihhjYOVHZ2rhXiyH/gAl4/Tx
tr2sP6CIVd+0MhA9oFl3vV5cxgzcwTHxQpTqDMdgNqruyVHconnSvNap37XMtwByz/LU2oki137M
MtD1YRbABFFPMeN66U4l+BoXzXqJofI8BpMa/AOAGJAR+KKHqQnnTyZTgMdJG/bItzYOWaAxgbSS
NTNdaVyvnNAFDmd0mSHzrkcUEoMOIsY5OIDSdBE1nuy7PyqVBjy1RfFevA6SEcF3XaOBTM0mcsIC
Tcs8fUCIPDoacZYOaC3Ow8/bX3Xta1gPrnCSR4CnBOnXG5y9JTKzuFNeOH3z0HUoWU5uvVeyl6GR
GCvLMHokNkavYMXvMy1m6qS28mIpaLma6XJqh+rv0VJ/Wp0RHty4e40jtz056vxh1KxHN5mmHSOS
6h7//QmMfHBJ2S1+73qn4K0BShLZ+L1p9xHoqcAeX9OSMB3KRc/t4FFlHh9JUC+Ngh+9psG26KiQ
EO743fU9Iu+ieUE2RMJJ5/n6dyymXqMDn4a+VwfeYW76SqO3jQKsXTG4WiVM/JnRhB7n7Q+93r5Q
CCQtorpHuiLT0g+ON9FczGO/tGf7EVB9O5/NKq/UQxvp9gwrpGr/beizZR2qxeg+F1pt/rj9E9a2
RvmfYqQhmjc81tI1dpxGdeIRSFcEOdNLm2oJYrP1uGPR6ytL/UWUy5EowuBkXFIyOUGagbP1C0VH
JzwZn+m3IDk7KM/03vey+I094RKpPhIPmOQS0oXFWXV1Ena5jwRN8S01CvPsesn4ePvk3rKR60hO
qBRxeJDLMest16ojOLjNRVdKP07cxdYPNacnlIMpJj70vRb/KAtTXU4os1fQdiqQiY/PIUwS48kt
YHm0K3VwjnaO2tArvNhKdLDmkXKw5oHbPSYtOvenWfNC4wmX4yQ7Qw9bZ0SJlueXWruot19bfJ70
Tln0Xu4nWm8f6ZgrR6eEGvf2Ga3felBBQnqQSR2AuqsK34S0y+wFhe8ouokQpmufxiCzjxX44cvt
pVYbopwO5An8KzEnuZ0UoPXBYleFE5R+p3nxcRwi5ejCsLrTgVw5ClbhsmBUJEE0zSSHVQZJX2jZ
WHFj8/iCtjWxRDPbyiEIUKk5gCIfLr2tRzu2trE5QQRBwMScM9uULNowxsyGAqT2O7tbjq3SM65q
atP57iMkwSIhRlCWgqJcTcxQJU9n1AP8MdCGY9d2IXlnFZ9ur7KyCdjdhJulfcaDiuDIteVBi27F
dTyyF7hzH5fZTl4yYpsTRZm9Tt16KZiF3oJNBlyZF5OObVrQUBm8pfKXsbUf2t500IO2mfdTortf
ECIgZjaYa6CwJmBj17uiFJMilZ7Ufq9N+le+TQp9CFp9Z5jOp/hQj30AX8yi3xvgimURvkIA8Q1+
J+1Q7ZJCj6qm9hPdYBKtmxP4z4PlW5BG+cXLM+XOMR/GIVmQTj+xNMkWEcT1PuOuFqWIovZVN6se
XeDND1Gaduc+de7slb0txWEKwCRtVgp610tNltabWaOxVKxVj2oCx2Ubm/05pTj0LoED9eNtw1xf
MshIiIYo3ZHioZtyvZ7pVImnBEbtg+m1z2VuFZdcU+5EZv53V5QIuQJg5amhXK9iQcsdZ4NX+3B3
qqfQ1fJDNtrLxdLnaidw3dwQdUh6S+i+MgV2vZSjpfbYLW7tL5YW/A08afyj7eZlx8evXSLH9ssq
0meiT4ToAJxFPvMVqJbbTjcdjURvEJQADPqvYo3fe3tIPv/Gx4LOXfgqPpmc2dVOYWlMRDf+Errh
8yioyg2UIO4/QcydOhuJJOQEsu6xZXaBEjV24/dw4nKVE3RIoni+2yMSkgg8sODsYl5PeosDWOzr
xsXQ2yBJjya8q75bh9OzA6//H7ePbcMjIr1N10kM7PJESDY+wKrAxNdS++Hgha9Zs6hPsxa9C+d4
2HmyNleiqACGVABW5VpuTN3OKjqnhvZS7U9uCzmkFiXucY4p/d/e1IadCzEp/C4QE4F5vrZzwpjO
GPKk8bspVI55pRcXPTQ+/cYilCJFOYGWpRzC5qrdI+RZNL4mUvsuX8ZDN2t7l2kVKL9ZArGvGLGg
Cin582aAoL7qBwyOm/pUVxDk1zPaHwRr9VOYF3tyzVtfSRfoEhHGCj3I66NzYspaXj+zqziYEuLA
uVcuhRJ3H/rBKvsdm9j6UMDtgHAJ9g0qdterGcxoBvm8NMxNG9VDHKqo9VqI5tz+Utt7+t9VZEBV
4DHTBTlp47dx3Jyo8xfHOkHUpYzCH7dX2toPLQSCGAIzg8b59X4Y3usWKpON3yjx8JSMi3kM2yk4
/8YqpIh8JMxvhRMO9aKEwc9r/ApOuFOjzd+1HDmG31hEsMzQDiFilyP1uKlHJRzT1g/0yDyFYzc+
RLN1f5BO8MzLx8cBVrcCzELZ53q9W7Y+KAP3P5oxWN6TicKl/vAbu2FyVAyH8ZbLWS0aTp29BHkL
xSoqvAcvnVT70BRFvcc5umkBYFHfhrHohghb/KXg13lWxxRUzLHl83wiNXAOKHvdndDis5mjFOOr
DLLy5l2vkvXWFA8mnGyIRBnnoGpRXXLAL9x9aORoTFsJDifA/7q0ygCg2GpsmN+yQTsmSaycjKq/
38MRjADCELJ04u/SKuGQ2GhvWkDt0XD4Q49j9TvjY8bHcOnSpwkn9PftXYl46ipLp67Efmj0Ue+i
rC49rm4xlM7kgmBenErtH+O8H9NPOVJL+YdgnMv6pZiCwL7EDvLWj/SIu/DuEJ3SIaVggxhJcJxL
Gx5zjnwyh8pPm5YabRSG2o8qQ47xyEiV8hfMPP2eB1y/ImQ9rCiYf7EZOaAwvQSRqdnkmhHB9Mei
UMz8AsRgeTAsVEQOjp7ne/Xg9ZqCMEognSndEClJN0HtmbBMwJb54ayO0clTs9r+mi3GEH5WzEYx
/q7SJNwpYog/8/rbXq8pftMvty9sx2Gi6Nv5Xa/q7zW07E8WBcX/zCkx6G0zWl904U5w9bTcNdju
pK/ouktrKpAj+ow5KaepAXqc1WG180BuHSKmCgk6xTI48aUNxYPWDWpb9/5spF9ys+0PaE+97xf9
qU/KveB26/SETCxNbuZ24cG8Pr2y1JaUmm7vo9DWPsPE9Q9w4PnBXVD1vn14q5WE98KiAe7T1+KJ
uV5JMSj9Vd3U+W5ZKacEmk2meIz2EC9zs7PU6jvht3iRgRibhDOrgYV8rsvYRiDZDwrostLE609J
V+1dsI0NEQWCmgYBJSDHkkNu62nQYhTBoAyJa/0QdvG/UxrkqIVbaHfffXiUx20QC9xlOp2STZhI
Tdejqw/gg+yS8e6KAU+0gzytOtZIPu5tbeUv32DoOn5K5MHUhq+/FXGT1bS5Ofq6O/IM9ODziiMy
E3bziIyXRd94bhGgolc3fKlJ+fqdQGR9tASigsaSd4hi1wpwOSN7wSdWfTvL4vNAqeXYakH/MC7W
HlHBKnOlRIxhMt3G3abxKgXb4I6WqB5zA2gs6pyIuJVkJ25yQdPY9PWscf7JjCC+t/1JxwzfzJsk
OJNJna/P1w2nmlZu4/i9y0DBAy2g0HqAzFxD/3ZQ5j3KovV9oOoKbzG2Q7uMJuj1ctPYD2nYlS4T
wYN67CLNPqj6rndcfzShFkIXnsEy7p6ctigGxGCekSx+FjGPfWrcDut0utYtkEyEcWvnkovrdeX3
YVSlcUU3Dhy+mHC93lSlJULZYDZ8NLzNU1SCebJnt7no1qQix1zrx7aPaShTBH5sa33vLVjZDWx9
b8TTdAPxMjIvjB0B4sh7Z/FhR2vCizs2LNEabZe9o8/VWChyEl+clgihlsttZ7C6nSwNagRwCrVn
0ijjeuemFiFMGZQa9N5uVV2SwYi0i1dFkX7mpg7TiWfXco9WNGXLuVJa806WGgGZMpmJpSDCl4Z9
QEoYa5soqtQG008WZNus1HP/0KJ+eYnGVntFxHSvy7L61ODOAOWQK/AXrVDJ03Z97sXLYlsMFinN
o64Eqf1klVZGn5I38pwWMYp3Y+2AjTA7Hckwk0zZON8+9dUlEj9CqHGLESeH0Pj61BVgEvmcpRYF
BhhrcEnZ81JY+k5vYXWJwM3Du0y+Qo1VBzF5vUreVos7uLCKjZFWPo+zk54q6v6n3trVb99cSvRb
wZvjZD3pAtEpIWnR3MC3vM6cLx3iK/kxRLNvOZo9RKqHe88PLl6q1PxFGEwJ+XpnjlE7+TR0jj95
VXiwQziK6ziudpK+VfAkWOFI9gB9UkVZcUpXukezKXUdf6BO98FxG/27A5LlqRoR9fbyQt2Zbl0f
IkZBtgzw8n8oO48luZGgST8RbKHF2toegBIt2I3qHoohL7Ahh5PQWj/9/6H3sCxUWcHqxjHaMCsT
KSI8PNxZSD7c+azSXtLmtrOd13CyE3o30BDwqOimbyZ6ZffeeLxOgO5LuR6CMnnt+Vi1aqT4YzbB
Kw3oOfLk0lTvpLIu93KjG/hs4o0LV1KyM3WvSKGZohqvzxvre2W+FJ8oeS566Uvx5vw3xKVhU09h
0xSIpT8UStftoqyw973VTW+3N8xHw/XZDY8XBGA8BA9wSqryq7FMLV1aFIbErwOlat2QAml5jPnw
mp/IVVfvzYgLd4cPIWYjNZFCe5DrutaPZT9N0gM3YqrvTEM0tC8Mi7FmrIXx9AVhlLw+SHE0BK6a
t2byXM9a3UPcdIz/6qYyCrfAOGHCgTXN+t41qxL15jBxtO5rPUU6o6AkXu/iLu3a3ZTGBcpGE6dJ
dxNR04tIa1QefE50PRge5KSwhVtzoUjuoJjNcQKgDjz0eHTtmOjt6CsZ7P23wDGD4DHu4Mt9Ugap
ql8UUdX1rnFKRCjGPNK1x1w1ihh7Tr3NYNClevaNprBpPtR6HYzeFM9j9rmz6Gg91kIWYh+rbTPv
ZIO8yLVTc/wHUZQ89mSNA7GPsgxlvTKm23VvZ2K03cGeteotadQef+TaNKQH5HiD3uOcDeLAusr6
fk7QuXnrckp3jatM0+Ac5Mhq6m9hl6B37aZkYxq6G1XV6n4tDdX3ju/Vf4n72s5+jGrXZScpqsGB
RSmS4PNYYS2GG3swhsGTrUV5dwpGVZ7eHa1oJkgpkSIe56FWSrdE16k8wnAyiH+JPM03mLN28XB7
013eH2C7YHkQtylMEsuc72/Ipw0We1niE25qP4aqmr+GGu4EWmlnB0ku841I8PItJ3ulwIVZIbUZ
xDPPx8tHZUbBqC/9YkiNZ4UXu98F6IJ/A3wOnwYqtS9wr/rfzaiMG4nztaEXRJGnauGgrhOyJBUZ
5qB65ed0pPUPZZ4iLElT/oxxx6RZxXGicb99GpRxdo4zwPcGq/cygqL4RUqI7zc/gY6L86kHmt5M
vbS8P2aq7rAoKj7XMqq6+7yT8MvRm9wxwLzj/u/bn/jyCgO6Z7mRymLrautmOHQdohoDo9iXqngY
PQUfJk9FFVZ4NsbPG/fl5X6i+oEWK/rzVBMpQ59PsioSXe54Wf0habkI+kJN/0vp9P3KCYXsVKeK
Ue7vnh/UUZBCsnkbLdjVM6GFKvZslZb4UjIX6kHFLD3d5/T69p9mOZ3th9vDXcZFpGLoPS4qZwup
ePUCRgVAki2jepChTb1P+0k5BNm9zeyEnHARoPIsYS9/cFbnMh8HMdPGGLwmmt4eSwic70U39w8y
gnb7BJ5Gd3e4woB8sEUKZKlWLLv3D1hJ1WM9xvIleKUfTj06MeYUWD3d6bC4TIs+SZgkvKgfmlrn
o2TAZLlpRrHvcNR9bQ5Nz5KEdfcnsimP8mqTbVJyWftF9lZE1FRopR9iEbFvMJV0S1U0G/vuciOg
uUHfLgAne4F8czUXo8nKtEsHH3Sxeyszvd/HobpVOr8yyjIJwBBIfxCvlr//47ukQp2BDszB19V8
ekIpOnAz0Jm7VwzzvCVpJrv5YHedjxIkIPmmkY7+B8mzyqTo91iW85ayxrIk5xEOwANnlbiRPYbY
9/kwOcQx+oL60Y/r/DkMJMtLWhFjPENrze1TuhZQW1Bvigak5eQvcITXkE5pGiPXYjz5jiFBlm1J
Zuxjrw6zfSobUct7Ig+jOo2J2SruQJfK8I/IJJCzaphz4cZGJ9l7jO6HT8YgJOPfGQuabGMHXVmO
pb2IaI8uW37k6iqRrFQoxDuTT+izYJCp/DAqbefbFnHM7fW4so0QZueSXGhcSwnifOWFJvfdTK+b
T/+FVbuB0K18L5lD3RxuD3RtToQ45HMI7XAhr9IeLUjqITHi2e+Trn+idTDzJgDFnT1bysbyXZmT
Q9q4dLAjRgNl5nxOQZ1IQm+TzJcnWXloxRx6IkmTjZW7fLZ5srmv0IgH+iTXOh/FimRtlsSY+V3V
dw9qrJdf6V409hJAoOug+7hLu27aqJ9cmxqk60VcHFGfi1x10U4Xo9MyaEm7ehnlmacCim4dkisf
C+oFEBbyIjyc69BA1H0XS3Ge+1EJfuBQuThCPsq9QdaSkz7N5Y+OdvnMpU1sOAb18DTK+vBDj0X6
lOJo+Ey5vN6LAl6bqWdbGhAXawA6ucgQLyQR2u8+pAj/uPkQIZ7UyeoUv89yUAHDblxZstTH2/v1
cpQFM4cLCp0HkHJ9MCjD0VImsKwNJ1i6c5Qoexum/cZWvbyO4Mgtcd/SgbRQT1e7KCbJLRK17V5T
NZtM19EJBX8jhNA1n8RsVPJL3pHDPlCDnmjCmy27PKaSPdtPlciF6gVdHLd7PMvn0R3NoQcvmads
S/7sYjss2kME2uxyUEbonudb3VSoCnZ13b2qklrheK9BrEP6xpXURN3YepfLvjQWgKnB9gccXqMj
0AbIuOipfqV0Unu9FRZHLU6c3b0fdzmyjLAMski+nE+oz/rCtuaqRzNhyndZTE6D+rN6b+i0dPsu
RByoxeCDaxtfWU8aBfa8/DpLpvJU9Em2k7tJ2thCF5H1xyj0fwAM4uO4Ji9XdLHBjK8ZhazB7WLj
Z6fND0WFRYsZiC1r08utAGrFRqAgsVTl1ricMcRkm6mmAG47QeRqCQ0gRlMJoO1U+3b7K10daymO
Lw5OGICszkYRNDRtIgr5KuUxOtx1qHuFxLvhmCC8t4e63HZMazGfQdsL3uo6eMdZLu2QKlBeh1aY
niKLYBfN1VZZ+OLJ4FNB9qVlGJ0OLvHVYzsn6dCqM4uH+1qxG7p8ApDppL9ajWadWivKg2JGW21f
V6cGVCsvWddlejmadtiAFSqv8zQ1By0HBAyTbguTuzoKkQRdIxCaeefPT5TStaIJC115DTUz87om
r561TmxZQFwfBc4MMt5Lm8YKADfbcRorCJw4QLWGF8Rx9ShJzVZP1dVR6OzmFqJl4oJOmRghQpaT
zb6rLZTuY+7lqpW2uB9XNwMdW0uzC+npmn2YTUlu9sARr/gtzZ6aRb4pB5/TQvscF+VLnwf3mVoS
27H5/v94a9w+lGMDJxm+UFy2P3KBKUjniHJn5N0W/fuiTLGMRJJFkRvo6MLEpkFkuNMnSXnVBmwr
e9V+iET+YIWIcmjV/KWaix9BF7zhjHCnmsPHHFlNel/JxSljLl/2j9CgSWujjSP2B9rgwVHt+glS
sZM/pIBK98azTHLhU8GmIZUA8T4fKmnZFvPMJgk7R/WwlLbdwtGAH4d2K2e5th+5cGF+84wQkazu
QRmEuaE+q2KA6eDf52TSk0nf9PH2FXjttjXB3hbeG3jfmosUjXpnTHWlvtaBZe8xrPkdwIfY2SLZ
qqqvrcf4TFCAQLIp5MIhoUpxvnZ0bzRl0BXza64lISqfI2SjqVS9tLDy44Dxg9/N4fjS9Up/KJU2
OABwlg95KwZwT2tLb+hyeWGFE0cijYH0KG1Z578my7XJ0Gd9fh0NMXl56iBJPefa3YENSSekq4Wk
Q8F2bZdDsacWiHGqrznLuhNt/8MYqy1BgsupcC2yHxHAoWJwoRVJjTcBttWmVyGV0kERPY5hdqtv
7JSLiAMZEcgX1LeXFnMe5/MFC4KwU0IntF6jyvw02cZLT/OmGyJyRb15a7NcTMmgvIJ4Mz2RkIDg
YJwP5oyIbvZxY7wiPKXvhkzHICbTtoQpr41CI+XCKaScwzc6HwWmbx87Y2+8GrVRuabaOwc96bY6
oq+OAgJKpyr8Aygd56PYdg37hsaAVxrbI9qEJQ0veBH8dfsgXxllUaNYHkmEAKiQnY9SwrPQZ9pC
X4VWzDss05V930rj7vYoF9cFNTiaXxCzXQjaFyH0ODltM0qxjY5U0/5VpZSJIi1pf6GE0m0cnWtD
obNESyafZ+Fknk/IjpA9rvkhr1nX524xq/3R0qkqRk5c31t2ZlYwmBavUGIist/zocAgU1SdMkqL
UhLucCrt3ElGxbvJ5i0e2JXPhDXQ0gdKQZ1ttxoqKoo2kxqqmELGGrULlO5Fsdvp3ld/mRDtQgDS
JDqUZs8nVIdge5EWMSFH/x5hoPyodQ5CA/Z4L1K4SDVARcJsjVgTSYPzgfIW5ZZIZMLXJKXb26X6
q0C6bSOjovOOf+YMKSQTAPUmdwO7u2y5knNiKdXs7NehrqdiV6q2OFU4uo1eR3FMh9esFpbPY1ql
u3BKBvE1morRfrNwU1SfBLD98C2N5CTfT3mFBJlJ+Fh6VBXV17JO+uCbMgzl7IZaS8WzUKTecNW4
N7XH0pDs2kVOn94UtzWbEWthlHnzIxahSbPLnGlK3cKWhbRTcZMZvcQkIj4EbdqYrqLGg74v5HHQ
DplDY+vBUZohOwp8BMenrrfN6uhYQXaIkPayJpdaxai+T1kxD3/DbqOialaj/SSSUK8ekCp1wsfB
SYr/Us7gbwJYTTnMQ2yLT04e6tFhkWHvWnfUZznaDSUElvdxJG5/CxI9DI/ToNRgNFI01Z/UwTYw
BQCBpbCcN8lEk3kR/Siyjg1PgOrINPnjk+BGRZ7haw/j0xtLXU3cAknd/BNP+VgfKj2e3+W0sb4n
ypAW/Nq0DHfjLOk/bB3wYG9P+az+Zfaa0cI6tlPVo9dLUl30ICokgK2gNNW9CWWh/LfJuuQNaoii
IPxB6HXIWwNT2azGa8qPFTTHnqa6HIbj2GBMdEhiGsEfArJDJB8QKevfhkjpv0tT10KO4S00Us8J
pUD/DfwoZM+cx3T6D0szS/ViDDtaLx+zsvFSMw6s95kQyzlUvV72Xp71c380lNyIH1rTGmnAz4pp
kF54Emlg1GtdnAqWKPrpWEOQ7GVQs/BQ2Yn2d2jkuubRzZeWe2dIMutNTqaU/u4+CN/FIDmpV5pN
KSG0JFfVrrfiQWZjdL26G8YwxHWTbm39OUn6RHnKhmCKSBQnJz61tCVPD3qdJ7PLx5CouzdWZXsZ
Lf2TR3U/Dv+bJ9HaniPq7FcgmvzdFPhzuQaxVuOVYojfu0kb5c/p3GkvkzymeASz0xQHbTBTjr0p
N6Rih/FoMT+2rZy1iPs7avhmzHoa79pQlyJf0VMpPsbkluIILcQM97NU2Op+CtsOGsbyGb5VpdKo
BwAC1fDkOB7Kw1jEpXyEFNKpnpJYYeVS4XbGI1XXeHLDKJ1/IKhn9osxBufJ1atAT3cRyjI/egVf
n10DCaJ0adMf1Z2tVYqxKzFPN/Z128jmb0WpMtkLtVpNIGQ46qnS5Mg8KXLRFIlLC1bzd8K5VTzT
SIQKXSxV2kPR6PKv2y/j5cXO9QI1jFou7XIX+GRXiQhwVaF0PuTv+KKGXyT0Kd/vHIRXHBBdAWCy
KDGtOTAUdLuoT+bc72Vqt3WDHrmlSoN3e5SLl9cEUVq04+lNhhy6BiyUQR6GVCpqXwBhHVqnjB6M
SFK/1i3Ct7eHuli1JVjB6AHWEmEy+eP5+4E/hxGqTVP7RtmaD2E/ZJ7WK9ru9igXoesyylLPorGb
F2RdNctbOr+wiq79ijzoCQp7TYshWQ5c8wPy4P/eHu1yTrCUwDBZOeJxIr7zOVWSE8jpEHe+UwwT
CmRm4cpCrvZ3jkKxkeIpjZmkowsR9HwUtAsCShx96ydObxu7bBjkZ2N0xjtNv2mDop0b5J2NBzcE
GPh8HLXRxqmkWQ0RSvoxyyTsMxeWZfyF2oi+H6EUHYTZ5WLjky3J4PmLT70OCSE4j4uJz7plJI3C
MWgHso3K6oNHy/oZKwP+YaKhizfJqeiHremqdYdmxL3ruph+UBgjUUW+aB3RCBnhp7k0zde8VMaj
vhimoZ701+1BLmdHpEmy/ZF2GFAdzxe11mYtW3THXjU7kA6mpGvPMWXFnVHa+iFN1Oc0Qn7GaQbt
7niNGJd0F1VLgh5it/OBta7itdRa53WoWD8Bbey5wQ5tI56+OG9ougEqkIUsBnAXPn/kVVU1mJLz
WndB/OYkVnxQ9FL61oaU3RE6mL/cXs7LesqCdKL9SqvtIneypuTSQWl1gmvLn6QsH1xFyrGZqkpB
Z3kQK2rnJrZmh/smybrsX8WZFk3VRArg0CVD0XzK06QYD2lFp/hLYqVG5+J9HmxV8S6vVX4kMDov
48KtWjdlKiX/cBg4g8/tKxO11PEuJhR2w27ccli9MhQJHtUlon/uoXXZVQi+bjjKnZ8ZU79DiS75
gk6m9lwWUrdRm7w6FAgzNEUqhvT2n+8oKawmZwj1zq8jMVoelwKQjiFER6wo15V52PjUy31zdjEA
oizFucVOheRDX37PH2DfVKatrE7W4Ld8RRrY1FDCRGpODTQgbQzQvKbjf3vMjdpS3ULr5eqLreNu
C52xjC1EspVIPOAdTsVkUMJoC4u5yFT4ebC0uTPZhosx6/nPswepbSHi974lKZGnDTFxK2W0T5Hq
0MdsVPRjjtJWheHKiwMgSdsPPeYAa+ryo/5Yk1BD1mOi8OpzmXaI6KCUegpYk421v/zUy7vGjlr6
Fi8z8ilFaTPJ5tFXO0rCniYVs49hqRPtumnWxcZFfGW0/9fmYi384gu4cMqiWQE7m306IqeHKOpg
rQbY+9H88/P2nrr8ZktrJDDrki0jQ7W6jZ0CC9hsCkafl1t6Q51RGI9g5uouz2wtO6D/Uk1emgx1
uBFoXRmYYjsoMlfXh4Lt+XdLLQHTBGqqD/xQ7oDUJTdUpGHXyU7hK1WVPgxLPH97theXM14oS9AF
WL68dNby939sFmtGILvoxeTn6eS8R/0snnPJcBDoi/pPTZagu357wCsfEnCSBJ0rAkfUtV6qoncN
mWHOgCz+i7BiREzQ5/4SBJt8w8uDwOMGTsmHBOt31nVKMw8UbbayyW9kO3xW4wTdwSza8hO4toK8
njQIo196CbUVuiYUsrPJ14Nw+moZUbMTipEe5S4Odh1q1RtU0SuzWsQiaYigiAhjavXFGqfGBjPK
ZT+BhvoX91rmCiuqvt7+TFdHWSSdFlnzhZl3vi8AiKY8mCrZT7sMyT0tKg9Oq27JtV8ZZSHPg1JS
LuSaXAcgWZqGObrTvjG0+mMyONMLMM6WpsO1UbiEwfJADsnFVis25E1DZbpW/MaCKJGk7UgX6Zjt
bq/Yh1XY+VvEDAB2UXvlzqdueL5kgxUJybYC2e8pF2q7oNTgyBVgLigGFqP8Uxpt6OstDN+3qQ4r
5wDNvxECwKiUnIepltXEUwNn/DpZ4zT/ow55au1z2eoMD//MwfZrNZdTTzZhEj4lQV3/soLIbJ+K
KurtL6ShpYyOWESRUjPCMD5MYS/d6aFOZkbhYvEyhjTHcq5JEy1KbGmfV4qvZ5H1SlqDvH5SRgv5
UFG+3V7QZb1W67k0NnJ6F6/qi+h0rDPuj1hW/LSQ6dFWDMinLn102gmMuG72dRqr5kaserlVeA45
VQBhi0nbukBqt0iVjWOOsYqUqEfVjqAwzXqzsVUuAv4FyKZlmmVcWnPV1bZPVKXPEwQZfMcs+p+p
0fQHNq72ns9AWtNYm990zK8flUnWN3jul7cvCRx8UXJsNCd4+c/3aBdosIVC9iiCGeWntJ6Ur10C
82WYwC9vf74rS8lQlICBJ2h1WhMYeWtaqSkYKtDS4UVjqzxFamc93h7l8tEkGACUoHuUCwTNr/MJ
WS0C1Xilaz6Yb73LjcE4ZGNuv4xqLf5KIjP918Fg/XB70MupIb+NghpUVbo8YfieD4qscloXuar5
FGAcD/fA6KvthMbdsfRCguIrof9OBX1tITaVsT4VeCv5uB5Gn7Cu5ajbg/liVtYWxfdyW4C4QDPl
kiSe5s/nE8pGyykl6p++I4c/69lpH+WunA5D2GyV8q7ckijPwYumNIU0IRfm+VChqWF7XWmGDws8
kTD9pZkv3icxIk+Pio4h4i7Sh5JOI1yHlCcznOdmV5lV4ctOZdd7NRrL6VsUjQ6ypL2+FLdGXY4f
hNVHp2pKxLSbaqn6F1NkEb1ZUETEg4qcRrY3czkKaUeycURWuixyXOgqVUCrU9pMW1HOsmDndxcH
nJ479ODYA+BM57NEjD0PBrvQ/LqJ/ivaSvMsvXssA5p91Kj5Z+rDxympMf2SNqLXK1tz6dgh1yYa
Wbhg5wObaTMPAN6qrzmF+WnWJemf1KiVjQPwQcFbzY8iO48A+iuMs0bqetRX6tmuDZ/2J9sD+jde
U9vsdiJu2zfFahpfRrL3OBld4Y3TUJ7wGIh2hdluGald7tzF15c3nXiSSqSy3A9/xK/kb12E5IDt
W3hMuACVklePVQFwPyf7e0/90uW3HEYewEVZ63yo1ixEFlBG83XJjvYaThYURKiK3B7lyoRgE8Nb
AWFb2CVLxvvHhCYht3ZoZgbpR9h6c5rLbpFFMoUm09lIOC6fIWsp4BOzLsDhRSkaIbfE6crG8BVh
SbtJdO0XU0l6T9Q2oIdih3T/jcoU70YtLTd6vS73KWODj3Nxs1tBZM+n6WQ1IR9St34pFfEOj1Jx
tIdp2vhkVxcT8wKabEHDEaY+H8WmeQoLit7whxJKX9xagd+ZcXWoCifeuK0vTzwTshYO+OLLAGns
fKiqlkY8R2XDn2BjohPKG/HuRFnzLWTb7hJNy/5N67j7OwAKFK4QprOlVnptsouDLT6XVBwu3gs9
0sO+LCWWFOPuv0Yp7F/QVRTf2ExbkN6V88+TizAfLBNI2BfGJEWtI0sRqKaPeE9vPdRVlwi3DDCZ
cRUrji2vcMLha9FEdUbwOqb9UXaaqHoxa8WedxVcrPx4+9xcW38CZl4xknfi1NWG0pPJQu2zNn1d
NBMQe8ovUafPZVPt9cI03CZQfjaOOChFereoLzR5eiRhjCggUJDyzz/9jL/JsNjR+ITOttdHcgAZ
XdTHqG67jVle+8aLxgpvKMtPA8D5UA01E1DU0PL7fFRd6EymL7UmeiRJoL/fXtBLhhbTQqSGDUUE
AtCzGqsdMC2vxGCxn9pe2nVzP/yO0wpFxkzK5rdBaabJteYu9achicYdHbVBcmiLtntv4swcj1qi
hlsgyZV7g71N4AWAAHq4plD1uWibqghtf5Br/bWAxf0yQiT7fHvuV0Yhx0GsEe3Txalp9UXNSJS0
j3SObw3dCN0kb4ofvWFO99/1SwsD/U5k2XysFePILEKrm6XM5kXJEhhH0/Q+GMpwUEJT35jREnCc
P9hASmSmcPsWke41KGjF+mx1vWz7qd32X3ojDJ5h1lG5tVLZlfWg+3r3CiJaAxOYzhEKnfrq5s2l
olKBs2zftILULduULl673XIMv3IcKHxy3hdJTd7l1QJ2faMJx04cP8nybh/YXecphZUhvivXGyHP
lS3x0ZgGH2iREVvrq9Jx2cHTSh3fTJV+1+uUmgK8iDae5GujABXTnojcJffq6hYTslRLND6y8RKz
8owocjxN1ru7s1zyMY4RYQxPI5H4+S0yKmFO/JGI01x2xjEvhs6VtWCrr+XKXOBRsQvYb4uL3Co0
M9EORlID+ady0FKvi6zkMeGG3IDDPjxZznY25/RD0JeKMcHZ2kHUjgfFyvCcPemZ3c27iUtr/qIk
TZ66pkF5/HGhulQ7PciNX32mzOZpMDJ59OJCzcs3BMvV8R1TSWgXRFh16hGb4069KEpIsWtwy32P
ZPRV3AqPV2eHtZPDn5Mulx7SAKzqxbaHAiqHbOVUVCLDyL7UaJacWq6WCENas5VdpxtQ3EJIYUp/
Fjha1i+FhXqCqwiRvudd0k2fhxw9/MRVzVjXPWagNc9lHcAG0oQUIaaA36XjJqoR/xoS/Dffo9ho
i4daLVRjryNiNDyPyFdZrqyAEX8fajmakadSJvNZ0iPF8iMnLarHCNOEgAaUARGpXJ0cSotzM08u
zhd96UqokSb1TsAU1H8qLb47v++8FCxIxR/QOnfepZRWTwSAMMhk+x3v/87UMrFrMxTjb49ycdUt
o9DSQ2/cEp+sI7FGkhSVZijbt4suPplYE7lZL/TnVBvHfTCkzd+3x7vY54u8PpirBa5Cp8/6Fnf0
yin4W8WPu6g4VCrqtGGtG3fPauk0JMYEdgDUNlenyaBdQ0ZjQvVrYdW7worLA71o0rNRjtKjoVZb
vcWXq0gKufQww4tWwOBW2U4Wy1Jn1o3m47Wkn/C6c0I3hKX9VQSaJFy5w/D49jouMzg/yMAczAxx
gIWCu8ampsZpy0TrieDqLLN2hlVWvyE4S8lRzVpDPQpVLfIHo6Ew8nB75A9lv9XQNOTAZYXRTJ/R
umwJj3Dxn3McP2vGbnotRyf9lVh58ndtDYk4WIna/cBaiBpemoxiRMzRQUilc4Lud9lmjfTopNhE
uZqZSs6OPWnDGNSoO38JTbtRj+SL9byLIvpqvaEa2/K7ZmUCzbgungyvTOou2heAPfWui4yi/csh
kP4vUHvrG22lWu9GE2KErgwH8Z++oWi78bR9PJOr6UNXotZFp8bSer/aW4qkTJ1Jq7yP2kfpVlTa
/NgZDN2NJ8f4qfXT19zudxMS+r/qom++67VZbl3j64+/4HeEdMA9ULwJ7M6fpDqEyoV+geNLcRId
h7ZWairGqki8qU2SDRT0IvGleqIB2y1K8OAza3Z0MGiknnXj+I6AxDiQM7n0rf4wR0oduVQd81x9
EzaPwO1tdnFRkBjSYA2DBY4HLWDLkfsjte+1mhYU0ClfZUMf2oaUNBO0i9w7CmgIzAfgUHJ782Il
ayuTjSSKT0NUdH8PUpG6CBerX2+PchF52YxCt4QC0YKZrNFdo5qx8Ery+NT0HFArU+RPdE8mBxCu
rfTq4iYib2cgkAIQA9C09U3kDE2Gohq4S+pgHGGO38dEWF5AD37b9eHGLXQ5MfpbF2yLd0pFWmE1
mgjzsRBlKU710Jdez5CfyrTUXpWsu9t+EPQDZjb4OJMCVFLP90M2jgjiYVdxiseCGk9VZ4c+HfS7
dx2zQC8RbAIwkqTxfBQJrI5Ip+IlrIPUI+4IH4tYOMd79wPVDMp4C9GB8q6+wh2r0CqsZAgTli3R
xK4snPKHPdPI68ZNHsq726NdPBXUTHhpmZGFHDAFjfM5GUE0mNnA6y4bYnaNDBE1p5J+1WX/LMV9
cYRLuiWxeGVf8BLCN0fdZXmBV0N23EjmnLTJCYJ7+RgYLZWvqZVSTlcb9N9vz+/ypkDOkOIJz/3S
g/jBgP/jpgitUeiyKNGHKhrx4qBD/TnWs2J//yjUXlVe+UXhab2KvTqBSKV2dkIVFhWtpnX2vTNt
fatrc1mqr0hUcqyApM+/VShiJUeyIDupnR0c6Ewx/xGYyP+4dy7oRukQpBbNcZDg1Shmg/+FNgTZ
yQzGBO8Q/NKSFi3K26NcPhyMYvBRaBNDuXJ9YmdLntWiyfNTkWrzMaOfa+9MyXxAvKl91CV8aSuk
wp/bKjO3CDCXW55E78M8goxkaeU4X8ZgUEqY02F2KhSrH97VOjPjV7pi1PFUY8eVf57UsvtploER
363p/mG+gGYKooWgW+vd2JRpo8RDU5zS0BxsrygdTOcw1L3/iFE8pyZEaMQXRKTlfIppNAXWbIvi
FPRzjroAZpFGhs6Zk5rW3ZfiIrbA+8XLhUTrOtbU4qyAe94Wp7ycuwPgiHkq4rbYwIQvYdJF04Hm
KARtiF5g2JzPKGpirZOktDj1cTI8mImeHEJLCo7kYtFeHUpzl2XwZoHHbW/EY2rf24P+mnPnbVzP
l28o/focdcraSwFjvXs42ykwpVWcSlx1jkOVm242hPlek+pgpySU0W4flMtDz3h064Magrxf4BhF
NRmVIeLyFBRRTJNWNeEfnG8FrtdmRVLLg72IgVzUYXM11bm+uvJEX4/wZs2JvdwJ6CZVg3KfzXLz
cHtWV84gDYIQn0lToDeucyJSl7meaqs8cVQ0j+dJ20dUtw9OCr/RnmUUEKpW/HN70CtLSXywQJ5L
xxMg3vke4t4OEFRc5IgC1fEChC8NTyWCtTc+2ZXFBNkCwaZ/CzemNRlYgdc8GpNcnYo2l/+LzLx4
zxIz/9rg5rdXy+huVipNYjRq8ZbigIgI3SousdV64Ma2yxPsXO1pkc8+qKNOlUbT/769ghelAUbi
XgGO5PoiYl1hkXVdQfkUzAwYRts3Iq16j2yHHqtKTZAwidJM/mJO9Gw7fdg+1nFZbPyCKxsHMJlW
NVho3KDO8vd/vOdNp1b9PMfNiTuu0Pbc17W615Shy56cQimrR1QNpPe8kI1iIxv46Fw+y+0W6gwF
Uh6PJQRcq6WHYRTDCeqMU1rhmWHxQBklgqnoHpTiCa3PKnp0SohRn0LEzOv/SmucraM8ZHHzV27N
NM+5SWHO5n+K2RTVszRqznRsR7Vqls4kOX+8/anWm5DeBbYC32jhVywp2vlCdQNM635W0lNv5c2u
n5MnIQWnXBffqB3fmyktg0HAAStassELTVVVKTrFmuP8FBaNgr1r2mO4Kt+bvjAKMs1cUguViVxp
NaUmLdU2y9v6hFOh6RmG5BzZal8Mpyw8mBLtxpuz3uzLcDD2yOPJLKjRLSv8x1YrdUibtj01p6iU
rGOr88akTq/s6QvrvcEe02MzDfa+rk3hqVMVbtwi69uK4enKI0giPOIdX+vdpG3ZtARe7UmT8JnR
UkUcJJMGu9vb5HIUzvGHyAO3Ilfy6u4wG6R+tVl0JwRq7JeKlrfsYcyqYStC/iiL/Hl6VLrcFRAR
5BDAy811nGA2qZQ7XTecgIdwzFG1eLSPjTPLT2jLzvkhtef4u25IlfIW1mhNzDs6l5CKhRnQIpNk
y11TgWCodPempYg+x70mz0e68+LRs/sBdZmpR2iGRlEnjt0uMe35KILM/JlYcvY5CsAm3KwOY2yV
beH8PaH7SleDLH3RzMaM7wyKmCywAXnvIle0gBTnW0dLaFgcq3w8FY70Q+318BgWsblxwi+6M5ZR
bG5B1AMYimO+GqUSqp1F5QQy2yvKvh6NVncrSG/TbpZyBJ+ccQQVk8bWQZlXjCI/pRqn/xgbwm4O
mFrHaLHUUOvcEVkbaUehSRvuTI0WnwV2MseWwi4oyirbKyt7APSby1Pv2ATbmWK9SllH4f5jH/+v
X+P/Fr8LsgB49nnzf/8P//0/7H3Zbt1ItuWvJPK5w815ALou0JzOfDRLll8I2ZY5RpDBYESQ/LZ+
6x/rRaWz0pKrrM6HC9wGGqgqZJakw3MOgxF7r72GL10/Q/RQjm/+9T8u+md2Mw7Pz+Ppqf8f65/+
81df/+F/nCrAa6L7Nr79rVd/hNf/fv3kaXx69S8pG6txvpLPw3z9LGQ7vlwA73T9zf/bH/72/PIq
t3P//I/fv3QSWxderYD29/fvP9p9/cfvgFF/eKTX1//+w/MTxd9dPrVP8qfff34SI/7Udj6Ai45p
zgu+hMLn99/08x8/MT9ggPDSSbpAGlaZG+sgNPzH78GHlYoEmAPcMhtwEdoj0cn1J9YHRO4C+oCD
m4PCDb/w+58f+9UN+uuG/cbgvNxVbBR4XazOvzYE9JXg/gCKQgW+gtU/weLKgvN91/nzEdyOMUHu
gohKJ8AExaxg9dzPY9TbyKyuQDj74fv5/kZ+vPC64l5f2MWlUQaCO7emX7zZ8sKw8eqZ6uHILFnH
yqs9SC4skOctWE3/+lKvd9f1M+JSqH8wz4AvMM6g10+oank5S82GY5dDpNyMyssm16ve+UDOup28
+URw5QUXdbWxRdW5vo0fTqqqEIVEOoM8BhDgR8YQlJkw3PYOOaBqP1aGztymNa10HCYgfVYNS8XJ
c0pIuZ1QP1UwBUm1IzwvWSw+bMhi5WPsmV3fRdbiWxfcllAym91Uf+1tG3OZ0ucRG+f5zlSzeGgU
119VVZJHn9ht5C48dKNqqtVZDaQDnjSV83VNLevOkZo/joXpH4py+uyK2rhCcppOLDVJEH1yg7Mo
t+n0KVxM8vcw45d7sRYNKMzRGMMT+03laJmCWpDgjkdesW67kGpJczm9l3z0uuz64yp4erC88F+w
BN7cCq82wJrRgTi6S3mveGLLM4Jg+o3t5e/Rgl9oI29uO+B9+IqvBEWIKteF/sNtF7KYKrfPxRGK
9ozPRmwVNOG5ndWQ1cgvRZ31louEOgjV4To0u0Mm1YiixYiCEVZEA3Ckp8aodxXvngvipKUOgMRc
2GKKtHV2RQgzoTkutZ249D5APo/kNNILih/7aA6XqtobY9yL69yoo9L45FQPtdqLLm5ZTOB3UPpG
WjRWityfOKhlRlQd1cvGLHusvgeRX9TdfIWAX0RDHmuUOFN9NXvP+Xg/L/VBV9fYlLLW3OeIXu3h
6+XPsfYyOyhSS2n845NvtxdwxtgyeT3UQ/LrJ/eF/vLTl4s+f0UN0ee/TfBByAvi3YQpjl1ZmRv8
a+YFzMjqhj1XTTeDJ2RWR69YnijvyMZfQswqR1Xemk1zrlhvZG5ekoSWuXfoBqojmhsRC2d7Q0FW
ialiw1UtjOoyhz8ZQm2Xw0SqNh1L245NMVVxoM2vbe+Ou8Z31SHslH/yHIHnDhVSMkD3c2M3Xr9r
pkrj9rB5gxl8+U6F8dIk/PQlAEFabceA5QdvoDJwiY2+lt54dEVgJxBJVBk2oXm/9IsbO8xW30I9
Yd/2WxXBytD+CIcEa8dgiBAVOvRilXs8qszaTFyQrWKC2jAyDRXGcIGQcY4dZjvlAq+8uv46Dkbm
v76Lb+ZxfzyOEAQjoA/uiji63pRIRJZuOfrmeKSzdkBbLHgsitDbjP3spCLQbNMGc3NANT9FvSkf
oE+dN79+D//iuAEvZHVNBwINWPVNz6yZo4zGauSRBCBA5SGpD7BQdzeBm79nbfYvL4XzdBXOoPB8
ew4wp+RcLFIea48WcWuXQ0K5CVwdw533vtl1I3u7NCDUQjcGvehKsH29+RjmGAgXnNdj2xvjmQY0
SIAF2ldajfqAL8OOmnIJYl8PzbE0jT7t5eBEgArB65SdlxWiRhzkXNJ3JpIvfdHrNwatC05CsH7x
vz8JTwofNi8CtjLHYsitVABojWBNW7YYn/QBTD0QK+YXASw9Rvtjzis7gZg037pM64yB07LxWr1s
ATUihW9RBnIO5/dcWX+ufIDnvbQIaDBX+7bXX52TFyUYanZ/7KYR0BAburRspnbvLQPb+HPZ7GoY
dxxNzFb/VreHxwGICUzTwFdCmQDRKqq+H08MXhim9EvGDhCpBKk/N31SYJbwd6segGsgkaPwAV8J
dcmbqqdXYa/4VDsHagxTZtAK373PSPbr5+qnkxYgADyY0CGjmsMW/ea58grDW9pZLQc6mxu7H4at
XAyAD6bPYe/y3aDwb/UX/7ZreNVp/LIL+S/YX0Bc8cMX/1N/cfOE8v237XP7zJ7+22//U3x5ZgId
ym9P7Otvt0hvHJ/Yb1+ffoslK59+bENeXvaPNoQ4HwAqg74GsBdGIOD8Yd390YcQ0/mA1hBj75WK
87oRIf4H5IisnqHgvmGCjELnn60IcYwP2NARMoUaHg+5+3c6kTenBBYr/JghMwSvffVmAZT1+rFA
ws2EuKFyb8CFo82ED7pEmyCSkLPtwExF70Dv6bvPReNMfY7EIHtQn21TWh3CcPyyfM+S+w1f2EOm
+QqQrB8aE9KVp/T6/YAaj7CpkI1Ri/llxAKkEuWxqns62LFnz131hSgRjGXWuRS0lkgsbii2cH+y
CRx+4GDCSDp5i+XBJSX039tg1wfrrw0WahwnxEwfSsIVdoA+8827K0KKiFlly6gba2taYCAoOWSU
o19CpjLCcVtGDLStso5z9JHOEo9uG/DLmsFpK8M4jvhXoOsFxnvv6/W2uu74yM2E3Rw2OLgb4hR8
863Z3GZAyPYDc9tuThdDOtORQJjhiZRDzwJO3+Ah58GJJKxO+D3swxy1a8yw8oPYVHXuBTAWIPMC
64gQyszE8WZR31IkLz+YCr6aKmmGuoJv8qBcKUDSN2eoSF8erv+Efea2o/jPWwDj1Vb0bzes/4rb
0Eol++9/4gk/bUO3XfP8BuhASYUN5wXoIPA2/wB0EdIByPzAs1/9If7cYXzrA44jTOYDgHIve8Wf
UAcJPqyVGSaXKwUHGqH1yf8OdpDwA7gk2JgAj4LcZEDz/uebu/zjafgDfvo3YMdaKf/10IChioEB
qlDozcGwXWlZbxYnaDLz4vXGjWVe2QhHKpI8q9nVbB0666CLnW1c98VxZnaE0C3qnXuaijpb9k4Y
DQ9hEy/lsQ33km26fl9gQedTVHzrEoqgxNsh013CTewQl/50LkQs26RwLmgZT5ige5dKnkK9KeZ0
so8cYJ/l7LwFJ2Udw6AOT2ud35XDo1HFFLmvm26KRxXcEq9PRl7FZr132WVVfSLmo8cuJgMkCvgM
XLTWBSsBNsBCLPBOJqKHHGi0wyWane1cHNvipjKjJuEXgu+xhb9TYrzZIr9/nzhjcMMxcfhJraoN
C8mjJTVuROV+dFVRJSB6+Ae4FHzyJ/jSjGHScZLpB6Cf7sm3YddSa9m/9zZeV8Hr20CXDzY7lNyr
19Zb4gdjIuht4Sw3TWndm9IMruGKVx06++BW9UfoFp+83rkDSZrEVjBs0E7BxMVu5xsw+pNFmXc/
PBPfl92P0NbrLRBvB/NhLK7VRGR9P29HVB1c44rZDvTNYA1GJvsqzMTifBzteUNrb78yKXcASL5H
hPwnbFr/zxVHq8XBL3YlqZ5a+arsWf/gn5tS+GHdjNAerSc5tCl/bkogD3yA6h/URYCCaFTW7eo7
/EpcVD04vTD4Rg0NM8nVGeDPPck0PkCiCQLpikvAHMH+O3vSy8jl1Z6EqR34ZdjaUGZgtLYe9D/i
R/A5GF1ADHeyBZ+Ngrl6mOx8unGpdLaVFMGOiYluvGLoLi1l93unz/ushVP3pbAndZBN08awndgU
BdRJQcebYxiO/NY0J3b0GazZPHMq4K8olkNlIiUM8SIiP/Jyi4wON38vn3utO/76ONjdwfSC9Afz
dsQpgJD6BqwwnMH1cuy8N2B4F0lBWZDWQfDF0DV5Bxd5/Zh9v9JaZGAKjVrorZeZpCKEA6N0byza
umlZTsFuQVr8hrk9PfCw9E69XAHssDXf87n/Fx8SV1wbW0wlse+tb+2He1YGPfxXqZHfuFWoUraI
4tDmjnMsXO/vSj4BLWJkg2RnyE5e+LavL1Vj3ahQUX5LtAc/v9l7ol5pYJxkvsfIf1GWvLp1EAGD
24NliNoXpO611/vhU6Hg9grqzfwWw7qMFmIHtkMWLOORcSPlE81ABID90o6BxaycB26QK7OD42h9
KPIn6j+j2Y0HIralHvczvTSGMlHK2VGHZrS9gXfTHfJ1Ypv627YXh5pWh0EVl2NpVZG0zMsftoB/
sQmvb/b1h8FJv2YvrqpO+POsaP0PHyaY5hqRGm0DKFCTzDeAiE45syI6jx28cQnLfn29n1YjjAZg
bwA3JxgtrxTE19fr9eQ39Tw4t6iLvc2ST8s2hFD0oGnOdv2kw6uG+GC6YC6Y/vrKr08/PAe4MobU
wAYxQcIE580TB3nq5IVF5SAf1NNp0bM8EVZO33nafiJerAca5HaQxyMdYHUBff0Bzd7EaUkm6xa2
zt22JmWzdRqybOAEG8/QRSWW2wiEbWHsUAyYroi89KIBYGlc06E695LZKQFAKvnTrz//T988gA4w
S1GGIOcS2pU3G2g/8VZ2dV7cVXnRxXmLUDHfJE6c9wp2DPZkpcosr4mPjufXF34ZI7xaYyhlcTag
9AB8BGb6mzVmggCB1BN3uBuRnjqA4AGfmjLyNbviYn4YbHVbtzMyg4vQiObW/jwaRaLtIfGpkyMk
VV4C1RfRPJtPHWiBjbSeC8BNEbg8n8FRSRwMz6eep5Oh3lmsb3ptrJm1zYfRHJpYIFCISnt9M0mP
0qVY1HzHXeuUA2/TbZ90iDoWoT7UzIndEfbIxHkw5R/r6P9XKb+/yGp/UaX87/8F45T5+XWdgpPl
jzrFWeEZdEYgGMJDec0h+rNMsVCLQM0D+0GIHNfuCVvL9zLFsT7AjwY/AlABqumLLPV7lWK7K9yD
aEiQ5dGRY3Twd6qUdff6a6UDYYYDAMjwuDqC4VYLnNfrxQ+lQAltO3HT14+y1EcICQ6U9xGd9DuP
M4wa/sXFsKutnwel9E/GFI0U1sg4ooPHDsLsG1r3Zr8XzITdiRw7TCetfrLMU+mG9bcBzx3mZaWt
VWoKGWwRK0JoVFKgVkAhZd5fESA37q4pCvDVLO4GbMvAZikzd2kY2XEBafcBY/CRbz1f+ye7auHO
0pSjhXlLNRZnVtbVnOgQPhyH0p0Lni2O1eJsoxCsJda4uCIziUGx2dTDkjbcWlgyDaDGJdq1pipy
ctduNqMcx8sKpttmpkBNsfeyp7zBmI5TunW0g+Kvt9QFbCvwSuPEVB17Pe0fwwZO6lHXAFaKufA5
/OBVia+ilsK+rLsCDWTfaLeMPBjdQO2EF4i11aoiCztAsYkyakNFY2CU5KSnydiBbtXJZBi1rmgM
IKaBQMjrTHpUkHsyBxF/KJUxI/TycWeFrM7XohRhGNB8yiYOBAJbNuXSVWNkagLhqShwE0ENqtfq
AOPQe/h8L2y3dKgRkLjnRI6CLUxR09Q0yVUP3XmC6UkfCTrOcbM6husqNyNLLDxqHYzObb2+UpOz
pCe4ogr8TaVlijPbjGGPPiYI6kPK/Oiew96/LuAZnpgYWIbEbvDFwbiblNbHUvq33lxf91Z1cmav
j1yr+QqyGlpj2ajdYtVJ1Sx1hhW/4wj82IUUpuEQQ8BaYQmLuMGlEQvH95Un91ARVLGaYP0dgE+H
PXrTUU5jgmSQ2icXatJbpRadVNrZtoINSdPoq4nXhwW4O0LMSSZoxyMxMSjipjwJIQ5KOO6zpgLa
Q/FsaqtOwWgD8SIXW7pQ62RN7rXDoOeareKpFNZ+9otTH2CfboSnEr7kdGMykTncvQxUmyDYpofl
KjkrU2bwsrmezeLcIAdzC9LBHhStCHpyXMwXaMzrAXPMemsbJdxQMLb09bxdZnZhLrh6D6edzlOX
rlU+w3M8LsphuB2kugEDIXXZfJ7ttoyozO/sUR0gtt8SeOWnMhw1vrt8t9h1vQtao4wsvwKbYW4i
TAnW9wTR8KiRyDzOEehmdxQSvbYxQhj+IaOcjcsQmwHxIgfy93jA45G0rHxwhoJEBAE6Kpi7GC5c
QwRgNAlx1DISfjVJ2EVFOJ1hGlhvSlcgT9tqIyMHOVTP5Q0wbUQxL1m+mJguNuLUm/TWazo4ifLw
oK3lyJbqskPLHtmmH6vFOKNQLFAouhoXapyMspqhmoCJbm53NIKs697qQ2C8AZz3wkVsglZiujV+
xBs9WgE+SjgaX0LSpNwou8ulgn99IW8kUM3IDNUGvrEH1sqPnj1t4UTII4dBfV+54nM5hCou51xm
tsQhDLss+NgM9olA2ezP+NAY+QKYQoWGWVVdn8aeQyHu1Zd23zkbxKteLkSgxi35V6lhdTkgZiZS
fNlKWNlHduk/A4LLaBd0mD0V170JDmo5oWpEQbvAm74bIjkMkESw5egUYAxQq1ti226+ITWc4ZXC
z0szxxBU47PmpwbEtl0eqjyFGD0e2v65q0IzKiziRyFxM9eRqTvVJFII9IuGIEzgfF1FAmwWtdj4
f8bqIEqj31RwYrdpVcazH5R4KFS21EsMZGlfzvauyJsDGJEsasIxNVR+JRrpRAvHo2r59KrOayRI
Va6OlduOMbJo7osAIdWWr8p41GhKjMWZEzp5N3nnX6JMDS5zQErp2DPwIjr/1jGHcFsGduaT6V5w
mM9jRL2tyyENNN/NC65mo26PrcapYlKay3WDYzpaCnGSwRJuqgaCLcSmthB6sm9zy+47z//K9LxB
/HqZLEYJv6xSwlR2ZSNg1/iytGbSs8CKnHDqY9bIMS24lUFIPB0NwTHWd1S9Y4rsp2DGOwUNT8QF
b4z7kublVvoyy4s+dWwYmjl1fgWz1bNHhy/cxULvFDDAqnTTMOApFW4V+UFuxAiGuKVGmFhC+5Gn
xzIe3EFg3y3OggfpDCVA6tFySnFIsDMWfZeahh7ME4Lrw9jUglzAd0wkoSwLMGFrHtk9x71VTdZ6
Yu+j3Ukh8XejOlSHjrd7DlAuxujjm42AdPhWNw3OxcJq0yrA3BpfC98FjOx5zWDuHoxdVDl5s5Xd
VG4tVl0V7fDoWPapo+btaFMs687fDLDn0PGy+A8s5PYzjFnImUEEHS26Pfltd2Il8MXOBjMC2tQs
EPxz2Je3lu6c55m2RuJ6/ML3JDgvfG43k11lOPw+L373OPbYokPK511NjG1utVPi5v22lOgaa9aD
Y6y7HfOIEeV+/nkGpgK+6zfV4eZaqg+2iJcAv5LW+gD7Jztt0KnhiGT0tshxYkpAmICEWxtfFG4S
M6Y75tdmtCo+YYU+Ra3XX1sujDbhb3BauvYbBa6QwdAKRJ3ZPldoHyPqCAkXDcZB7aFjVDEXx+yA
aLFQFFZUzANbEZcHhlot7nsRnIe6Qb0Qyvs8zFnswf4bUyGXRIzCANwf+oMswmFnoHCNQ/TjNdZG
xArDAJmkfmQjg8eb4X4M5j5MjW75BAnfFcE+lcNDKdJDOJws6sJoomqcI2J0Efk3ySpSDgfnBscL
JDr7oKuukJx7Cnx24waVnZpz4a0HoE4RjuBcL+GcRzbFCKcANnUTeMujO0lrNcPb5B1cjzokXmxJ
QXiCGaBEZ9XXB8cip170YQIM6hEuZtg9TUMeQTqesa17PgJKKPkKm44vcpq6szlV1241NrhxKHnC
gJj3GDpkTLvVxoFrOLLRvMeF0T5Dr+dnQCS6yKS47ZzM9oU9gK61TGPEIB9IlZHvmtFOA1ruHEte
wIzsSTvTCSvcOXrw70m8vM1kW9CIuOFZ0hnPyRx04B3ilKANzBvgbBGNDcAxZzmYTbj68aivndGm
6G3hje8O6ACbJ6+xL5YhvKjH6rZXTmIa7QnRRzUaR4j5kTtI8qKNis4zEOtpbJfKvYQS7Wpc6Ga2
nI8TzFpzHyUGCjlsgwEPoqk1nsYAvM5Ouvf4tF0U8Omz0tad4Y9DVPn6QAfzFkqKa2oZw96RnoqD
VsMraSiqC0ohpp/CQcWd4I99TaYIKmbrjEgkPu3qAdTmyOnnVm6CYerLqyqoKY6XgPgT+J0ajC1t
wTOlLLmyMPNo6XUBi9jphI1Zm3HVuLRMhsV14TpCAaEQEwPUqKsBt2zhK2ewp2ZYmgd4tHaKw4/M
xlHpFKF9EtIxUBLC9CmuB0irYViAicCFMdj5e4Eer3UvaxsEUq4Fs4pVOQv5yRsMpGBwUO1awG8d
BasWZCurS2C9Nh+ZKvMiniuYnca1m4t33ATegMTrhVcPekwTsAChOX0bjdIPo5KQK8vYMTsCz0W4
W1aRrkfex22AdJ6I8NCvY+Q3mgDkPIr7zlA8GvieQ5HAn7u5AfasNoS39scGtvKZdkxY8fl0LBLI
gAHfBDPpEIxUL+6hNHBcUxvJBhHBMMwCmdU1buUAIXlcEDVd/hpH+flbRWe7IlfwIgIO/hMfhvkr
dc2X8UiH9l64YXuvjHZLqIVTGLY1/kePN4HxDmz2Rsz4cjNXDSjAfwwFkPf2BrEDdjXahaERn4TY
nCpxWG/fwbXBEdkwTTSPBkvNddS5FZ4kSid0GdOMZJ51fwGLOOTheyabr4GsP1YXBhVrEAkMDH/S
mihAZ4pgZBRLrOYD9VlwmBpBTjUa0EvS9+TEOz9XYE/ByefXt+Cn/v4FdMAQDZOrlcvxhpZrliSQ
od2Pcevr4rMqgh7bBVuGIratGnd98BfvPYEeAI1XmIKLK61OM0AUkPAMMfVrTEFb0+D7uVMksl32
AIVZLlP5nlINQoe3ywuMbNAk1pE0DJChgXiDjzYAmnN40efxWPIDEsZuyxy1T99IldhgadxMpR6S
lrj7qWwueuruIHlRSJ+qxHZukZuGGms9FEsW8RF7TOeHYj/55TePyF1eyBb+cSO0tjiomitrWMrE
FG2NgrF8GHsfOkru9BvHaxM/LONFeJlAx+7O3U3XunsfYU59rRPPHBKPdOdxsLYj0HHYxQ67jttd
1NdjnDM6RxgH47C07SqqUZ+BZA5S70KmtVzWl9LOPw5GnoYuvYHk4gsSWA6BCsoELcS59fTD4E57
tzUw95zVQy71oyWmR0P1D7lt7WubHQi2tqQe69Tv0dxNJt8pSng0kfC20FZCC54YuZHBgnjTOdPO
MPlFqDDrFRju1BbJlhFeU7oAJLQIWAmotr4xS3ruHS+bK70RfrCndpB4k05gw/pJ5/wGITdPFc+P
sKTZztq+rrowlqoa8ISJRzihZsh1fsC3ctspKSMoLDCAMDf1XO0pcT+iPDoJUpxLCotcC79MijEa
evkAqR22MZNF6I6ywiEbtyRwv9EHy6woTij13DndLTZJGFCNy0ZXep9j/hLj0UhIl9+xoLCjoB/T
pRRxU/nXpW19dBHqCnnj/RJ2ezjIw4vLaIyon0TmBzxGhBzm982uG6xE9eEjm9xdseAZrvnZmusH
XVRrYbptlM6qXD1RHapI2t21XembFgJ3Tu3UEOYn4vnbQIQoHnFjVbtcCNHeloW5pw7C/0YlYjhb
gcZsB12XQbCFRqJmj15Fprio0f97qJFi3yhvUM3d6VHwBHAYj1sDqwjUL/NKEvT2erwYbXaLaDqd
cQ7qcJUP7RfW2X42GOYRZOjNYrGDRyXy/TTD5Qya5KQ6wnRvP4WLinKKewzCxpJyIAZLGWwIogsj
uIBv+nY5zshnRH6wuCLSHs9sIig7xxp5QIjo48sF4QJLfqZBRkpnX3v9Ab3hPlzwnMkZcTp92NWR
qSDclEOLqUFhVduSNvNF0/VHSM83yBxZABPUaowwWNwiIzbzpUDFZS/zzhnInQNoaudwiQkVE9/q
Vi1r0/owtuOnzhn9eAHBKDYoHXcST1taddXjGI63Hs0p/H29KRH4Lgx/2WA/GON57lzYYpRw4e2O
hHnxmDcX+F4T1nXgXYOYsEbwqciaOwjbusmLqwFFF5JcDOBxQ+q01ckX+bZFzuf9PC0IpJvlbdjj
eOFznlBXdQ9Bj5OIA+M6DnpN60WNFrnwGUzaUYPGa47yICYOFyV3z2SxMtC7MuXm0kT+4JzCMrzW
Qj4Qoa91OcSIaVxiP7fr2LcBVPV42qMudz46g8H3BLPfJUCSkF1iIEXDU1/PKTgetxiopS009/D3
X0ic49178Jo1PHV2p+JRNFYkTb4ZrGlrUnfT5yhjhdvDN9B5WLr5XEnzIg/dzMJKGbrqqevHfTuQ
1CIIIwNAQJAN3AdmzObmQs7VZ8rMtOyMbdU6l5NnxEOwHMRcuJHZtpkRdhsemI9yeTJL80Eufb0P
69EZNg5tSfkgBkNtRg29km+jNtdDlwgmSdrpoe/xgQu8uYqn0g83JvWePaLhc+eEkAS05uxHVV0t
cD1htkg92ZMnn1k1eHqFhv15zW5av3Kvod4dgMfiSw+xNxZWf0B2JmY7Y9WfDVJNmzlcGmCyzb2D
xgyLf27uQ7/UUS+mCX50Vn1rhg2/BIL7dSTmblEkB4YBGr4m3+BG5gKRU5ML47hq1LulQaakhtLU
7zsw4Sbb+DYtQCj2yB8EzJi3QMGmwDh1Dcp0eESixXeLyC1UELVTg8cHbRNATmVeG0Yt8giBBncS
Sum0Fg6iIFttXbLabEOMIAt9WPPMY1Sd48qn5Pu67ucTyQ2/itqiyWPmzxZixscLDTRjw1ux88Lq
wJThxGTMR2Q8IN99QaBGNMPBvVKKp+D2HQMdXI7awuwNzUmC9CwRlzlaskLWe1aYTkT9zgT2gMKy
bIb7Udgf+TS10Tg0TeT6wooHj5O9HfCzmPQVXEiOzsxAjvL9sftizeNXm456Y+YeeFacAIulPAe+
ZFb5+BgaCjNen7XkcwsNGxxgRkCQahkB+Xb80dB9v2cj/MIwwyb4m6FxnIxD+FDFHHT5Y4iWT5xh
Rxd+grl3f12RihSJUQwXjWEFPZRR4dIjX9Mb7d2QE6tPAcMPOl1wFKc5vLxZmheN2HCvoadl6DkA
KSp0E4fExNoTLgeNTNVcPrshMl+3QbjYfpRrtpzrwR5JPBNEKQO1r/SuQH9zMYC1T3E0QCQV57xb
zHRR3E9CFtRfB9Dl70zttDeI72T72XSKIJWSMdgymsjthKvjRxkMQcp7p7kFKdU6inoCfozF4w0o
JLEWd+Hse2XmmP0tzrzgiHAKb4/cI+UBZZ3Mc8uCbdcNGGOgI0pyuwkOHkdJ2INP7kpygara3wSk
u1eAk6fAJvCMsPLEMliV1qvmVcGbIyhJE8NrTj+U7nBthjBQLzU2vkpp74pz2sZC+eFHAs0NUKUq
d74xwJu34wBDyJTPzgZRa2e6dChHvPME66WNmkqUCKFxGABDA5Vn3SYHxL4TzgCQU3qduCbE2RK+
gDrjzuyuyd0rz1YdujQrHO+l30APB1tyFuHJH7YoTQHNuEN9qTT2ak+dhIMwbktxUPMKSFIKJMsK
B+vAxd6SaV/jSAMHAINdQWmQdmZjP2rM9LbW4JoXFSwRgEz7ttj3etE7dyRbo6Dq0rLcZ0yAkUPq
EudoIzYVtSFWqA+nFmyiAicWbUssTAxUsmk27hE4C09gJJjOm1wZUWsbB9sdPzkz/TRy94wU9C/D
0m8KFBUWlJsJYXYNdbpT4Hf9Uq3xA85XWOOyI8IUM5D/e+DZrjHtBjCZN2AQy/XEVIuT2ZZqD5OF
jRM5IUW0YAQF7VfOo1LkuFWwoEocrZaVEIK8XU9EZGm9mPtufwnt6CbIK3GFTLJUL9Tc+ipMu6rt
dxhGGBGWaHeQejkp5O/EoSmHlHA9RmJonnDi0600NDJWeZBVXfM0FgVmVWHrQgWtLwXtkzIwVyze
h5RJPheee+1ZoJiwfNhbrD5qS+sYMPMlmNpfeB0uCakRbw0wJFHuCK8HGJxgqGNua/5/iDuvHbmR
LA0/EQf05pZMpi2TZVXSDSGVJLqgDTIY5NPvl+o1PQMsFrs3CwwG3Y2qykxmmHP+85tqNzpgrUbN
4jPy5d5skbVXS3SuDNBbo5juhzC85rWRlJuE26CiIdFKH7RbqlTnzNCYInADluMxb0vcRedtewut
7G0QeMxXM+KrsV1eMVEdUsfruGtb0VoA/tQNSNvCWGKb8W2h8KrjWxWJ4GU7dn7ORK4qrSXtB3fj
WUdeia8HQ0545Mg4+0XEtRdeR5E598FsuAfim80P8MHpnEmB/KsJ4t6OEK0N1KwxA0F6VoRpMwi8
HhICsbzgxFNo48gl6Eu2wXHR4YY0cTM/x7EoiKZlcvOzrKQ4GOADj1PrPAnh6oe6DZ0XczFq5Ozh
tZcCBlDjtt/8Rd4r3ah4jYrDgjHC09BSneZe/TZE1TvRxmvsZUjLDBI4CBAaE+KMl7h21nM+Arjm
y/gt9CeZNuaEA54OA/nYzav63dZDv1uV/lpVKjhXYatiaaqPts5oELa6vGvy2d8hUF2PHg34fhjX
PskkZeqSM2mSdlnhi9uF+8aZt5tJ6vV2ZicgUA+d2Ymfsm/0k23Xwc4K+tT5095n3WnzhkNdNk9U
1sx9sTJsK+N9a4OnTqHDVf0+j+bEz1cLwFWGCQa9XA5yS8gOSqWpJ2IYs2I6aGMOf5A+Rp9oZBEV
3K0Q4SA/FUJV5c7josNvk+354jhKvKyut7z7amrZwQDf81X5pItjLd0aOz2JLN1aSvh5BZzzXe5v
c2flGRNK7kd7yR6spUpnFR2oqfvj5pRPDA5jjD8e/W141CMRJEb/PLsMh8FRDmbnzPsxYIYxyuj3
WIf9HE/t9MVdiFSCupSAm3GgavI6V6vklut6I5nXHB1G1WaJ3fVtXGx2StYyCd+TUR59BjQcLd+V
JauYC/K+s92LNXdnoJxPZgcuovESv4PATUOfK3oBDYz9oFexsQyEkevxCin8MhOwF3eqehFtd+cw
Z2xCe4vJlq3j0WsTu2eARc75wzDZ41W70SUKxvrZFVLEdku5kAXipIblKkgmj2/t1gD2P+A8oWeI
1OaXcp2205g7J61MG4vrFtmmbX8fhP3mGZn3zKibIsqdlq+BtdpxUI6aB1PnfMvNl4ycZ2aI09fO
KMKYiYB7Ksvt1Vij7inKC4p7SFPp4oXYKxMvtmf7nDwZwS+z837vVMAAfkYktOlrcwewZz0EHZ1a
VRQfZkeJGKmW2YxX3Tlrhsm3R129zPerwzHDmmSi36JbtX3l7G2m0HFUYuMpo+fM4LEPwe8RNXUS
VNFToP08LQfMdnQ354lr0JZ77UPUrjbKyqlOhbmQgT1diy26eH7XnEqX5O8CMjz2RPl2FkRepZXK
YZmXnBT+OEW/nNK4kpj+fd68MSEx/Lsj/cvQVOO17sADVPA+9dDXiQo4jcyAT0I6Z6tlnmM5ecjm
Hd+H1e7jiWHJsxtW15rBzr3KmxDUdunQeMx3iFS8Q16PzMHBLe1kjrbgMiwjAHPRn1c/q2N37be9
3awykWMrjvlsr8dM5S+ME4zYnQC+KUD2RK1P+d6sjKdy9E6zoZoP+P851VanKKscPi+suLFgdNgv
ZJaZ6mUaRsgMuXwQQoavyqsYS9dbvoMIUaa9QMNWLVvHNyzftZz1cQ5n/xzVBX2UXFEkeQqLyzY7
2l35w91a/bNb3C5eWi8663r7YY52iBcSEvCi+joMLtBP0H9tnPG6mX2bTrlvnIJmESkmk3LX1P0r
NJdfWVkX8cYZm7aN890r6zbpw8lKNENpWSxBGlZQCDScuq0vz4Uc7NjWOS5MbZWENV/TZBC46/oP
wapVckMbbFe9hHp+5AmVO+VjK6Pmo5wZsBSef3HsYk28bKgPA8cxSO9jpbKOorqPHkFGv5nrNsab
G76ts/WbAd+Mp3Z3Qm9/LSzlHu26/BDEWx7oeY2UDMuB8RPpDdqzYZQt4oovDGMOsYXHqCm4p0om
j445/OglMPU0MaGmun+QLobMnjMkbV8jVOibuELcH3uG98MLKl4icIvT5iNmH/r+uVaYy8HREaQe
mRcC7Q+1KOa4GHV1Lhar/SlEax8mfgVTiY/ZZnPmS3BHrmF4L3qNRgBwewjp1GfZP2DRxTvZiHso
7P5tGMy3NQqueaNjXXYOb8TWu8wzxoSE0lfLKx/nng1tmOKJOfM3b6IWirzq0pMjjSAfWzi8jy+W
nrQT+7UY2TB2kXjaIgK8/pm77JzSM3ZF7fSsHubW2PDA9ikdUF0V6ZjADzqb0KMZWBQSJ52l68aN
so7RtHP5b7HI1ju59m/FIF420iaToTJepRJfOrc48hS92PT4h1Vcdd9+LJ44RYReJIFxgxBHXe9W
CBSskUjvcJRoEqAzhgqTkXpD/0IB/CZWoB1DDk9VKRhN9eOlGvJ7x1yOc6XGYyaqDp+B+Zpl1gU7
hPswks9tJfp4lN67C6kHDnDR0Cc1X1rTA10Vj9VWvAUu86K+VHu3W086E9/dUL9VlXnwI1hQ+It8
+ATgvaMu8+NFmfuCB3MHPC+B8Zou9rm143yq7vRM+LEFtMg37lYn4lw+B91XSTFVe6S613IOeF31
4VGgygpqvMT6O87rLrEHv0sM2wU3A0XS3oE59aOfQzqYJeQVkgsper6rsTuuhqLywDZtv+A1xb8C
yHaohlRfvA/F9ovN7V7cTlQ7xj4izbMhrYmGAxULn2qhXgJWboTePl4CS+1DNR2tuXr0NRWl4Y1Z
7GljnxuA+NRfDNBp5vfFWF4ZHZd0Q5tDxRJeV7cZgJVEt2dEmTaTX39Elb3EgyO63cIR5K7M9MRU
+anjY16+GiHLqa2+i1zewZZTh0aU+96GgEBqdLFrtboOPt4RQnoPwAbPS+h9DBHkOeES1sHRN7XR
bvObvdBgel3JL1YRuIKN6cCIfOtI0gzFozuO3zw9fooi8g70WBunIsIad8uBYYRjZ/auaL3pvHAU
72yHEACgmivJxCDpmWcxtsweV0/craa6Y8Z0nw9AUs44N/RkOnwOvPVt0TRijpi/NrVZM5hyDqaf
nSHRVbG5cRF2FgV9Ngex2YTFQ7GpCDac/z2crZWrg5dtsj5Lw3l5QhBLxiLx2bFHAHYCQeBcR8u7
2eWvnaRhjYbmjgy5clea9au7uhkLoj0KWuQdcadewrgTKHS5x23voV/Chz5zLmZnOLtClAIWnPqc
JEdAMYuXojUPwmXwtqmQgmlQp8XdzkMtqaGKm5lOJt1Y4La62zrzfXK51YvQpmK3sRNb1gF4HL2r
WsogNsLa2OV4PsTw+pzEZbCqAWUwaT9qA3IHtIsne+t0KhjZ3JtO+7IOi8dlmYfH3KIhcMoWf/WN
LIUs1O+G0SZVrb9H5QYlSxIFbA4gZm4HGd91rnlUuLjltuazdLnuSGUojfOqs58YxwQxTvzND91Y
xn0w9cRemFFKPOwFIpwD8tmuz1a2gV9HMwYbkQ9FCCMNLc3oUuApe2h7o0+WsXyUlQkulnkAjiWH
zRrMrzIzWDBiNmDv9daepJCEqWpP6DVNsVtihLPKQFF3hhDqZGH07/BT5aufdfJKWnN2XQyrS/ux
nfVd5kNcsKwaGa6WoY4LFej8Ek4evicfEdO7PdkJIDEU90TH73y7fawaRsWNOQR3RsH1Ts8YMxeA
qmaNFnTJuuwxM/Vouafq2cPELxka97uowvWotjA7Uv/tLNf8aHX2KY3OPw2e97bhSRjDhxpiCPE/
6yYvk2LcUOD5y9ethndBFsq11ua6I7b9Pfdni6lPDmlzZpxbzFOWerX/FahySYdouqheou1jmJC2
qw/6bmTuzlytLHaL9pMxUQ21vn+puR8ZsFfc8aY4E+vm7OfC3sMWanfjKH9v3sJM4PZ+R+FfMSNK
+2heL700jm3ntbHuQP2qLS+Pm9ddQ2295w1WZeyTu4ZR+s7Ihl8DZBuqqVHtzb7B26r86sHGSd2t
u5g864us81PlDCd4ip9W0ywPY9cogssBPJvMb5JaFz64x41W567fYb0/DwbsTygFY6I6q0tcQiGR
YirvDosZmGGyPvd6u8zrdGVrP21tVzzjEhodckSEfEmBYghrCPWjdbNmR0LGo4cz5L3nDfp2KkCv
BM54djv5E8v/EgSwHmSHdQ477oA9edMlvl8y37Emy24OniqbNuVFuQSUEhiXe05RXgxzMneQ6Ks0
u2HXhSXpW+v+ONj9Q7s1xKlkfpduwwh3TjDxmHznOvTMqjh2TqoN9n1BGQ7Ss+0B7QbQv9IjAaWn
ErLAVZRFgxvQFu5mY03tZuHLU1+U4f9o+pkJYtANCcbjb5hTsp6iFwPcXORvoBCP0dyIhxV+625e
o+HISV9DkXSPGsIZVCiDYrZwu4ljvQYss3ELYiKW7fRm2BhqDKcp6sE0mq9eFh0AwQvG3OK+Regf
izLw4sCYTs0GOSzKNDzr5TB20evo0K3Um836VO/R0t4rn9bCp1kCtlgxllmlF0ywkPIvWaE+1LLR
zAF86iY099YWvQGJvSyWEQf9vO6A3oBto1S37WEqKCpz+a0plMmAq3WJNWHhTVD3KjdckyHr3uGI
pJNqT2uV3c/K/NSO/Txq6653MhugQUKqXaeb3Yp6aKH1RMG2W1wnnfuxi72ufhaNZE1PkBt5x78h
rD6YVSEPIlNP9bLYSevX0CsbLXhJwe5zjvkWXrIRTphXUaPhDvrdaTaOI2XtHN2essFhW2ngp15d
neJb4wxFAkJzxmExDbEA4J19YdL8mslfy0rbS+dUGE3ijnhCTdxdEQiiURbHLnA/FpZ3FwyM23JO
p6G55MCn0pZn2srjrMdv1ralndzSfpsBkibGreHzPFSgh9N0X/smpMqCLHmoVEF3onE5eH35Ldhk
H9tQOE5CB8fJsyBH6lNhocnCMOEQFcHLpqEbSbu7TNna7gcgcHrIDTZEWf0SWf6795rfIKnXzHMf
qcq/1KW4WH3e7nAZe89NAaUzyEgSyF1q982AKxLU1nKHpBvyrEfJ59rLW9WsT1RhU2wX1p6W44J5
wc4d+oJ93OFCUy1+yIMB901qc3u03XK+t6YVkK1R6utg+7QF8zyg6u2zFzdkM8b1UhKl4Vrnuh+Z
yU8Wa9Dpm51bGRbgQkh2rhHMIhXG5P+Wws7fohz79HobZogd05S0s9ksp8xsE049J7XBie0S/ysi
lWCnMegdZ+gIixn0O6ep1K7F/GRn1+gsld+bu1sPX4ZFlmRZ8Jnly/DStcCk8Vz4WeIIbwF2soI5
VZuXQtfn41Y9thHFdppGtbAkPTLPE0gpGnkQsIxYenVwXPy7BCTcjhI+5HJ93ALiUoLetA5Udp9S
BNFj6PQfm8sYx8zKh6mQuBkZk4QRFlZ7c5rTvHDN5zK3vZ2zkpgKwQD+Q7oy7plcLIKdfuxfysGv
oHU37Dx3QT0O/djpjZ+4Ioe71s8Y0UvYYRq7jYeit3wKkugANflg6k2lgb0VMFm9z5GW6UHl7muQ
FU9ZQCk3bp9AmV5qdYORbm4R8Ilz4L9bE+QE+c8ZKvnOkEF+Wgv70a/y92B1TyLqX2TvnZd+Tmqv
ux2TZvO9RTk/c0Jvpe0wOSWxaszn+tyMPYONed1rLYECAGYPZDEbP6qNEzxq7WHfD04IZDkYJew1
v0Fg5bSgfaF8csXKy+dTe1nq4ihMo94xnbpDbzDEOTRkojsH5vh+fSwmRB0d7WAyV+GHYRhv2AY8
mmuwJNpmttfMuLONvpd4nbZ4UEEabIxd3SrCkWLBQcuz6TG26InSYDcZOdGqhfOCZQczIRwscqP9
krfyc6gbCraOgWBw12wu6jkPi7+a/epO17mb7TQQAeIBMadisxhH+JD388rH79hjwEkleql6hBVO
vgZI20lUQH973owlLTBztaZMYzTIoLffIkz9h/m0hhg58p2fq3UYTmMHRF5lxsOoqrPhOl+aFm6m
NCJzX0rS1JxZ3Rtr9XUsp7duCdbTJMMMRKLCVm721rj3puegbvELL/Cbk4XGn6Zml5jufuzrIPXA
Sxj0uU2MHlJCdR0upjV/wO1mmfFnujjj4+1CS4zJ4jZb3GZVcKkmY49a0I9himYvSP7mm7TlAwrN
nFB1Xyth7Zfaz+DyuPqnORtfVjnzjmfiXS1r9hnUMVejoSoOPI2xisOw+iBU+VfBlO3FVS0iglZy
IGOIyiAeTsiqqe5bni/FzcWrYBM7jRFhLrddyyJ3nm3491NcS4+bhqF1MkKXT4pijW5H3NsyFvgM
EkDWSirvLnyXzTjH/UjDWkc1s/OBW3EAw4hDtc47AM+T6AobftVw9o3NP62lgQoDf1z63qe68Zsd
6WY2FoFQjoLWM6wERhEmmePcCtp7WWQj0G9vwlzD2YcfnF1bxQWfKb/w3W/RvuwDSMSEn23tV0v0
kNmWwVrXi3KDHGQVf3HvIoob0mWS1rZzoJcjxamb0X4kXNqr71e/40XaTVNIkRypkn6YzfJVY5i1
pbpG93Fmuh8FqeW1U1IqVKNsF4eZeI32qNhRBK3fAztYu3TCENxPLZ+OKfUWVbEOVn9mapp39aOq
jeaXmqlojKHn0B4m/uhd6QWrTAPKxZu8pWYryojighaqqn75mFq2761mfyN0gEu0mwhNnn81QnLV
Y43tHZmGbuMXEmwTMXXiHWCU557P0+3/8wmWY+us9Qr27FEt4TFjOEfdREaXgPv9dGfHZoJT9WRY
ybnbZaprmjtdhGo8MxSCVmTla/Q1x+BG7rWvNv4oxPIfgzVV6+diKxV+asgm78WSmWXqsgd4W1gs
Hbd8WNpntVidu7O3pr53LIWfolWJ7oDGM1vvzTkS7i6ERd0e/CV3hhT6LcIL2FdQNELapDqxRiQz
L56FiaSdBfO4V3MRVkfuTM1z38wl29ejvwZXJJ5RdKk3M5y/UuuVXSIhU94Uso0ZxgtGwMZHJcve
xAhyo28t6sk3ARoKADhDbrQR4yb4dCV09tSFJ1bD0CDyG5YtYSH5KuDPM7W0Xt0gi8oUNYW1HZRo
jWmIlZzL+94PjOJEWKCEK4TmrvkJHlPoQwEuA6uo8mcK2wI/EAcktm5Vdq4mZC2JFsvAsBW1UvMi
Dd+npGJOrJ+6pp7XM5PYpt2JAVOjc+5mpX2/BIjSwEUYdmR9BShSj46BRH416Zy0tahPEKx2odAK
e/OedoVa3jTrCswaT0Dz2fJX72PKx2VNnWGGoODIKrpx+QzRQp6rln2Y+yPD0EJasCcGy97NN6Lm
GTfsYmR0K9aMjm7uuzkOXWXDSbHpLexHC/q4evbF5rtHmZd8M5Va2YxzH3bBXSByOCFQX8eER2nT
9hMFr3YGjLeQ+ZaojMeSDCrjrsa5i781BuulM9vNPnmG3wUPmy+4PjjQYSJHVqeWY40RQZ+YSgKs
GoUi8KvsMg4OaIPFi1tvQDAmdpVv7ZgXHuMysXX3g9mHlwo+z09j7WduTC/vjgwVljvo8feVzfAx
5v6DZaIMNT01fSOLpNNtzyzRW6e3zejcBx1CkE8rM+zLAyn0G7qHW0YTaLHq+31DdiXjz9u4MtQl
V6EAcY51MTGTDfHBowQiW6NUrEOr+QE5xPpRVlwnsaP+UC+ppoyd60ye+957iiRUBNlRf2/XValR
tdCvwYnnyVwbjrEb/Nj/dlq5tQey3DkkF1NDS6tgzjqnUPr2F8NDMhCXW4CYolg0PWouw7k6wSCl
V6+wk4DFV03KO/aY6H/Os2/oZ88vXkkFhgWrbYRcS2xniw2hxG+W3zmvWz+0ICXAbIWgUxndTmWn
pmBMhQzSfZVAHAOsrBpSg92vxoYKoRwdsFq3+Az0EPpxW5VRPLdW+L2pRX/VKpJXjyBdrjK7YhoH
dgW2pPP1Lag02ziS9WQ/6oq3kzDgEievWkKa7MqdPjvbhtw96lnY9wpa39EVDYqYzfcDJGdeM50p
FmomMdLk4DR1Xp9n0tMXijQHshblsiETCOnMXd3S5vk6pubYtOBQISj4Qy/3S1jva2NVh1C2GTOP
8cYeXzM9E1m6DA+IiDkeGam8TZNEXuLY0k+JXKiHY7liJ5hEPaap2KpNxquHOiffVY7jHDEeLu4m
wN5rZ6I1wrkRewEL8sGwn4LGeiXkc1a8WbNED2KIk8yW9WUuOuu6OsQpAo2BUiaj2Ta7UJR9fuos
h22JBzSu7GoAXjv4c8upNhCR+ggJq/uAWMvxAZgka9R8LlUlnvbFtNuWnLORzinrASpW5xcyD6fY
OWPpJlNZk5pbZSv5iE4Ob5qgw+oOiKcd973pd3djuYVYj0Rrd2osX334KoQvjlE1d9CoAZW7ruOy
7XCzBYDxl2+j31VN4hP62tF/eN4Su9KS9xh+mD+gNFHvkywPXuEW+SOcGn7N5YRAVqLNDuJlJKIi
HqCJ/G7gGCdRiYY7IWQJSWxYlaEb5xtYZsrRosd92aLTileEjFUs5kj5ad9Sg5zNsDEQQbIbsA2V
xnexVeortCFou+Gir2iKw3BHbS/eGRWKNSVMFmanaUANZb6bw1WZfc5vy9RututlF/42ZT89qAht
FmVv/zBFkkvTsVbcBZaqCb+qTvevm+fP92WASHgcWAgJUgDWUmMLZKK4avsvsvUhd0L2Qy/nruH3
bCvdD9h0/GxrUz1cQzqsYofzV83EJTOK52jsO0gIMhCvWSHv3EnIKaX7pkaXk37FNrv4iOQwwh/F
jAGGia4261tQ29aTNkzzhydgGwg1Nz9K3xqw1fXQRxu1RQM1bT14j5ibZ6YmEOtMo3d2sJnMLq57
rOzkPPq/y76niFpNKpKpWey9aWvxDg21QPDjFTnfzAYlpzGV6ewWS3svsxjA41xGLA/gLiq1l54s
C9Mplmc63NdJeDaHlbtAWp68tXpdx6z9NSvM2jAjSX1XNRvssGeK/fxqcxM9hcwL60sVjBDBdRmh
ly4ipK+jPyYDE1GYJVmVOsFQXIeim++crot2IIkV9nyTMT1spZihlhdW8VnmUQZfxJXdWylKWsoN
Ts8tLahGcqtuQZ7WNj5Bjwh/8rHzJ9fJIBZNeWfceb0038Y5KD87mCZEP7hzFO4V42DGe4E3ubDK
uvlU4lpEAQtstS9IVdIwB02WdiVcrjPbualgxbgCI0okCQ8VzcSYbnCe9UEAaLCh/qgTSh16KLVQ
n8au1VhX28deHO1Vzbq39Nr6kEGbKnFCwaiBdNbcPrfeAoSS27J6tHJRgeabqIb/+kVVRkxtkV4M
O2gU2wU/1ejbXE7WJ1m8HPQgcv1zoDumLrLuIN4x9h1PtWFyaJS64YgRrcM6hhlYHJzMgWcjA9j7
shq4fTquZ8hGHj9m3jaU25YEKAfDkJ2mwW453bE3iD1Eo0/ZQA+TZ5pqu7hZzHOpQ7yI1YRXD3hJ
bf8YYdPsPKvyLubgc+wqkiVX0m0ddW4HA57bBFXrU6/KIW9i9nAGbxAI/KKryO47tL67oNTr3syD
eldhlpBQMzADxE2b75EAmRD9i4ExNrxcicULvKl130S2krFEBtumKCDFj6WlYd8xSxDvZJg3wX6F
WDmnURn5v2El237s5Jb/vrCTOcssMSyIYwO3T7bQt9VLjcUcszunHeGODtawixZT2T+nPw9rmrZi
ewdAEe/sYI9MAvqQPA7EpMFbM+RPREPPXJ4Uz/4YtsgByammLwDP4h/D7B5iuLEzl7AkUCsiYc4s
V/JJIEEjOeC9oeyvmw4FV1PlbfTmh3l+QNjtvtgdE1M9a++98B0qy4aSy4wrGrkPF38tJIRuCGXJ
n4qnQurtAWqV/bRsmHXtzKm90dPRaZZPPpxYUHvPHNw0MnLqI2Iri6dgJujo7EzNtp8HcA3BsOi9
iAI0BOX4NnZQksdwqH9a25BzHUOZBtT17zero1wvTem36LNGm9/2EcUOSNjFvsXGAHjMVCyXdhVs
oC2jsYu7jlFg3G3d/Gw163iGWlg+MN78tPDYmBMzx2Q0zRX+Fu+dXa9+ikKDL1Q0NRdJPU62C1Gy
MMb0r+t/KWeI1Ygf2VslbPZd7676us1F0SdhNrLCFfCKuri5hbI80hiNpcEfhVl0u2vuW2lIZ9+s
mRxjRP4gy3/+AOA3O6JDBwvXoOqkvvpDTs3lRLe2zZ89bqnF7vgvrtbs/LqOWJdI1S0z0Vi6G1MC
Icv8Ud/WCpR6xISeaa77yd8q+97HY72+n9ZQZ/sNE7OLN0+Rjy5G8YDqjMTeBIElN9Qyrbo+OqMY
ohSvDg8+xjbTFtvToupjX2h+/q9TILeMzD+HiPdzuqN6QJ0/ujXKyj8nGJqCYCUTx1FlmGTTAlVu
LtwMZESUNi8GLxYmTNfxkn7g1dvCplO2NSdhO3eueYS8CXkeogLDEkoUwLT6vHk1jYSCV2ei/fOb
lXx1WreI5/6nIpQcPuZbM211fwEZcJorxDSS5KYZKmKCEtWu9zk2NNERi7RpPFj+jQi5sFFxrcIy
H/Yk++JkVqJ+N5pyILcgBxyPJbQeVjUEzV/RyIXKoM2y8eJQkx8k80QlFa9DtplJW9BUJaVf8k2u
Zi/au37VVnWcBa8dj0bdFjvD6MYvrCEfLLPTXp5qoWcAqWyEfuJgJ+4mthvlL5Mc8WePpik/92Vb
ooPwJdaxY1kj3RhsEj9jSZBeF28bQMmhsEpU3zGMQHt681QPO5e6iEnRPPhQpJD3s3KqQIn3v77D
Eexd7oXM6/mo2tr0YoJfRZfQrEafTCaVcwAAYhhsOlJe7dITM6dKOGEpUJgm7JVZowISReYxvHIi
D6Y0SvEnGoYsOPi6NFEiLE3z6fjgmpz569ok9raCsnrLZL7m7egOLxpaTnamrWf5uaNm9AIbqn6X
TsSSL4Fd2l0T1NmJy4u4dAgWmaBJLPDCAFMUckd5jWI+mnUbHaW2nG+U+eFHPWQY7xnbXlney9YK
BDClcciWKH/PS4I96048KMJ5Z9IO4woMIo7WJn/OK0bXSMomKErTb3uMviLS4zT0PG7q/WTqL3+E
h/8rOygMdPnf/81D95+cdg+/ulscj/zXP3V7N5/df+UV/fu7u9nb/n/lCdk3P/b/3izq5XvT4Zv0
VzTRLX/oz8//p6Ol9Q/XQoEc2ZwKwZ8I2uVPoBAOvPY/8LInCcDC8sm5OaH+h6Ol5fwDw3nTi3zf
wrMbK7e/OVq6GGH+sdnFH9zzCUz835hF/Ynk/i+3KN6RR59okZkGrRlXOudf7BFzdFcQ4ze6Naoa
iJwtsbyokbb+Z19mRQq47kHBtnKokEvPdgstTh7U07R9eF6YAyI5CKc3OkAk03xZQIal8P2r6xU3
nJXNWCd5vdrBjqCI7qXajG+jkkjjW3wefpgOHiUxaja5pNnmGM9REEJ8yNxCNTHGSGufznCkfjZ+
H0LvbDGqjvH62KANM1O/lg5+hQMH/UBlQCRO2pfMEr4a1GOPpc4RyrMDcaxGsezHectZPyDp+h8k
0f/s6Xd7gq5NOgMGWJaLIvePf9vf3AtHvtlyG4T1KswyYxA4Y8XSuGr3tzV1/esb+btR7T+rfv96
FQvoEQMxk1X0xxDyb68iRrzyhr60XpvWhf5XdONeO5KMGLsooEc3/1NYwB9T8n9eGHwUnw+Gu1do
O/+aHTjbiDad0VtffbNfL3nbqa/aCQ1nv2TR4Mf9XHMVzVNd/ht3Z7LbSLKl6VchalNVQDOLPtOB
rgKCg2YpFJJiyNgQLtGD7vSJ9IFTo4He9EP0uld30bte9i7fpJ+kPyPlkTSKoSFoyMzOuMDFjZCu
ubm52bEz/P9/LlEcMAbCQ5wn3DzkTshmmX3gLtTNV6ExP0c2Iu3EOJlX7WlMEQswlHNCwSFzuiUM
jYQ6dGbemogQxITO5vJjxU086C4MlNv74SRNOulyngP8SlxBq7esKOutVtrS7kSwFcpuMHEoQUDs
Gr8nDnenJKAmAIRbg8EVIlICuGFOJudkYKc3djBYfA1GMQ2Em0UlcJt2/s1MojHSh+bEgXM6ExHR
G7+dbdmQp9umhjiAWM8d9jS3b1kt7MVdOUq/DcBhjJqs0kp3T5rRIDx6u5X+oYz5tnF9vvvbX9AO
CzXgH5thLhSULSRDLP4Pj4p9Nm3dXHpSGnSXXUvs1Yp9tEWgOzICi4hCOuZGPLhW7DPomGDBTsKJ
sZAlFW1iHxX7TO0XrDN6w3RJ59ADtniLEWYqu/x67D+JIuRGhcwjbXfkHZJAh3FmBnwbMlEgfOMl
OnBHc2dif8JbNdGSrQatojsdzZCEsnE8PkICanvMeHE6aGdjHeqcjcZWFFRmU8TEenWGiPI4Buxj
uF+sQRVC3CsTZNHboRtZx8jCziFmrWaz9wty4JRUoUyK2kXR/lrGNq0KCmIY62jlTgeXKbBRoiBU
iOACOBlucBI5E9rVtOaLi7LUjIFQ70N7DARl9H5O5edEVJkunLwcXIyM+QiImDWefuOemPcQI215
q5WICfOwHf2auWlMS+9lTJXBQa7jKgyjxa/ldOZ8dNOEFGAAYQxE3jhw4SQsR2EIDc8kbT8nTUob
xlFSIL8y1YZBmkBabEJT+qyXfOtOa8mzOwNEVsBNabPpgAQ21AnouXn0xQrs1XkaRrZ92tQhyoZa
DJaBCK5boR54BiIniY5JhlNvJaWdwXIYj4fBOGouOzZ5rbPcniAU2pqVjk0XsCXpcpZV00i1lHOY
PnlzNutZhks1pRykZBLMZlt3++PYMIQAVzWhOVZqTC6zSQiJatKEbWSCA4UOZMf5BwQgRs2+UbSy
L+OSOkEPZTOqiVO9bL/PI8NuduNRG9LwNCkWeWdhJi29D40u/2xklntP2wUc3akRwS0rkrnmzZqa
Bs04SNqDXiQEf2cBWYiTQWs5b4ElGFO8p4l7WXUo1BA3OzAJru2CTn0dZLHmk5P22KQSSMYhNY+a
81Q/wb4jM2C35jHyY9qq/RHZUpIqWqAD01xUFuo9IOGXYS91iB+PK9IhFAWgOkzPpsVkyYOsVhR2
pmkm+M6ZS24fq0tjsnIaT49gjmQAw1pGe9YP3IDB8jCH+eGOc/22PS+dm3RRBqdUsNo3iwHFvk6o
UyTs2gZ7bDQK4R84RTH7SJobLJXjCJ0huIyJfbYCxl2BdnYAB46ETODAsSExtCsC3qXdBmOpt6l8
oGlgOUnfSibQTYNVs33prDI76poUr5YdnS4WGnWkpk3m1SlWK/hqywFyOmBorRNSTDS3RYglbSNs
CX69D/Bl8TUtF+6vk6YOv99EwIX1KcyCZiOuAMhRNySjA2z8Pl+VjDStKrcTLCf55cpINatLO7DW
SZnM4qg/H8OZJuhazKkj2YGDHlVzsfwW0QLyV6daTckEzcoSLPyYm/s0gAhskYzARHRQ8Mq/aaN2
bEAYappRT7MibdSbZTpvExvNjMArHFifnSRLo65hLsi5lNDQWEzTzD8VaRh/i2fz5tekKMEXzvPJ
wC8nEyJJTuD8yprpq3EvntCJulsVyICRhyAfRFU9R0ppEGrBZ6DTlD8A3gObdxZBawSrIKiAkYTa
iLRDPI5HvWJljlED02hojlBxmq06kdg8XbqfFc5ZapJvg0kSkOwzohlk5AlZ1ujYcpvklRdLINlT
K0iSXqtdkvrhjFZ5x2k34ZPQeQHxSJsGZuPjMswRypzEUGKPSLLo86Nlk5pjD5qUbZws3SgcdbIl
NVLSYGYe94VuqYkONQqfcDnmQPKDFYHp0WC6iN2j1iwyv2RWPjW7bbK3n6xqDrCftNy42dVaoyo/
t2JzJUCtZXnnIlgAQTyeRfZJNQHv0TdAtGtHg+bYoZsWMpATrE7LGD8wlQXZVhs1vqOWXZhfF65Z
zTu8dHUTONEo6CeTJnVEuOEr4xjehlbemHnA7mg2l5Z9nZPyymG9o4XYSVuaGR3N58V8gp5xEQ+b
Y7vojp2pezQWEAaRCXbHAOVIalZjjVyHk0SdGejJFD0YkJMobuSrUEDSUCVxFhb1C9Avg45tJcch
zt4FvIdLIl6a6SaDU4vv3g7T83a2vHZ1o++O6HYO1qijJdVVJEBznOFkMntvTlsPxST8AIph1jHG
AMTy6tiogrA3GMxBLCflySya94w2+hYTwLpjYJyGi9DGBA28cETOJLe+mC1zCCL6FqQDJ3RCDK17
2uh6Vk4vkaGgGzI1oiI4Lcrx6WTk9pcEFiuQZOSQ3y9gUiXT4Es+azd7pTWdnjj5/K5KBxog23Bx
YggYSwoMIGmS05taEDraaIMYejeeWv0Wrdyd6oGGwml3But27vK0uDU6HueofswHcIqM8WdU4oKj
MoaSOh6juz1IjoCRdOaRYaLlFKNdsTwLV5PozCyM5lk7qe7g+Cew3IreJJtnJ/MI1lLCMV2Srwau
CXSkfZKPAP63ZzcFis8zG9i/NsHwgPQxF/erGS0mUwEA4v//GZWEz8UYoPggNW+pk5zNnOC8HRkX
0QyYYwtBRAzt8ng2pf9gE+bz0WRkfgjixQPJu7SfzAJaWs7BL6Dxmhef0tYINTpOaV72m6Z+FMxM
zucKXFPrDP7sOYBRrQvoBrCR+R7lYaEzaXRpHYQsZIGsa7s9/UKD014yjvzMdpHcjCGq6DBg2p8m
BY2bbAHMQmsk+oTWbbcFjAueKElLwyD/m1xiiKDqLIDCBAsUD4MVhP0g1T45GTWqUhNuTFw+hBlo
0ynctaoUIjUrYMHN+GiaTe9m+vgLtrRLSTo4bab6BypBMHrKDAMQIr0IpN4xjnB8bqdOdj6dxh74
mM+LQdmmObKm3UFpP6qsBEEZMuAAWshj06Lwspi3KugXQOBAmH2YBYxJJBH1s2oKga3ZhICSVPlD
22yOUSSaaZdzTaM2tfhiknBjV9s+jyObH10FYZ46SMdYLkIjAxy0RLsca8RSwWB63MbX6FFZHK6a
FpAsxAzi1eBMn4ARJLePXwJEarYAgBFdm+M5tHbjZtxCujd20fnLdBvNl9bM/LXKZyuqn6NehOhB
mx64nShdftDN+VEyplKS6siRtfmGKItfJxBe8/wqH81Gp2iqA6SO4KiWp3mcuqx8eI9e6iVZczBj
3BmL0VXTtk7LpX3tlOimzLlhF+Av4cfd6lYqGqPSuZbcXmCCtgwmyITg+lDfiRASheag98xsAAUE
pERJ6URvUpbLR+dRZF/rWnKTOgOqMlHfKmbHo5Z7rXPJWC7JYA1qZYUaJbh3eBdT4C4w0SNkL7+S
3YSrUHzEw/gSAmh3gwewbBdm/CFcXjWJW0k93FZL48we8PmtmYcHCKccYKARhyewLVFrGn2K4QI7
Wn40yMujyh02s/ICHdc+FIDBZZxTyIHO1IyTpNtGHhFheCq5SEWbWn8aRAgJBwv0KGAOHCPsAGwu
r06o2vbBz7d61K0ozITp14GbXZsTmg0eD+gtTwnf7o3oy340m0fvrRkXtGuT+hxgmfXVA2qYIZpY
1gpmggmDPscTaa3KYVrQ3wxsam+8otkWbTRPXDu5mlvFebpAbTKKMSdF+CVBdKbHq5HknCNNEllT
D796duJm3kIXgandWkL0tcsk+AqPpDlCHqnlDI24fA+bZBoQFJRlmwptSy8Eg6OVHmVRlS9PcjuJ
vqLC6wI7smMgriDRF/2wQNqjF1A3n6PFUzWPCLa5C4pJFV6Zs3mRkOyE8tmZ2on5kFvjxNPMZElV
1bUHk77tDEBQDibQQrowUmL8rDQN896sirUTy561yDgvbK7EEgQbglGD4nwCfykDoAPHlfCl8llb
RKR1G0HJnk1be0BLk7b9YTxKkm+xpaEynaCVAhGsjSxAqz2djwSzX/uslbSh7Y3G42rR1Wxgz1f2
IETyxZ2RcSnimXmLco3Whm3mmnEvWCQmKoPLxWTIAWvRnDeP6SgE93aVALWsyK2BdLbGvYlDUrir
cUF8mM/1QtAayuX7uDmZlf0EcVsLRjlK7SdcQK12D+nSihwvYFWmmeIjnbUmNikU6EjCtwR7aJ9l
Udj8DI68eYVvspyeUxGK+kmxdIYatRRSNZOKHMuiOV7d//+WatjKDvd3G8x/7zYmcsfrnup32c/9
Ut3GbP9Ar2tKr7fQspOyF+spfaj8fPncCLFXhmU1pG+9bf5CCxuD3gJ0ORJ/EM+Ls3T0+GPX+cUx
LeQhXR3wBH/oE8HztlboR2vw/Ovd+EUVl8//znMvsJUXN0l8HbQEhvuL1TLod2ORHt1696brksUB
CmuItLn4w8//Wi8v8quHvbv9C7kow0F/ZPP5yRFtLQE5rF8ciwVwN/vsL/TdRa76oFdv0sWLb8sf
sam3XrppGb9sdjsok/WfN2z6V6zQdxPSBZQ0XBuP0C/WZ3ZzLF78hfrcPB1gu2AkygbfE4jrX71b
TvzN4JvzI/7+Hw9ZlZb58sYfoUyyPtlbP/zP5Ha3/ir97qbKtvXT2ixsP+txPZ7OdO871P94Evq5
lz8Ey/7a/j6+lSjt/fs/db3UG0oZWYNN+/s0/v2fpFlu7ZLnRj3OfT+N6aZbDyVqbmLXHzrwpb8A
3FSPI0bVRP+WQ4fd9AO+Zp1yf90E+DLE62AX10Ova4bCYh36pI9pWPrDxm3plX5RD7ceXVjeQ0fv
MkDuxY13iZ+HD9Jn1elAxsn74ROYzHcD8Nyn7Xp5eH/ve9LSADAV6Xk6z7ww/r4N/P0CfLqt5Yvt
7T9/nM5mn7ju3/D8vktLjna587ERAX7mU6y/9J/4JVqW+Xc0pe/iey+Vq1svfgUuBHrtPnfe3qXD
LM+loyxKZmtLLm6cnzPQ76qizOW5agrsT8ePR2GV1PNb2zWt/tvPzxYNIBZ2bZhP/Hzlj7JZmEpL
ouO6HbomTN7LK9koK7gLOzQnwGZK0zUUTLfnp4mXR/V7i7W2Faz1ac4yyBe3rWDD9Ysy2zkcznPX
xWtvo5X/EMhrK0A6h24FIPu7iyD01A8e1sszv3FaiLGlfYZrefjguZc++PU4Yju0FZzo4/Aeh4I7
ZntgV8GXOyaqTgt/KY37nIPyyh1x7OeQmeVhVawDHq28uqJL7aEboptn5A4k06C1FIx7UqXYHGkR
tJYCW3b68MQ4aAJMdeg6nJZeLM9WU7AKZ36+s8EAZR0+2TMvbVx6S1/2gFXcQBdeOdvZDaaC1b0I
KdLuuiYaPtjB3+02zmZetDtlBWt8EWLXSz8tSj+U11kkaQ7dbhfVwk/uM4oH9VjrCAGE0MFDX6J7
yprUA63HFR1YDp3yZZZ6O4GvpeCIXArbXs9uPVlbwde78svAz5/ccpqjwB++yvK5J9sKFVcz8M4d
r0dzFRyQ6ywvq5EXS0usIhFyk3HLyQePLFv9mJ93tcWJ9ncH1hRs4Nu11czDVMreAM1TMOeJJxsJ
eiooGHXmEdDlw3okcTp0XcUSz/2hfHnouoKtdjsPy9Xm1MlTVnCgP0Y5Syw5l7qK++MxG3ZOYXeY
yWGjqWDPfcK5emDfdcNSshi6aFqkwCJzQfmjXN7QKqKaWz+/3znbjoIdQuDhN7JvOC/ylWppuhrD
XAaM/eAPdyM9zYUjcfiKn9NqaSattuvSjFsgcQ/9mL/9d2H+94VmjkknNYP2dJrRtlrQPF5+3J+X
WhMAZReCFpwTzXEMi+4bB+c8t99G3CuUPLb/qS8yUXXF5ZkfKUzlmg7d3P7g99ok6qQM9GvKKx0v
EJaz3qBrD0vB3dQFWSpnqgT/6dBDcOytPCoTeTipx1rPVxT0Dh36lOREPcp6UE2BxTktcs+XXSsV
Fz9znUpzVXE7n2X5cGcJVBhdWn14YSnN1lCwshc+qWy5+qWpqAu+x2mVJmsrcP8+gB3JpVEF7OLQ
HXvrVcOw8S73dm/iloIA9Ha5kxDWdQWH7NGbEnNu9JMwf1JiFA1WD12Xz35RNjpeKiWeuXYOH/lX
P9lxi1Xks6+yBpvun4vGbnzHZX74nI9F2Ni4re6HYOQouUpHEc6hCrMMmvl+n2cC9U+DtqrAMXx3
XzUuq8Kr12Nj9tejK1ij/3LTv+3ffOr3/mtDbB7Svo0n+x/HpQUyytZ0yFUoqdGZvZ7Mj2LZfU7I
H+N/2Db8RRPlOxMamKMBdfqdWrb2EB7dpGfQHk+QIdtv89fwsgwXIuurvCw8wBSz8uSd5PfPHgAN
vPA7EtbkT0LEvPu2C51wnsaij6/8yprE/iK9BjFjd5O/cdxiJ0rUBGtRtvBvG7FP1+mJFOfDO38a
6b9tUFJ2RIb7MClrUNVBE14Xsr14Zx3Auhy4ELdwffbO2cAReuJhvW093ouTIM8YNgI9s/W2acEy
he9vP3Vh3vaMa5yi0W4cvs9w7ax+9Tt6rXjl7mbPeDsb0W7TO0BvuySJ4KYJROxz/sFrH9QhWR0+
7MFOOS2Dw9RG3QfDjJAJzYh2j8FPvNelX2STrPQS+VPti7EPX8RLD61m/76etriBBRFa/EcISTj0
u9Rbz131r13E7/itxg+y9OhcuG2DVTRIo7Z0zX02WbZ57Pbt1WejioTAH3QX79lpdWD+x9zFP5kZ
+BEXXqze8kc+z+ZZz8GFbqpi5yyuUe3ynbB1GF55xu9++z95FC6lmwEHqN6uP5rvn7cvdHEVHroR
ZAfmr+GcjALujqKU42jjpQ/x8sZ5R+3g3gvH8sAvfuFXDJwT1u2Y0MOnSwQ6ir2hXwT1WMJkqijv
Xy7RwpcTCrqCfILoNyOvrdAYOfRcdhAp98N6HLEEhoK5dj2q40P5m6kAItzmYeOC1IEUaD51rt9u
nrD0Mh5QBUrgBOJO41z81+27m+0lRmu3/uuPDN/Lx+IUXGfq79hqjbz2wXuCkeVPp2kK7MOZN5G3
r6YiZXUOO3S52jVnmqGgzLqJOmiT5UvbDf21w5d4Ex3sGVvBxjgnC48c8I6x0FSc6wsvw1/b2Jx1
jkdIiR1qgqj4edmTI2IpWGUwL6NsJ7TTLAVLDOplGM5k/oVmK7jrGNhb7p5pW4FFvvInOyASR8Gn
u/ZyyrXx3uTiWpjpQGf0GmzYk42sAjx6DdcL8WPSTtJ+fj5CeqWrewsYwZtgNuqjsXYsNAW74y7w
wt0stK7Ct7jzxuHTldaFGNahp/vOC+ey3UdnTsGwVR4Jt3B3d+gqLNLH1b2/ZzlUwPs+hX6ZejJS
RYWpe0/1IJs1TssqryaNf2vQxoVuQdXjyazXe22zhaJZ/Q8/7348PvC8Sr0CyQoeWf/PcN9DkV1T
4EPcTqhJxct99oYEjgrf5zIcDgG59L2irNdILNoGMfDjw4AVeRX57XHVboMwIjGUsmrf/+cG1b/9
UNK7YDCe5CHf7t2ubxWPD5SH8f/9b/+jiLyl1zjOlxA3mcGJdw8WsP5qkj0kDWob5pNs5dtncBcm
Wd68ENWb7TdEJM81BGn+UCtz6xMURPV2L/6tF3r0ECp5qw9VOvRkzA8arYgEHv7QXhYNMxbwzosI
I8NEchNdNAjB0hz+lHOvCtFPrgdaH2HUDIU2dv1vP3+Kr71mHDYfYMA0i6Kqx9t6hoJvD3BztGdk
BTbowpuUwY5bs1maFy+uPy+xJIpBf8O8UjyCMSydAAXb853w36VBFRyoTlYWuCTSsJqKcXFHJHCK
Cvepw31OOL59flR4ON3AG26P+bRC93Ybf+NPqvuY+goIUeD7ja6IvqSHqLC5fpI94ATwmJefp2AH
ksnyc3puSO+hYLN0aWmcy8G0pSBn8Z2/v65Bp9/XaHv6z9a2XunHdL2J3/jk50PpOgfGcPBN3huH
EGtKacfbCkAk/dFyUtbTExeciqi6P608HO0QxYTjimBSsim2gm3Sp5XnTv5JBZC7X9LhfiKbaxUe
0R3H/pjcrzxyW4ETcYyTKh3CtoK9dkwpRPpkT4v+bzeDTzcC4hb1xvt5T6372/8u/cbwn09nWSin
Fujqcvjw5366lJZiDxLk7WtxEd7vegU0QD18tgQSGU3I64HW/qqKMIX57qyC+aIn+XKm/pI4a+QV
D3JNSHsZofaaoZdZKcdU2rPl9lfadxExziUbrAk5rkPDNIbdGVTBKb7kIn3YpTYqOBKXHvFyGVZS
RKzZCs7yZuRdCI+m4pq7zFbC/iI+VH+t9eFQocBwFeLiS6OquDLWo8r3haZCgWFjhpudsCg8ObB9
ir56u2G7+e0fFU2HpBuJhlz16vy8mb8hMpHltOitdPiwt/7yIfDj2Jc2My1NFAy9Abo9AT3qKvQC
yOv4O+xXXYVewK1Q6vIaFz4l1HoJxEHRVVQ6b0mn7VSddBV0ldtquJNJV3Hz32VylLZuO3Ooob/9
7X9mDZpI/faPtejOdf7b/0ofQhkYqhsK4kGw7eFOvWzdSenQF7jz0tWugdZV5GI/jp4ccBXICPIE
ERCGxpFXSG6RrgLIgNJfuOPT0yylPjc/b+z65GGAfksuga7igv36JAbRVZQfvobJvXc/ly2GCgbS
Bg7w9Hyr0DvoUJy5w5mTeG4AhA//fO/ulzJ0yKFiCPSCLmMOhF0M9cvx1J+Xh93oGR6aid2evzgI
z6FWpWf1v6NcX/byERYLV/KuU3D6uhnF08bNrvKfgpH7cePWi2cewnP1LhOXq2gvdqhdPibh4nO9
SrHqUxpE9TsK/ZURD2CtocCh11Ncu80vqyC+/PGuWODcG1XSjLVnpTRfOeVrshdy0UlzX1zi7Q37
+x7c969bErh7d+6rfv74wcVq7sOFSwM/nh+W9Pdd8oIe7va8Xz5+279dv/ur3uIl7vnWW35XMv1j
X22zD7vbEsb1BJ5De7/Lq3t5Y9b7/+dvdchKIdt97fh1vPwer7UedO1i13855AkjmpnJNkAFvkbM
FqMl2wAFIZJIi0Lk57BKQ6vAP3a9JezUfYAIFWiV7s7uUJED6mU0y9m5dFQ4Z/W4+4seKsB5iFLv
al2rIM9ypQ2Riq7k6EhFluIEar/kXCMgf/jpO2Mf73w/epAcPu6ll4tgYDd1paIsBhC0LETEX9bT
XF/vKiph18hQlplwo+S4SwU5fKMqfh6WZbG2plf+LJQtiAok1+YpF9WDnIXTVSju3KHXFQ694Xr6
d9k9lMLtL6CrED28I/TdrE+XfZkV+4yh/pTX+nYXcbNQn0JUUtNy/UaizL2xCk+QpCoKBzQ9LMMi
aHwK6Xq618jDeq/X8+ev04+3zz7hRZfyZR+4g/jgTtVKVxENdPHYAY/XS7B2L1QkpW892SvSHQX2
DVxw2ehXBF27RQVdRcJ7sztxYcrgt3/EfrLcXhVLTdKUF7j0eIIss0HEr6KYvnmBzS3Q+JcjBH8e
/H/dfgkDOumLaYt9Pv4fwyQVCYW/JWWQLYuEs3w7qFB0hGDzLYujPXBhG0U52kG4to0+W7sNy//F
OuGf9903hP462lqHYI+h6Fsi2Wd+98/SschHIg6XERIqMNYdODk7MsUqpKw6ubeSs5yGgqtLfE8p
9aYCZ9DN4mwXJaOCBdB/IJaQk24qutscEfg8BALitIOXUZGfPvLiSJBa9rltjlvb/5/3bo4r+LhS
BkJ7Vgfhlcm3W8ABpN+kraGpkOEXnCrSJ9L1rbWtwxfi2s+repR1+POyUX3Zs/uYV7uT1VWckE8U
fld0UJI+HJoS9Qv8aD/8edfAPgWWv+GlsGkMhQKXl2TSx1HhYXbovbCbLlQQ4NwKc5vtDaBUEIW7
mYg6/+Xcp0yTjv51nyFTEQ2u+chC/AwXWRjifc9RoRTfzbLaJ5OSDSrk4o/CcVgfYWGDVJBQj1DD
FlKFdVO0tUJxSLfmJ+z4Z/uLvdLuP96FyL0vn46vwN94HH9dERYfW9yM3+W/hPjBUPooKi4GEpAS
IfGpdNTbcyUnPsrnjzt0/Q6XDz2SAHH9b9JLIBFWb4of2fWXb6JzWFL3hNb1SOsrTgXEpBvk0EzJ
3T++jvwABTO/8ueNrhfvkb1WoQV+Fe5gAVUAyD95KYVY2Z1QkSO5AnMpj6rizIoF/upTNJbbUiHL
XX/Ln99212H5QG5r7+WCcJmCB3gTimniFfYgy9VwAONdhKSCTc0lVcDN268NoKJgv0kXnfgxRZn/
1HhXkJQtQGRuMs3ixFIWg99K3+1A8lPQkzv8o9xlEb6ptFN1Fa7EHZwpebYq1EbuKlpR7ExWwc78
zOcNN5n3o6qECF6v6zoPq6JW+MTJ1FUwartC+kFUbepDuz1viySj4yBgZ9EboAWHV0VzmI/bTVsb
l/QwyRvvK5js+It73ThHsIdbKNq2yYIh6fgyl+jPC3z2iSceGvhsv42wzc/DqrZ/u/+Iq1KN69gn
pvgXe8sXluFxDR9iXLP/+H8AAAD//w==</cx:binary>
              </cx:geoCache>
            </cx:geography>
          </cx:layoutPr>
        </cx:series>
      </cx:plotAreaRegion>
    </cx:plotArea>
    <cx:legend pos="r" align="min" overlay="0"/>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data id="1">
      <cx:numDim type="val">
        <cx:f>_xlchart.v1.7</cx:f>
      </cx:numDim>
    </cx:data>
    <cx:data id="2">
      <cx:numDim type="val">
        <cx:f>_xlchart.v1.8</cx:f>
      </cx:numDim>
    </cx:data>
  </cx:chartData>
  <cx:chart>
    <cx:title pos="t" align="ctr" overlay="0">
      <cx:tx>
        <cx:txData>
          <cx:v>Waterfall</cx:v>
        </cx:txData>
      </cx:tx>
      <cx:txPr>
        <a:bodyPr spcFirstLastPara="1" vertOverflow="ellipsis" horzOverflow="overflow" wrap="square" lIns="0" tIns="0" rIns="0" bIns="0" anchor="ctr" anchorCtr="1"/>
        <a:lstStyle/>
        <a:p>
          <a:pPr algn="ctr" rtl="0">
            <a:defRPr/>
          </a:pPr>
          <a:r>
            <a:rPr lang="en-GB" sz="1400" b="0" i="0" u="none" strike="noStrike" baseline="0">
              <a:solidFill>
                <a:sysClr val="windowText" lastClr="000000">
                  <a:lumMod val="65000"/>
                  <a:lumOff val="35000"/>
                </a:sysClr>
              </a:solidFill>
              <a:latin typeface="Aptos Narrow" panose="02110004020202020204"/>
            </a:rPr>
            <a:t>Waterfall</a:t>
          </a:r>
        </a:p>
      </cx:txPr>
    </cx:title>
    <cx:plotArea>
      <cx:plotAreaRegion>
        <cx:series layoutId="waterfall" uniqueId="{AB8CF9AB-28F1-44ED-8B49-E2D2553612C2}" formatIdx="0">
          <cx:dataLabels pos="outEnd">
            <cx:visibility seriesName="0" categoryName="0" value="1"/>
          </cx:dataLabels>
          <cx:dataId val="0"/>
          <cx:layoutPr>
            <cx:subtotals/>
          </cx:layoutPr>
        </cx:series>
        <cx:series layoutId="waterfall" hidden="1" uniqueId="{02E193A6-CAD0-4C52-AE4C-7E0F32282E18}" formatIdx="1">
          <cx:dataLabels pos="outEnd">
            <cx:visibility seriesName="0" categoryName="0" value="1"/>
          </cx:dataLabels>
          <cx:dataId val="1"/>
          <cx:layoutPr>
            <cx:subtotals/>
          </cx:layoutPr>
        </cx:series>
        <cx:series layoutId="waterfall" hidden="1" uniqueId="{F9576C4A-F7D8-4395-80B7-4BA92C4215FF}" formatIdx="2">
          <cx:dataLabels pos="outEnd">
            <cx:visibility seriesName="0" categoryName="0" value="1"/>
          </cx:dataLabels>
          <cx:dataId val="2"/>
          <cx:layoutPr>
            <cx:subtotals/>
          </cx:layoutPr>
        </cx:series>
      </cx:plotAreaRegion>
      <cx:axis id="0">
        <cx:catScaling gapWidth="0.5"/>
        <cx:tickLabels/>
      </cx:axis>
      <cx:axis id="1">
        <cx:valScaling/>
        <cx:majorGridlines/>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81">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6.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iagrams/colors1.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F8EFF17D-CF70-41A8-8675-680E4A67068B}" type="doc">
      <dgm:prSet loTypeId="urn:microsoft.com/office/officeart/2005/8/layout/cycle4" loCatId="cycle" qsTypeId="urn:microsoft.com/office/officeart/2005/8/quickstyle/simple1" qsCatId="simple" csTypeId="urn:microsoft.com/office/officeart/2005/8/colors/accent1_2" csCatId="accent1" phldr="1"/>
      <dgm:spPr/>
      <dgm:t>
        <a:bodyPr/>
        <a:lstStyle/>
        <a:p>
          <a:endParaRPr lang="en-GB"/>
        </a:p>
      </dgm:t>
    </dgm:pt>
    <dgm:pt modelId="{160AA31F-90CA-4C5D-A2EC-3FBF38CE169D}">
      <dgm:prSet phldrT="[Text]"/>
      <dgm:spPr/>
      <dgm:t>
        <a:bodyPr/>
        <a:lstStyle/>
        <a:p>
          <a:r>
            <a:rPr lang="en-GB"/>
            <a:t>Linux</a:t>
          </a:r>
        </a:p>
      </dgm:t>
    </dgm:pt>
    <dgm:pt modelId="{DBCFF6AE-D1FD-48B8-A096-44F76563D180}" type="parTrans" cxnId="{E9C3ACA3-AD30-486F-8162-41C51443ACE2}">
      <dgm:prSet/>
      <dgm:spPr/>
      <dgm:t>
        <a:bodyPr/>
        <a:lstStyle/>
        <a:p>
          <a:endParaRPr lang="en-GB"/>
        </a:p>
      </dgm:t>
    </dgm:pt>
    <dgm:pt modelId="{DAC0C57E-6CC1-42A9-AD15-D8BB0E097E31}" type="sibTrans" cxnId="{E9C3ACA3-AD30-486F-8162-41C51443ACE2}">
      <dgm:prSet/>
      <dgm:spPr/>
      <dgm:t>
        <a:bodyPr/>
        <a:lstStyle/>
        <a:p>
          <a:endParaRPr lang="en-GB"/>
        </a:p>
      </dgm:t>
    </dgm:pt>
    <dgm:pt modelId="{6EE3EFF5-B52B-4026-92F5-DDAA99DC4D5A}">
      <dgm:prSet phldrT="[Text]"/>
      <dgm:spPr/>
      <dgm:t>
        <a:bodyPr/>
        <a:lstStyle/>
        <a:p>
          <a:r>
            <a:rPr lang="en-GB"/>
            <a:t>Ubuntu</a:t>
          </a:r>
        </a:p>
      </dgm:t>
    </dgm:pt>
    <dgm:pt modelId="{A608480B-D194-474C-91C2-2124F35FF160}" type="parTrans" cxnId="{1D6C33DE-BB3F-45D7-B943-02474F8C11B0}">
      <dgm:prSet/>
      <dgm:spPr/>
      <dgm:t>
        <a:bodyPr/>
        <a:lstStyle/>
        <a:p>
          <a:endParaRPr lang="en-GB"/>
        </a:p>
      </dgm:t>
    </dgm:pt>
    <dgm:pt modelId="{43C2BA19-B804-4E95-B050-3888BF9FC8EC}" type="sibTrans" cxnId="{1D6C33DE-BB3F-45D7-B943-02474F8C11B0}">
      <dgm:prSet/>
      <dgm:spPr/>
      <dgm:t>
        <a:bodyPr/>
        <a:lstStyle/>
        <a:p>
          <a:endParaRPr lang="en-GB"/>
        </a:p>
      </dgm:t>
    </dgm:pt>
    <dgm:pt modelId="{F8E09F45-BA24-43EB-86F9-0DA4A0264CC2}">
      <dgm:prSet phldrT="[Text]"/>
      <dgm:spPr/>
      <dgm:t>
        <a:bodyPr/>
        <a:lstStyle/>
        <a:p>
          <a:r>
            <a:rPr lang="en-GB"/>
            <a:t>BSD</a:t>
          </a:r>
        </a:p>
      </dgm:t>
    </dgm:pt>
    <dgm:pt modelId="{7665FA8E-952B-4F08-B1C3-0F436BD5FFCB}" type="parTrans" cxnId="{DECCD589-B4C3-4FE0-B0E6-C0A2B2CAD74A}">
      <dgm:prSet/>
      <dgm:spPr/>
      <dgm:t>
        <a:bodyPr/>
        <a:lstStyle/>
        <a:p>
          <a:endParaRPr lang="en-GB"/>
        </a:p>
      </dgm:t>
    </dgm:pt>
    <dgm:pt modelId="{055EE3CA-862E-4062-9652-891062EDB7A1}" type="sibTrans" cxnId="{DECCD589-B4C3-4FE0-B0E6-C0A2B2CAD74A}">
      <dgm:prSet/>
      <dgm:spPr/>
      <dgm:t>
        <a:bodyPr/>
        <a:lstStyle/>
        <a:p>
          <a:endParaRPr lang="en-GB"/>
        </a:p>
      </dgm:t>
    </dgm:pt>
    <dgm:pt modelId="{F7B2F35A-B1AD-4BEC-ACD8-5D5CD143B173}">
      <dgm:prSet phldrT="[Text]"/>
      <dgm:spPr/>
      <dgm:t>
        <a:bodyPr/>
        <a:lstStyle/>
        <a:p>
          <a:r>
            <a:rPr lang="en-GB"/>
            <a:t>FreeBSD</a:t>
          </a:r>
        </a:p>
      </dgm:t>
    </dgm:pt>
    <dgm:pt modelId="{3F3EF670-5AE1-40FF-B57B-BCBCB7E5A0EB}" type="parTrans" cxnId="{BB98411D-80CB-46E8-8965-53A9A0D3C74D}">
      <dgm:prSet/>
      <dgm:spPr/>
      <dgm:t>
        <a:bodyPr/>
        <a:lstStyle/>
        <a:p>
          <a:endParaRPr lang="en-GB"/>
        </a:p>
      </dgm:t>
    </dgm:pt>
    <dgm:pt modelId="{4E6AE155-AF72-4626-8BE5-0E734593B81E}" type="sibTrans" cxnId="{BB98411D-80CB-46E8-8965-53A9A0D3C74D}">
      <dgm:prSet/>
      <dgm:spPr/>
      <dgm:t>
        <a:bodyPr/>
        <a:lstStyle/>
        <a:p>
          <a:endParaRPr lang="en-GB"/>
        </a:p>
      </dgm:t>
    </dgm:pt>
    <dgm:pt modelId="{C1108548-9947-4C7C-9F4C-50E16E8B4BAE}">
      <dgm:prSet phldrT="[Text]"/>
      <dgm:spPr/>
      <dgm:t>
        <a:bodyPr/>
        <a:lstStyle/>
        <a:p>
          <a:r>
            <a:rPr lang="en-GB"/>
            <a:t>Windows</a:t>
          </a:r>
        </a:p>
      </dgm:t>
    </dgm:pt>
    <dgm:pt modelId="{C4D4ED25-472B-4B7E-A669-2986325646DF}" type="parTrans" cxnId="{7228E7AC-0369-42BE-A787-8961ADC485E5}">
      <dgm:prSet/>
      <dgm:spPr/>
      <dgm:t>
        <a:bodyPr/>
        <a:lstStyle/>
        <a:p>
          <a:endParaRPr lang="en-GB"/>
        </a:p>
      </dgm:t>
    </dgm:pt>
    <dgm:pt modelId="{0C9D9E74-68FA-47B9-8BE2-DDBF9169C401}" type="sibTrans" cxnId="{7228E7AC-0369-42BE-A787-8961ADC485E5}">
      <dgm:prSet/>
      <dgm:spPr/>
      <dgm:t>
        <a:bodyPr/>
        <a:lstStyle/>
        <a:p>
          <a:endParaRPr lang="en-GB"/>
        </a:p>
      </dgm:t>
    </dgm:pt>
    <dgm:pt modelId="{56BFD135-C481-4BB0-87A4-92EC1A07B036}">
      <dgm:prSet phldrT="[Text]"/>
      <dgm:spPr/>
      <dgm:t>
        <a:bodyPr/>
        <a:lstStyle/>
        <a:p>
          <a:r>
            <a:rPr lang="en-GB"/>
            <a:t>NT</a:t>
          </a:r>
        </a:p>
      </dgm:t>
    </dgm:pt>
    <dgm:pt modelId="{43BFFE8A-A611-4F13-A5F9-187086E3365E}" type="parTrans" cxnId="{B784EAE9-1324-476A-ACDA-D6515A5706C3}">
      <dgm:prSet/>
      <dgm:spPr/>
      <dgm:t>
        <a:bodyPr/>
        <a:lstStyle/>
        <a:p>
          <a:endParaRPr lang="en-GB"/>
        </a:p>
      </dgm:t>
    </dgm:pt>
    <dgm:pt modelId="{83C66A01-FC0D-4A74-BD2C-4D26F6A77F37}" type="sibTrans" cxnId="{B784EAE9-1324-476A-ACDA-D6515A5706C3}">
      <dgm:prSet/>
      <dgm:spPr/>
      <dgm:t>
        <a:bodyPr/>
        <a:lstStyle/>
        <a:p>
          <a:endParaRPr lang="en-GB"/>
        </a:p>
      </dgm:t>
    </dgm:pt>
    <dgm:pt modelId="{898F50EE-D3A9-4544-A04A-E78BF167094F}">
      <dgm:prSet phldrT="[Text]"/>
      <dgm:spPr/>
      <dgm:t>
        <a:bodyPr/>
        <a:lstStyle/>
        <a:p>
          <a:r>
            <a:rPr lang="en-GB"/>
            <a:t>MacOS</a:t>
          </a:r>
        </a:p>
      </dgm:t>
    </dgm:pt>
    <dgm:pt modelId="{71A1ED55-F4BC-48BF-BC1C-8129EB1B6999}" type="parTrans" cxnId="{2F960687-F18D-49FD-8A3F-2847CF6EC2D7}">
      <dgm:prSet/>
      <dgm:spPr/>
      <dgm:t>
        <a:bodyPr/>
        <a:lstStyle/>
        <a:p>
          <a:endParaRPr lang="en-GB"/>
        </a:p>
      </dgm:t>
    </dgm:pt>
    <dgm:pt modelId="{AE133C4F-FD57-4489-B5AA-082DEB2D1779}" type="sibTrans" cxnId="{2F960687-F18D-49FD-8A3F-2847CF6EC2D7}">
      <dgm:prSet/>
      <dgm:spPr/>
      <dgm:t>
        <a:bodyPr/>
        <a:lstStyle/>
        <a:p>
          <a:endParaRPr lang="en-GB"/>
        </a:p>
      </dgm:t>
    </dgm:pt>
    <dgm:pt modelId="{59843638-85AF-415B-893B-F5D0148B4C24}">
      <dgm:prSet phldrT="[Text]" phldr="1"/>
      <dgm:spPr/>
      <dgm:t>
        <a:bodyPr/>
        <a:lstStyle/>
        <a:p>
          <a:endParaRPr lang="en-GB"/>
        </a:p>
      </dgm:t>
    </dgm:pt>
    <dgm:pt modelId="{0D79EA49-B681-4933-8D73-BFA00D72D4C0}" type="parTrans" cxnId="{6CFEC38C-6993-4649-AEB6-3E6029178368}">
      <dgm:prSet/>
      <dgm:spPr/>
      <dgm:t>
        <a:bodyPr/>
        <a:lstStyle/>
        <a:p>
          <a:endParaRPr lang="en-GB"/>
        </a:p>
      </dgm:t>
    </dgm:pt>
    <dgm:pt modelId="{D1ADFBAF-9302-428B-B202-12138F50D7FE}" type="sibTrans" cxnId="{6CFEC38C-6993-4649-AEB6-3E6029178368}">
      <dgm:prSet/>
      <dgm:spPr/>
      <dgm:t>
        <a:bodyPr/>
        <a:lstStyle/>
        <a:p>
          <a:endParaRPr lang="en-GB"/>
        </a:p>
      </dgm:t>
    </dgm:pt>
    <dgm:pt modelId="{B1F0B6B5-B327-4ACE-AA98-CD060AF135F7}">
      <dgm:prSet phldrT="[Text]"/>
      <dgm:spPr/>
      <dgm:t>
        <a:bodyPr/>
        <a:lstStyle/>
        <a:p>
          <a:r>
            <a:rPr lang="en-GB"/>
            <a:t>SUSE</a:t>
          </a:r>
        </a:p>
      </dgm:t>
    </dgm:pt>
    <dgm:pt modelId="{CFCA6AF5-390A-414B-A5DE-0E96397C0907}" type="parTrans" cxnId="{4654F9B3-C92F-4D99-95C7-612734292FC3}">
      <dgm:prSet/>
      <dgm:spPr/>
      <dgm:t>
        <a:bodyPr/>
        <a:lstStyle/>
        <a:p>
          <a:endParaRPr lang="en-GB"/>
        </a:p>
      </dgm:t>
    </dgm:pt>
    <dgm:pt modelId="{562320FE-C465-40FB-BF06-E00D76DE9E99}" type="sibTrans" cxnId="{4654F9B3-C92F-4D99-95C7-612734292FC3}">
      <dgm:prSet/>
      <dgm:spPr/>
      <dgm:t>
        <a:bodyPr/>
        <a:lstStyle/>
        <a:p>
          <a:endParaRPr lang="en-GB"/>
        </a:p>
      </dgm:t>
    </dgm:pt>
    <dgm:pt modelId="{0524BAE0-8E6B-42BE-B63D-F9CAEA55B909}">
      <dgm:prSet phldrT="[Text]"/>
      <dgm:spPr/>
      <dgm:t>
        <a:bodyPr/>
        <a:lstStyle/>
        <a:p>
          <a:r>
            <a:rPr lang="en-GB"/>
            <a:t>NetBSD</a:t>
          </a:r>
        </a:p>
      </dgm:t>
    </dgm:pt>
    <dgm:pt modelId="{2E1C6AD5-EEEB-4988-B73B-C217F46F1FCC}" type="parTrans" cxnId="{FC345F65-0ED2-404E-BB5A-26555D642D2C}">
      <dgm:prSet/>
      <dgm:spPr/>
      <dgm:t>
        <a:bodyPr/>
        <a:lstStyle/>
        <a:p>
          <a:endParaRPr lang="en-GB"/>
        </a:p>
      </dgm:t>
    </dgm:pt>
    <dgm:pt modelId="{34A87A5B-F4CC-420E-BFE9-B831D7DCAF63}" type="sibTrans" cxnId="{FC345F65-0ED2-404E-BB5A-26555D642D2C}">
      <dgm:prSet/>
      <dgm:spPr/>
      <dgm:t>
        <a:bodyPr/>
        <a:lstStyle/>
        <a:p>
          <a:endParaRPr lang="en-GB"/>
        </a:p>
      </dgm:t>
    </dgm:pt>
    <dgm:pt modelId="{80C958E4-F829-456F-A2D6-E6DE284B6AAC}" type="pres">
      <dgm:prSet presAssocID="{F8EFF17D-CF70-41A8-8675-680E4A67068B}" presName="cycleMatrixDiagram" presStyleCnt="0">
        <dgm:presLayoutVars>
          <dgm:chMax val="1"/>
          <dgm:dir/>
          <dgm:animLvl val="lvl"/>
          <dgm:resizeHandles val="exact"/>
        </dgm:presLayoutVars>
      </dgm:prSet>
      <dgm:spPr/>
    </dgm:pt>
    <dgm:pt modelId="{83EDAB12-3D34-4B8E-BB2F-F50714CF5346}" type="pres">
      <dgm:prSet presAssocID="{F8EFF17D-CF70-41A8-8675-680E4A67068B}" presName="children" presStyleCnt="0"/>
      <dgm:spPr/>
    </dgm:pt>
    <dgm:pt modelId="{7122B6F0-D6C9-40CF-A3CD-1279C1003788}" type="pres">
      <dgm:prSet presAssocID="{F8EFF17D-CF70-41A8-8675-680E4A67068B}" presName="child1group" presStyleCnt="0"/>
      <dgm:spPr/>
    </dgm:pt>
    <dgm:pt modelId="{F74F0DD7-FF7C-42F7-A285-680240CEDCB4}" type="pres">
      <dgm:prSet presAssocID="{F8EFF17D-CF70-41A8-8675-680E4A67068B}" presName="child1" presStyleLbl="bgAcc1" presStyleIdx="0" presStyleCnt="4"/>
      <dgm:spPr/>
    </dgm:pt>
    <dgm:pt modelId="{1B9EEF2C-FB45-4238-8F31-7B0E8A4794E1}" type="pres">
      <dgm:prSet presAssocID="{F8EFF17D-CF70-41A8-8675-680E4A67068B}" presName="child1Text" presStyleLbl="bgAcc1" presStyleIdx="0" presStyleCnt="4">
        <dgm:presLayoutVars>
          <dgm:bulletEnabled val="1"/>
        </dgm:presLayoutVars>
      </dgm:prSet>
      <dgm:spPr/>
    </dgm:pt>
    <dgm:pt modelId="{7E287DCA-43C0-4945-9EE5-1109ABFD72D1}" type="pres">
      <dgm:prSet presAssocID="{F8EFF17D-CF70-41A8-8675-680E4A67068B}" presName="child2group" presStyleCnt="0"/>
      <dgm:spPr/>
    </dgm:pt>
    <dgm:pt modelId="{72F05B5E-5171-45C6-9C77-EADBE347D9DD}" type="pres">
      <dgm:prSet presAssocID="{F8EFF17D-CF70-41A8-8675-680E4A67068B}" presName="child2" presStyleLbl="bgAcc1" presStyleIdx="1" presStyleCnt="4"/>
      <dgm:spPr/>
    </dgm:pt>
    <dgm:pt modelId="{B66D4774-5069-426E-89CC-B5035F69FEBE}" type="pres">
      <dgm:prSet presAssocID="{F8EFF17D-CF70-41A8-8675-680E4A67068B}" presName="child2Text" presStyleLbl="bgAcc1" presStyleIdx="1" presStyleCnt="4">
        <dgm:presLayoutVars>
          <dgm:bulletEnabled val="1"/>
        </dgm:presLayoutVars>
      </dgm:prSet>
      <dgm:spPr/>
    </dgm:pt>
    <dgm:pt modelId="{D9D7867D-7582-4F51-B94F-709F87F2D0D3}" type="pres">
      <dgm:prSet presAssocID="{F8EFF17D-CF70-41A8-8675-680E4A67068B}" presName="child3group" presStyleCnt="0"/>
      <dgm:spPr/>
    </dgm:pt>
    <dgm:pt modelId="{63435747-6D19-458B-AE50-B8CE38B9C308}" type="pres">
      <dgm:prSet presAssocID="{F8EFF17D-CF70-41A8-8675-680E4A67068B}" presName="child3" presStyleLbl="bgAcc1" presStyleIdx="2" presStyleCnt="4"/>
      <dgm:spPr/>
    </dgm:pt>
    <dgm:pt modelId="{8A88034D-C8F1-46B1-8663-4EA27E1BCC3F}" type="pres">
      <dgm:prSet presAssocID="{F8EFF17D-CF70-41A8-8675-680E4A67068B}" presName="child3Text" presStyleLbl="bgAcc1" presStyleIdx="2" presStyleCnt="4">
        <dgm:presLayoutVars>
          <dgm:bulletEnabled val="1"/>
        </dgm:presLayoutVars>
      </dgm:prSet>
      <dgm:spPr/>
    </dgm:pt>
    <dgm:pt modelId="{4000751E-5666-4314-8D4C-2717041C6826}" type="pres">
      <dgm:prSet presAssocID="{F8EFF17D-CF70-41A8-8675-680E4A67068B}" presName="child4group" presStyleCnt="0"/>
      <dgm:spPr/>
    </dgm:pt>
    <dgm:pt modelId="{A8462995-7350-48F3-B9E4-A910D76ECDC6}" type="pres">
      <dgm:prSet presAssocID="{F8EFF17D-CF70-41A8-8675-680E4A67068B}" presName="child4" presStyleLbl="bgAcc1" presStyleIdx="3" presStyleCnt="4"/>
      <dgm:spPr/>
    </dgm:pt>
    <dgm:pt modelId="{78E73474-DE4A-455A-A55A-4A9E5DCFC392}" type="pres">
      <dgm:prSet presAssocID="{F8EFF17D-CF70-41A8-8675-680E4A67068B}" presName="child4Text" presStyleLbl="bgAcc1" presStyleIdx="3" presStyleCnt="4">
        <dgm:presLayoutVars>
          <dgm:bulletEnabled val="1"/>
        </dgm:presLayoutVars>
      </dgm:prSet>
      <dgm:spPr/>
    </dgm:pt>
    <dgm:pt modelId="{878FE7AE-E19D-4C2B-BAFE-6BC55D8C26DD}" type="pres">
      <dgm:prSet presAssocID="{F8EFF17D-CF70-41A8-8675-680E4A67068B}" presName="childPlaceholder" presStyleCnt="0"/>
      <dgm:spPr/>
    </dgm:pt>
    <dgm:pt modelId="{E95A31A9-8190-4F52-B7D7-B284D671ACC5}" type="pres">
      <dgm:prSet presAssocID="{F8EFF17D-CF70-41A8-8675-680E4A67068B}" presName="circle" presStyleCnt="0"/>
      <dgm:spPr/>
    </dgm:pt>
    <dgm:pt modelId="{B987A4B2-2B69-42FD-9D12-8F38C435192B}" type="pres">
      <dgm:prSet presAssocID="{F8EFF17D-CF70-41A8-8675-680E4A67068B}" presName="quadrant1" presStyleLbl="node1" presStyleIdx="0" presStyleCnt="4">
        <dgm:presLayoutVars>
          <dgm:chMax val="1"/>
          <dgm:bulletEnabled val="1"/>
        </dgm:presLayoutVars>
      </dgm:prSet>
      <dgm:spPr/>
    </dgm:pt>
    <dgm:pt modelId="{7D7884EC-3D9C-4D3E-A786-32A8764BEBFD}" type="pres">
      <dgm:prSet presAssocID="{F8EFF17D-CF70-41A8-8675-680E4A67068B}" presName="quadrant2" presStyleLbl="node1" presStyleIdx="1" presStyleCnt="4">
        <dgm:presLayoutVars>
          <dgm:chMax val="1"/>
          <dgm:bulletEnabled val="1"/>
        </dgm:presLayoutVars>
      </dgm:prSet>
      <dgm:spPr/>
    </dgm:pt>
    <dgm:pt modelId="{ED5AC25C-EDAA-4514-884E-F89AE0CF16A9}" type="pres">
      <dgm:prSet presAssocID="{F8EFF17D-CF70-41A8-8675-680E4A67068B}" presName="quadrant3" presStyleLbl="node1" presStyleIdx="2" presStyleCnt="4">
        <dgm:presLayoutVars>
          <dgm:chMax val="1"/>
          <dgm:bulletEnabled val="1"/>
        </dgm:presLayoutVars>
      </dgm:prSet>
      <dgm:spPr/>
    </dgm:pt>
    <dgm:pt modelId="{3531E87C-6284-4C58-82C3-CB7F8E02C3EE}" type="pres">
      <dgm:prSet presAssocID="{F8EFF17D-CF70-41A8-8675-680E4A67068B}" presName="quadrant4" presStyleLbl="node1" presStyleIdx="3" presStyleCnt="4">
        <dgm:presLayoutVars>
          <dgm:chMax val="1"/>
          <dgm:bulletEnabled val="1"/>
        </dgm:presLayoutVars>
      </dgm:prSet>
      <dgm:spPr/>
    </dgm:pt>
    <dgm:pt modelId="{2FA6839A-1A94-498B-B639-D2BA5C038AA0}" type="pres">
      <dgm:prSet presAssocID="{F8EFF17D-CF70-41A8-8675-680E4A67068B}" presName="quadrantPlaceholder" presStyleCnt="0"/>
      <dgm:spPr/>
    </dgm:pt>
    <dgm:pt modelId="{C18F30FF-9FC7-4AF5-9196-7207DA332DF3}" type="pres">
      <dgm:prSet presAssocID="{F8EFF17D-CF70-41A8-8675-680E4A67068B}" presName="center1" presStyleLbl="fgShp" presStyleIdx="0" presStyleCnt="2"/>
      <dgm:spPr/>
    </dgm:pt>
    <dgm:pt modelId="{439C0517-4EB0-475E-8788-21698BEFD867}" type="pres">
      <dgm:prSet presAssocID="{F8EFF17D-CF70-41A8-8675-680E4A67068B}" presName="center2" presStyleLbl="fgShp" presStyleIdx="1" presStyleCnt="2"/>
      <dgm:spPr/>
    </dgm:pt>
  </dgm:ptLst>
  <dgm:cxnLst>
    <dgm:cxn modelId="{F5B36F1C-25C9-4AAA-9317-F4D3742850CC}" type="presOf" srcId="{160AA31F-90CA-4C5D-A2EC-3FBF38CE169D}" destId="{B987A4B2-2B69-42FD-9D12-8F38C435192B}" srcOrd="0" destOrd="0" presId="urn:microsoft.com/office/officeart/2005/8/layout/cycle4"/>
    <dgm:cxn modelId="{BB98411D-80CB-46E8-8965-53A9A0D3C74D}" srcId="{F8E09F45-BA24-43EB-86F9-0DA4A0264CC2}" destId="{F7B2F35A-B1AD-4BEC-ACD8-5D5CD143B173}" srcOrd="0" destOrd="0" parTransId="{3F3EF670-5AE1-40FF-B57B-BCBCB7E5A0EB}" sibTransId="{4E6AE155-AF72-4626-8BE5-0E734593B81E}"/>
    <dgm:cxn modelId="{A94AF42C-6CBD-4DD1-90DA-D41F02F93CC5}" type="presOf" srcId="{B1F0B6B5-B327-4ACE-AA98-CD060AF135F7}" destId="{F74F0DD7-FF7C-42F7-A285-680240CEDCB4}" srcOrd="0" destOrd="1" presId="urn:microsoft.com/office/officeart/2005/8/layout/cycle4"/>
    <dgm:cxn modelId="{DEAD0D3F-A805-4EA0-BCD5-BE6CA48A57DC}" type="presOf" srcId="{6EE3EFF5-B52B-4026-92F5-DDAA99DC4D5A}" destId="{1B9EEF2C-FB45-4238-8F31-7B0E8A4794E1}" srcOrd="1" destOrd="0" presId="urn:microsoft.com/office/officeart/2005/8/layout/cycle4"/>
    <dgm:cxn modelId="{FC345F65-0ED2-404E-BB5A-26555D642D2C}" srcId="{F8E09F45-BA24-43EB-86F9-0DA4A0264CC2}" destId="{0524BAE0-8E6B-42BE-B63D-F9CAEA55B909}" srcOrd="1" destOrd="0" parTransId="{2E1C6AD5-EEEB-4988-B73B-C217F46F1FCC}" sibTransId="{34A87A5B-F4CC-420E-BFE9-B831D7DCAF63}"/>
    <dgm:cxn modelId="{C902AE46-88C5-4D1E-AC73-B78CB19A5B82}" type="presOf" srcId="{898F50EE-D3A9-4544-A04A-E78BF167094F}" destId="{3531E87C-6284-4C58-82C3-CB7F8E02C3EE}" srcOrd="0" destOrd="0" presId="urn:microsoft.com/office/officeart/2005/8/layout/cycle4"/>
    <dgm:cxn modelId="{4F48BA57-3D19-481D-9857-DAA14E738212}" type="presOf" srcId="{F8EFF17D-CF70-41A8-8675-680E4A67068B}" destId="{80C958E4-F829-456F-A2D6-E6DE284B6AAC}" srcOrd="0" destOrd="0" presId="urn:microsoft.com/office/officeart/2005/8/layout/cycle4"/>
    <dgm:cxn modelId="{E6B15C5A-292C-4058-B36D-58C66FE4EAA2}" type="presOf" srcId="{F7B2F35A-B1AD-4BEC-ACD8-5D5CD143B173}" destId="{B66D4774-5069-426E-89CC-B5035F69FEBE}" srcOrd="1" destOrd="0" presId="urn:microsoft.com/office/officeart/2005/8/layout/cycle4"/>
    <dgm:cxn modelId="{2F960687-F18D-49FD-8A3F-2847CF6EC2D7}" srcId="{F8EFF17D-CF70-41A8-8675-680E4A67068B}" destId="{898F50EE-D3A9-4544-A04A-E78BF167094F}" srcOrd="3" destOrd="0" parTransId="{71A1ED55-F4BC-48BF-BC1C-8129EB1B6999}" sibTransId="{AE133C4F-FD57-4489-B5AA-082DEB2D1779}"/>
    <dgm:cxn modelId="{5C2A7E88-C21A-4E28-80CE-6AE697151114}" type="presOf" srcId="{F7B2F35A-B1AD-4BEC-ACD8-5D5CD143B173}" destId="{72F05B5E-5171-45C6-9C77-EADBE347D9DD}" srcOrd="0" destOrd="0" presId="urn:microsoft.com/office/officeart/2005/8/layout/cycle4"/>
    <dgm:cxn modelId="{DECCD589-B4C3-4FE0-B0E6-C0A2B2CAD74A}" srcId="{F8EFF17D-CF70-41A8-8675-680E4A67068B}" destId="{F8E09F45-BA24-43EB-86F9-0DA4A0264CC2}" srcOrd="1" destOrd="0" parTransId="{7665FA8E-952B-4F08-B1C3-0F436BD5FFCB}" sibTransId="{055EE3CA-862E-4062-9652-891062EDB7A1}"/>
    <dgm:cxn modelId="{586C0A8B-26F0-4CDB-80E5-528C5B5D1839}" type="presOf" srcId="{C1108548-9947-4C7C-9F4C-50E16E8B4BAE}" destId="{ED5AC25C-EDAA-4514-884E-F89AE0CF16A9}" srcOrd="0" destOrd="0" presId="urn:microsoft.com/office/officeart/2005/8/layout/cycle4"/>
    <dgm:cxn modelId="{6CFEC38C-6993-4649-AEB6-3E6029178368}" srcId="{898F50EE-D3A9-4544-A04A-E78BF167094F}" destId="{59843638-85AF-415B-893B-F5D0148B4C24}" srcOrd="0" destOrd="0" parTransId="{0D79EA49-B681-4933-8D73-BFA00D72D4C0}" sibTransId="{D1ADFBAF-9302-428B-B202-12138F50D7FE}"/>
    <dgm:cxn modelId="{A2B22F92-FFC4-4509-ABF2-190953F19B73}" type="presOf" srcId="{59843638-85AF-415B-893B-F5D0148B4C24}" destId="{A8462995-7350-48F3-B9E4-A910D76ECDC6}" srcOrd="0" destOrd="0" presId="urn:microsoft.com/office/officeart/2005/8/layout/cycle4"/>
    <dgm:cxn modelId="{BCD57A9C-B839-4963-8C18-1300F7AF3C2A}" type="presOf" srcId="{F8E09F45-BA24-43EB-86F9-0DA4A0264CC2}" destId="{7D7884EC-3D9C-4D3E-A786-32A8764BEBFD}" srcOrd="0" destOrd="0" presId="urn:microsoft.com/office/officeart/2005/8/layout/cycle4"/>
    <dgm:cxn modelId="{DABD8DA0-56D5-4ED4-A6CA-03570D0C561F}" type="presOf" srcId="{59843638-85AF-415B-893B-F5D0148B4C24}" destId="{78E73474-DE4A-455A-A55A-4A9E5DCFC392}" srcOrd="1" destOrd="0" presId="urn:microsoft.com/office/officeart/2005/8/layout/cycle4"/>
    <dgm:cxn modelId="{E9C3ACA3-AD30-486F-8162-41C51443ACE2}" srcId="{F8EFF17D-CF70-41A8-8675-680E4A67068B}" destId="{160AA31F-90CA-4C5D-A2EC-3FBF38CE169D}" srcOrd="0" destOrd="0" parTransId="{DBCFF6AE-D1FD-48B8-A096-44F76563D180}" sibTransId="{DAC0C57E-6CC1-42A9-AD15-D8BB0E097E31}"/>
    <dgm:cxn modelId="{6A8CB7AC-26C8-4215-B1AB-C935A997D42B}" type="presOf" srcId="{6EE3EFF5-B52B-4026-92F5-DDAA99DC4D5A}" destId="{F74F0DD7-FF7C-42F7-A285-680240CEDCB4}" srcOrd="0" destOrd="0" presId="urn:microsoft.com/office/officeart/2005/8/layout/cycle4"/>
    <dgm:cxn modelId="{7228E7AC-0369-42BE-A787-8961ADC485E5}" srcId="{F8EFF17D-CF70-41A8-8675-680E4A67068B}" destId="{C1108548-9947-4C7C-9F4C-50E16E8B4BAE}" srcOrd="2" destOrd="0" parTransId="{C4D4ED25-472B-4B7E-A669-2986325646DF}" sibTransId="{0C9D9E74-68FA-47B9-8BE2-DDBF9169C401}"/>
    <dgm:cxn modelId="{4654F9B3-C92F-4D99-95C7-612734292FC3}" srcId="{160AA31F-90CA-4C5D-A2EC-3FBF38CE169D}" destId="{B1F0B6B5-B327-4ACE-AA98-CD060AF135F7}" srcOrd="1" destOrd="0" parTransId="{CFCA6AF5-390A-414B-A5DE-0E96397C0907}" sibTransId="{562320FE-C465-40FB-BF06-E00D76DE9E99}"/>
    <dgm:cxn modelId="{E7878ACA-A21A-44BF-BE90-AD5D6C456B46}" type="presOf" srcId="{56BFD135-C481-4BB0-87A4-92EC1A07B036}" destId="{63435747-6D19-458B-AE50-B8CE38B9C308}" srcOrd="0" destOrd="0" presId="urn:microsoft.com/office/officeart/2005/8/layout/cycle4"/>
    <dgm:cxn modelId="{1D6C33DE-BB3F-45D7-B943-02474F8C11B0}" srcId="{160AA31F-90CA-4C5D-A2EC-3FBF38CE169D}" destId="{6EE3EFF5-B52B-4026-92F5-DDAA99DC4D5A}" srcOrd="0" destOrd="0" parTransId="{A608480B-D194-474C-91C2-2124F35FF160}" sibTransId="{43C2BA19-B804-4E95-B050-3888BF9FC8EC}"/>
    <dgm:cxn modelId="{AB679AE0-1CB4-4302-BDDC-46290087EB81}" type="presOf" srcId="{0524BAE0-8E6B-42BE-B63D-F9CAEA55B909}" destId="{B66D4774-5069-426E-89CC-B5035F69FEBE}" srcOrd="1" destOrd="1" presId="urn:microsoft.com/office/officeart/2005/8/layout/cycle4"/>
    <dgm:cxn modelId="{A3FB8AE7-AC94-4D60-8FFC-9B79BC2DEFA3}" type="presOf" srcId="{0524BAE0-8E6B-42BE-B63D-F9CAEA55B909}" destId="{72F05B5E-5171-45C6-9C77-EADBE347D9DD}" srcOrd="0" destOrd="1" presId="urn:microsoft.com/office/officeart/2005/8/layout/cycle4"/>
    <dgm:cxn modelId="{B784EAE9-1324-476A-ACDA-D6515A5706C3}" srcId="{C1108548-9947-4C7C-9F4C-50E16E8B4BAE}" destId="{56BFD135-C481-4BB0-87A4-92EC1A07B036}" srcOrd="0" destOrd="0" parTransId="{43BFFE8A-A611-4F13-A5F9-187086E3365E}" sibTransId="{83C66A01-FC0D-4A74-BD2C-4D26F6A77F37}"/>
    <dgm:cxn modelId="{F103E9EF-2A5D-422D-A75F-DCCDBE37D13E}" type="presOf" srcId="{56BFD135-C481-4BB0-87A4-92EC1A07B036}" destId="{8A88034D-C8F1-46B1-8663-4EA27E1BCC3F}" srcOrd="1" destOrd="0" presId="urn:microsoft.com/office/officeart/2005/8/layout/cycle4"/>
    <dgm:cxn modelId="{12E5A3F4-57AD-4CEA-8548-24747CF144AD}" type="presOf" srcId="{B1F0B6B5-B327-4ACE-AA98-CD060AF135F7}" destId="{1B9EEF2C-FB45-4238-8F31-7B0E8A4794E1}" srcOrd="1" destOrd="1" presId="urn:microsoft.com/office/officeart/2005/8/layout/cycle4"/>
    <dgm:cxn modelId="{A8F62B63-BD32-4DC8-B1A8-D1A85FA5CFAD}" type="presParOf" srcId="{80C958E4-F829-456F-A2D6-E6DE284B6AAC}" destId="{83EDAB12-3D34-4B8E-BB2F-F50714CF5346}" srcOrd="0" destOrd="0" presId="urn:microsoft.com/office/officeart/2005/8/layout/cycle4"/>
    <dgm:cxn modelId="{F9F625F8-DD6D-4A64-A033-B95156779F9C}" type="presParOf" srcId="{83EDAB12-3D34-4B8E-BB2F-F50714CF5346}" destId="{7122B6F0-D6C9-40CF-A3CD-1279C1003788}" srcOrd="0" destOrd="0" presId="urn:microsoft.com/office/officeart/2005/8/layout/cycle4"/>
    <dgm:cxn modelId="{7EAFCF40-7FEC-43F5-A1B8-97574495BCEB}" type="presParOf" srcId="{7122B6F0-D6C9-40CF-A3CD-1279C1003788}" destId="{F74F0DD7-FF7C-42F7-A285-680240CEDCB4}" srcOrd="0" destOrd="0" presId="urn:microsoft.com/office/officeart/2005/8/layout/cycle4"/>
    <dgm:cxn modelId="{76242F48-C034-4559-86A4-120649BD98A2}" type="presParOf" srcId="{7122B6F0-D6C9-40CF-A3CD-1279C1003788}" destId="{1B9EEF2C-FB45-4238-8F31-7B0E8A4794E1}" srcOrd="1" destOrd="0" presId="urn:microsoft.com/office/officeart/2005/8/layout/cycle4"/>
    <dgm:cxn modelId="{030BA638-E310-4DF3-8C92-B81C99653A78}" type="presParOf" srcId="{83EDAB12-3D34-4B8E-BB2F-F50714CF5346}" destId="{7E287DCA-43C0-4945-9EE5-1109ABFD72D1}" srcOrd="1" destOrd="0" presId="urn:microsoft.com/office/officeart/2005/8/layout/cycle4"/>
    <dgm:cxn modelId="{A3B4D52A-044E-4A49-B9B1-8E8C5E751D88}" type="presParOf" srcId="{7E287DCA-43C0-4945-9EE5-1109ABFD72D1}" destId="{72F05B5E-5171-45C6-9C77-EADBE347D9DD}" srcOrd="0" destOrd="0" presId="urn:microsoft.com/office/officeart/2005/8/layout/cycle4"/>
    <dgm:cxn modelId="{B8B51A70-EE62-4D93-B011-49C2347C02A3}" type="presParOf" srcId="{7E287DCA-43C0-4945-9EE5-1109ABFD72D1}" destId="{B66D4774-5069-426E-89CC-B5035F69FEBE}" srcOrd="1" destOrd="0" presId="urn:microsoft.com/office/officeart/2005/8/layout/cycle4"/>
    <dgm:cxn modelId="{5CCBB96E-FB60-4BCA-86D5-188AB730C17E}" type="presParOf" srcId="{83EDAB12-3D34-4B8E-BB2F-F50714CF5346}" destId="{D9D7867D-7582-4F51-B94F-709F87F2D0D3}" srcOrd="2" destOrd="0" presId="urn:microsoft.com/office/officeart/2005/8/layout/cycle4"/>
    <dgm:cxn modelId="{059D78E3-D331-41AB-A882-C8705A1DC114}" type="presParOf" srcId="{D9D7867D-7582-4F51-B94F-709F87F2D0D3}" destId="{63435747-6D19-458B-AE50-B8CE38B9C308}" srcOrd="0" destOrd="0" presId="urn:microsoft.com/office/officeart/2005/8/layout/cycle4"/>
    <dgm:cxn modelId="{07D5F058-1AD7-44BE-B40F-D461415A28C0}" type="presParOf" srcId="{D9D7867D-7582-4F51-B94F-709F87F2D0D3}" destId="{8A88034D-C8F1-46B1-8663-4EA27E1BCC3F}" srcOrd="1" destOrd="0" presId="urn:microsoft.com/office/officeart/2005/8/layout/cycle4"/>
    <dgm:cxn modelId="{D97B2A81-7B35-4D4B-8A08-00ED098CB1A0}" type="presParOf" srcId="{83EDAB12-3D34-4B8E-BB2F-F50714CF5346}" destId="{4000751E-5666-4314-8D4C-2717041C6826}" srcOrd="3" destOrd="0" presId="urn:microsoft.com/office/officeart/2005/8/layout/cycle4"/>
    <dgm:cxn modelId="{32740FD6-B131-4127-AA97-D093742F3074}" type="presParOf" srcId="{4000751E-5666-4314-8D4C-2717041C6826}" destId="{A8462995-7350-48F3-B9E4-A910D76ECDC6}" srcOrd="0" destOrd="0" presId="urn:microsoft.com/office/officeart/2005/8/layout/cycle4"/>
    <dgm:cxn modelId="{6475FC00-43F0-4D75-8FFB-40A5FDFD3BC3}" type="presParOf" srcId="{4000751E-5666-4314-8D4C-2717041C6826}" destId="{78E73474-DE4A-455A-A55A-4A9E5DCFC392}" srcOrd="1" destOrd="0" presId="urn:microsoft.com/office/officeart/2005/8/layout/cycle4"/>
    <dgm:cxn modelId="{2F2EC70E-8A00-4267-ACC2-6F2E50C2E3CD}" type="presParOf" srcId="{83EDAB12-3D34-4B8E-BB2F-F50714CF5346}" destId="{878FE7AE-E19D-4C2B-BAFE-6BC55D8C26DD}" srcOrd="4" destOrd="0" presId="urn:microsoft.com/office/officeart/2005/8/layout/cycle4"/>
    <dgm:cxn modelId="{09B5162F-F364-4F88-AE71-81DC2AAC7E10}" type="presParOf" srcId="{80C958E4-F829-456F-A2D6-E6DE284B6AAC}" destId="{E95A31A9-8190-4F52-B7D7-B284D671ACC5}" srcOrd="1" destOrd="0" presId="urn:microsoft.com/office/officeart/2005/8/layout/cycle4"/>
    <dgm:cxn modelId="{7DF076B5-2D06-4946-9173-AE4FF378D41A}" type="presParOf" srcId="{E95A31A9-8190-4F52-B7D7-B284D671ACC5}" destId="{B987A4B2-2B69-42FD-9D12-8F38C435192B}" srcOrd="0" destOrd="0" presId="urn:microsoft.com/office/officeart/2005/8/layout/cycle4"/>
    <dgm:cxn modelId="{5ACF1895-F23E-462A-BB57-4765A1366D05}" type="presParOf" srcId="{E95A31A9-8190-4F52-B7D7-B284D671ACC5}" destId="{7D7884EC-3D9C-4D3E-A786-32A8764BEBFD}" srcOrd="1" destOrd="0" presId="urn:microsoft.com/office/officeart/2005/8/layout/cycle4"/>
    <dgm:cxn modelId="{60C0A3A4-6548-4DAC-8B6D-E67DFAC9E211}" type="presParOf" srcId="{E95A31A9-8190-4F52-B7D7-B284D671ACC5}" destId="{ED5AC25C-EDAA-4514-884E-F89AE0CF16A9}" srcOrd="2" destOrd="0" presId="urn:microsoft.com/office/officeart/2005/8/layout/cycle4"/>
    <dgm:cxn modelId="{668075A9-13E3-4477-AB91-87244CAE88E2}" type="presParOf" srcId="{E95A31A9-8190-4F52-B7D7-B284D671ACC5}" destId="{3531E87C-6284-4C58-82C3-CB7F8E02C3EE}" srcOrd="3" destOrd="0" presId="urn:microsoft.com/office/officeart/2005/8/layout/cycle4"/>
    <dgm:cxn modelId="{9F086C81-0960-4695-BDCF-798EF70D9020}" type="presParOf" srcId="{E95A31A9-8190-4F52-B7D7-B284D671ACC5}" destId="{2FA6839A-1A94-498B-B639-D2BA5C038AA0}" srcOrd="4" destOrd="0" presId="urn:microsoft.com/office/officeart/2005/8/layout/cycle4"/>
    <dgm:cxn modelId="{EEBE3DBE-F9D6-4AB9-B486-AB5C975EEF39}" type="presParOf" srcId="{80C958E4-F829-456F-A2D6-E6DE284B6AAC}" destId="{C18F30FF-9FC7-4AF5-9196-7207DA332DF3}" srcOrd="2" destOrd="0" presId="urn:microsoft.com/office/officeart/2005/8/layout/cycle4"/>
    <dgm:cxn modelId="{2AA1472A-D6FE-460D-AC90-D92E5ABA6DEF}" type="presParOf" srcId="{80C958E4-F829-456F-A2D6-E6DE284B6AAC}" destId="{439C0517-4EB0-475E-8788-21698BEFD867}" srcOrd="3" destOrd="0" presId="urn:microsoft.com/office/officeart/2005/8/layout/cycle4"/>
  </dgm:cxnLst>
  <dgm:bg/>
  <dgm:whole/>
  <dgm:extLst>
    <a:ext uri="http://schemas.microsoft.com/office/drawing/2008/diagram">
      <dsp:dataModelExt xmlns:dsp="http://schemas.microsoft.com/office/drawing/2008/diagram" relId="rId8"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FA8F2CEA-4796-4349-8DE0-EB97FBFF7B14}" type="doc">
      <dgm:prSet loTypeId="urn:microsoft.com/office/officeart/2011/layout/ConvergingText" loCatId="process" qsTypeId="urn:microsoft.com/office/officeart/2005/8/quickstyle/simple1" qsCatId="simple" csTypeId="urn:microsoft.com/office/officeart/2005/8/colors/accent1_2" csCatId="accent1" phldr="0"/>
      <dgm:spPr/>
      <dgm:t>
        <a:bodyPr/>
        <a:lstStyle/>
        <a:p>
          <a:endParaRPr lang="en-GB"/>
        </a:p>
      </dgm:t>
    </dgm:pt>
    <dgm:pt modelId="{00105225-ED6A-4585-BAC1-097B13056386}">
      <dgm:prSet phldrT="[Text]" phldr="1"/>
      <dgm:spPr/>
      <dgm:t>
        <a:bodyPr/>
        <a:lstStyle/>
        <a:p>
          <a:endParaRPr lang="en-GB"/>
        </a:p>
      </dgm:t>
    </dgm:pt>
    <dgm:pt modelId="{ECF3BA96-6964-487F-ACD9-AD432179CA7F}" type="parTrans" cxnId="{E8BD480B-0F5B-48CB-84B8-A00A19782ECF}">
      <dgm:prSet/>
      <dgm:spPr/>
      <dgm:t>
        <a:bodyPr/>
        <a:lstStyle/>
        <a:p>
          <a:endParaRPr lang="en-GB"/>
        </a:p>
      </dgm:t>
    </dgm:pt>
    <dgm:pt modelId="{7CEA9820-D534-4E5C-B46C-210F2A685856}" type="sibTrans" cxnId="{E8BD480B-0F5B-48CB-84B8-A00A19782ECF}">
      <dgm:prSet/>
      <dgm:spPr/>
      <dgm:t>
        <a:bodyPr/>
        <a:lstStyle/>
        <a:p>
          <a:endParaRPr lang="en-GB"/>
        </a:p>
      </dgm:t>
    </dgm:pt>
    <dgm:pt modelId="{C2DB16B0-7551-4C92-9E44-09774E3BD415}">
      <dgm:prSet phldrT="[Text]" phldr="1"/>
      <dgm:spPr/>
      <dgm:t>
        <a:bodyPr/>
        <a:lstStyle/>
        <a:p>
          <a:endParaRPr lang="en-GB"/>
        </a:p>
      </dgm:t>
    </dgm:pt>
    <dgm:pt modelId="{39B0AA22-A740-4057-A67C-98F691452F63}" type="parTrans" cxnId="{555FF1E8-7590-4935-8B24-A9CA812F6DDF}">
      <dgm:prSet/>
      <dgm:spPr/>
      <dgm:t>
        <a:bodyPr/>
        <a:lstStyle/>
        <a:p>
          <a:endParaRPr lang="en-GB"/>
        </a:p>
      </dgm:t>
    </dgm:pt>
    <dgm:pt modelId="{B9829D68-6426-4C66-A348-B1C9F154C433}" type="sibTrans" cxnId="{555FF1E8-7590-4935-8B24-A9CA812F6DDF}">
      <dgm:prSet/>
      <dgm:spPr/>
      <dgm:t>
        <a:bodyPr/>
        <a:lstStyle/>
        <a:p>
          <a:endParaRPr lang="en-GB"/>
        </a:p>
      </dgm:t>
    </dgm:pt>
    <dgm:pt modelId="{ABFB2769-8C0A-4DAF-AB37-2212C3DE91B2}">
      <dgm:prSet phldrT="[Text]" phldr="1"/>
      <dgm:spPr/>
      <dgm:t>
        <a:bodyPr/>
        <a:lstStyle/>
        <a:p>
          <a:endParaRPr lang="en-GB"/>
        </a:p>
      </dgm:t>
    </dgm:pt>
    <dgm:pt modelId="{8343F95C-FF2E-49A1-919A-1B349E95FDDC}" type="parTrans" cxnId="{F710C3D2-C333-4A17-B567-248F13CB5F9A}">
      <dgm:prSet/>
      <dgm:spPr/>
      <dgm:t>
        <a:bodyPr/>
        <a:lstStyle/>
        <a:p>
          <a:endParaRPr lang="en-GB"/>
        </a:p>
      </dgm:t>
    </dgm:pt>
    <dgm:pt modelId="{9FD979D0-0980-47F2-8976-ABDE8EEAAF60}" type="sibTrans" cxnId="{F710C3D2-C333-4A17-B567-248F13CB5F9A}">
      <dgm:prSet/>
      <dgm:spPr/>
      <dgm:t>
        <a:bodyPr/>
        <a:lstStyle/>
        <a:p>
          <a:endParaRPr lang="en-GB"/>
        </a:p>
      </dgm:t>
    </dgm:pt>
    <dgm:pt modelId="{48BF8390-7084-40D4-AE3A-8D502C4733BB}">
      <dgm:prSet phldrT="[Text]" phldr="1"/>
      <dgm:spPr/>
      <dgm:t>
        <a:bodyPr/>
        <a:lstStyle/>
        <a:p>
          <a:endParaRPr lang="en-GB"/>
        </a:p>
      </dgm:t>
    </dgm:pt>
    <dgm:pt modelId="{439D5EC6-B8CB-48AC-9F66-11F109EA2DB3}" type="parTrans" cxnId="{76D4851F-CF0B-4ACE-AD17-DE8E17B7A1A8}">
      <dgm:prSet/>
      <dgm:spPr/>
      <dgm:t>
        <a:bodyPr/>
        <a:lstStyle/>
        <a:p>
          <a:endParaRPr lang="en-GB"/>
        </a:p>
      </dgm:t>
    </dgm:pt>
    <dgm:pt modelId="{5B41FD76-8363-4722-A730-29E4251560BF}" type="sibTrans" cxnId="{76D4851F-CF0B-4ACE-AD17-DE8E17B7A1A8}">
      <dgm:prSet/>
      <dgm:spPr/>
      <dgm:t>
        <a:bodyPr/>
        <a:lstStyle/>
        <a:p>
          <a:endParaRPr lang="en-GB"/>
        </a:p>
      </dgm:t>
    </dgm:pt>
    <dgm:pt modelId="{CEA353BB-05D6-498D-BAE0-46AA1E3147D2}" type="pres">
      <dgm:prSet presAssocID="{FA8F2CEA-4796-4349-8DE0-EB97FBFF7B14}" presName="Name0" presStyleCnt="0">
        <dgm:presLayoutVars>
          <dgm:chMax/>
          <dgm:chPref val="1"/>
          <dgm:dir/>
          <dgm:animOne val="branch"/>
          <dgm:animLvl val="lvl"/>
          <dgm:resizeHandles/>
        </dgm:presLayoutVars>
      </dgm:prSet>
      <dgm:spPr/>
    </dgm:pt>
    <dgm:pt modelId="{18AE7068-AFEC-44FA-B97A-62812BA33B7E}" type="pres">
      <dgm:prSet presAssocID="{00105225-ED6A-4585-BAC1-097B13056386}" presName="composite" presStyleCnt="0"/>
      <dgm:spPr/>
    </dgm:pt>
    <dgm:pt modelId="{5109D015-8F52-4CF7-87F0-86937E9B654A}" type="pres">
      <dgm:prSet presAssocID="{00105225-ED6A-4585-BAC1-097B13056386}" presName="ParentAccent1" presStyleLbl="alignNode1" presStyleIdx="0" presStyleCnt="34"/>
      <dgm:spPr/>
    </dgm:pt>
    <dgm:pt modelId="{3D127B67-9CC8-4120-B0C0-A5AD08A57FD0}" type="pres">
      <dgm:prSet presAssocID="{00105225-ED6A-4585-BAC1-097B13056386}" presName="ParentAccent2" presStyleLbl="alignNode1" presStyleIdx="1" presStyleCnt="34"/>
      <dgm:spPr/>
    </dgm:pt>
    <dgm:pt modelId="{35E3FE5D-285B-4F3F-8C87-6FB5866711CB}" type="pres">
      <dgm:prSet presAssocID="{00105225-ED6A-4585-BAC1-097B13056386}" presName="ParentAccent3" presStyleLbl="alignNode1" presStyleIdx="2" presStyleCnt="34"/>
      <dgm:spPr/>
    </dgm:pt>
    <dgm:pt modelId="{CDAE9A8E-4A0B-4C71-9EAF-8729AA048F00}" type="pres">
      <dgm:prSet presAssocID="{00105225-ED6A-4585-BAC1-097B13056386}" presName="ParentAccent4" presStyleLbl="alignNode1" presStyleIdx="3" presStyleCnt="34"/>
      <dgm:spPr/>
    </dgm:pt>
    <dgm:pt modelId="{845DAE2E-794E-407B-86A6-633D7744FCB8}" type="pres">
      <dgm:prSet presAssocID="{00105225-ED6A-4585-BAC1-097B13056386}" presName="ParentAccent5" presStyleLbl="alignNode1" presStyleIdx="4" presStyleCnt="34"/>
      <dgm:spPr/>
    </dgm:pt>
    <dgm:pt modelId="{3184909F-7FEE-4FA4-A0BE-B8B7F9D5316E}" type="pres">
      <dgm:prSet presAssocID="{00105225-ED6A-4585-BAC1-097B13056386}" presName="ParentAccent6" presStyleLbl="alignNode1" presStyleIdx="5" presStyleCnt="34"/>
      <dgm:spPr/>
    </dgm:pt>
    <dgm:pt modelId="{1D897666-41FB-4A91-BB59-9CBF82A4AD2E}" type="pres">
      <dgm:prSet presAssocID="{00105225-ED6A-4585-BAC1-097B13056386}" presName="ParentAccent7" presStyleLbl="alignNode1" presStyleIdx="6" presStyleCnt="34"/>
      <dgm:spPr/>
    </dgm:pt>
    <dgm:pt modelId="{BA99D47B-39A6-4DBD-ACDC-1C6AA99282E5}" type="pres">
      <dgm:prSet presAssocID="{00105225-ED6A-4585-BAC1-097B13056386}" presName="ParentAccent8" presStyleLbl="alignNode1" presStyleIdx="7" presStyleCnt="34"/>
      <dgm:spPr/>
    </dgm:pt>
    <dgm:pt modelId="{D5CE7310-5B54-4D57-AEEF-8A95B0E5E3CD}" type="pres">
      <dgm:prSet presAssocID="{00105225-ED6A-4585-BAC1-097B13056386}" presName="ParentAccent9" presStyleLbl="alignNode1" presStyleIdx="8" presStyleCnt="34"/>
      <dgm:spPr/>
    </dgm:pt>
    <dgm:pt modelId="{05E5F483-2A32-47CD-A962-1A0B5C08F8A6}" type="pres">
      <dgm:prSet presAssocID="{00105225-ED6A-4585-BAC1-097B13056386}" presName="ParentAccent10" presStyleLbl="alignNode1" presStyleIdx="9" presStyleCnt="34"/>
      <dgm:spPr/>
    </dgm:pt>
    <dgm:pt modelId="{FBE1D256-7DDE-4521-836E-7A7C4C36E870}" type="pres">
      <dgm:prSet presAssocID="{00105225-ED6A-4585-BAC1-097B13056386}" presName="Parent" presStyleLbl="alignNode1" presStyleIdx="10" presStyleCnt="34" custLinFactNeighborX="2151" custLinFactNeighborY="-1434">
        <dgm:presLayoutVars>
          <dgm:chMax val="5"/>
          <dgm:chPref val="3"/>
          <dgm:bulletEnabled val="1"/>
        </dgm:presLayoutVars>
      </dgm:prSet>
      <dgm:spPr/>
    </dgm:pt>
    <dgm:pt modelId="{ACEAD0C8-4079-420C-8ABD-E64968BC24F0}" type="pres">
      <dgm:prSet presAssocID="{C2DB16B0-7551-4C92-9E44-09774E3BD415}" presName="Child1Accent1" presStyleLbl="alignNode1" presStyleIdx="11" presStyleCnt="34"/>
      <dgm:spPr/>
    </dgm:pt>
    <dgm:pt modelId="{7C3F9AD9-E8EB-4B83-B3BE-E0DA0D7BFE56}" type="pres">
      <dgm:prSet presAssocID="{C2DB16B0-7551-4C92-9E44-09774E3BD415}" presName="Child1Accent2" presStyleLbl="alignNode1" presStyleIdx="12" presStyleCnt="34"/>
      <dgm:spPr/>
    </dgm:pt>
    <dgm:pt modelId="{DE8537F1-32B3-4F7D-AF23-13489E9D427C}" type="pres">
      <dgm:prSet presAssocID="{C2DB16B0-7551-4C92-9E44-09774E3BD415}" presName="Child1Accent3" presStyleLbl="alignNode1" presStyleIdx="13" presStyleCnt="34"/>
      <dgm:spPr/>
    </dgm:pt>
    <dgm:pt modelId="{28153D10-8335-447E-8B1B-AE1A6D364AEA}" type="pres">
      <dgm:prSet presAssocID="{C2DB16B0-7551-4C92-9E44-09774E3BD415}" presName="Child1Accent4" presStyleLbl="alignNode1" presStyleIdx="14" presStyleCnt="34"/>
      <dgm:spPr/>
    </dgm:pt>
    <dgm:pt modelId="{C5753342-DC17-4E16-B313-AEAE8025DE15}" type="pres">
      <dgm:prSet presAssocID="{C2DB16B0-7551-4C92-9E44-09774E3BD415}" presName="Child1Accent5" presStyleLbl="alignNode1" presStyleIdx="15" presStyleCnt="34"/>
      <dgm:spPr/>
    </dgm:pt>
    <dgm:pt modelId="{CCAA8673-6E81-4619-9E90-67903F5DBD02}" type="pres">
      <dgm:prSet presAssocID="{C2DB16B0-7551-4C92-9E44-09774E3BD415}" presName="Child1Accent6" presStyleLbl="alignNode1" presStyleIdx="16" presStyleCnt="34"/>
      <dgm:spPr/>
    </dgm:pt>
    <dgm:pt modelId="{9E55E0BB-60DF-46A4-8740-F2F11B345B4C}" type="pres">
      <dgm:prSet presAssocID="{C2DB16B0-7551-4C92-9E44-09774E3BD415}" presName="Child1Accent7" presStyleLbl="alignNode1" presStyleIdx="17" presStyleCnt="34"/>
      <dgm:spPr/>
    </dgm:pt>
    <dgm:pt modelId="{FC551991-CFB1-4EA3-A7A1-E4BCC4B1B6EF}" type="pres">
      <dgm:prSet presAssocID="{C2DB16B0-7551-4C92-9E44-09774E3BD415}" presName="Child1Accent8" presStyleLbl="alignNode1" presStyleIdx="18" presStyleCnt="34"/>
      <dgm:spPr/>
    </dgm:pt>
    <dgm:pt modelId="{A9E5CCE3-A50F-4411-9289-8ED9A7D9786B}" type="pres">
      <dgm:prSet presAssocID="{C2DB16B0-7551-4C92-9E44-09774E3BD415}" presName="Child1Accent9" presStyleLbl="alignNode1" presStyleIdx="19" presStyleCnt="34"/>
      <dgm:spPr/>
    </dgm:pt>
    <dgm:pt modelId="{17B2BD0F-3555-4513-8720-1F188C58D091}" type="pres">
      <dgm:prSet presAssocID="{C2DB16B0-7551-4C92-9E44-09774E3BD415}" presName="Child1" presStyleLbl="revTx" presStyleIdx="0" presStyleCnt="3">
        <dgm:presLayoutVars>
          <dgm:chMax/>
          <dgm:chPref val="0"/>
          <dgm:bulletEnabled val="1"/>
        </dgm:presLayoutVars>
      </dgm:prSet>
      <dgm:spPr/>
    </dgm:pt>
    <dgm:pt modelId="{F918D41B-1406-44EE-9DC7-FD65A14AFFFD}" type="pres">
      <dgm:prSet presAssocID="{ABFB2769-8C0A-4DAF-AB37-2212C3DE91B2}" presName="Child2Accent1" presStyleLbl="alignNode1" presStyleIdx="20" presStyleCnt="34"/>
      <dgm:spPr/>
    </dgm:pt>
    <dgm:pt modelId="{0183AFED-DFF6-4CD1-A675-DA5DB57182D6}" type="pres">
      <dgm:prSet presAssocID="{ABFB2769-8C0A-4DAF-AB37-2212C3DE91B2}" presName="Child2Accent2" presStyleLbl="alignNode1" presStyleIdx="21" presStyleCnt="34"/>
      <dgm:spPr/>
    </dgm:pt>
    <dgm:pt modelId="{FBAFEADD-42E9-4569-962B-E7A2D5739333}" type="pres">
      <dgm:prSet presAssocID="{ABFB2769-8C0A-4DAF-AB37-2212C3DE91B2}" presName="Child2Accent3" presStyleLbl="alignNode1" presStyleIdx="22" presStyleCnt="34"/>
      <dgm:spPr/>
    </dgm:pt>
    <dgm:pt modelId="{A76A3BED-5642-476E-BE69-83BD758CCDAA}" type="pres">
      <dgm:prSet presAssocID="{ABFB2769-8C0A-4DAF-AB37-2212C3DE91B2}" presName="Child2Accent4" presStyleLbl="alignNode1" presStyleIdx="23" presStyleCnt="34"/>
      <dgm:spPr/>
    </dgm:pt>
    <dgm:pt modelId="{29240832-00FB-498B-BEA1-2CC4B16FD4FB}" type="pres">
      <dgm:prSet presAssocID="{ABFB2769-8C0A-4DAF-AB37-2212C3DE91B2}" presName="Child2Accent5" presStyleLbl="alignNode1" presStyleIdx="24" presStyleCnt="34"/>
      <dgm:spPr/>
    </dgm:pt>
    <dgm:pt modelId="{ED312E71-C885-41E3-A2D0-84523AF2073E}" type="pres">
      <dgm:prSet presAssocID="{ABFB2769-8C0A-4DAF-AB37-2212C3DE91B2}" presName="Child2Accent6" presStyleLbl="alignNode1" presStyleIdx="25" presStyleCnt="34"/>
      <dgm:spPr/>
    </dgm:pt>
    <dgm:pt modelId="{27984CE8-CE57-4DA7-996B-EE01194E18BB}" type="pres">
      <dgm:prSet presAssocID="{ABFB2769-8C0A-4DAF-AB37-2212C3DE91B2}" presName="Child2Accent7" presStyleLbl="alignNode1" presStyleIdx="26" presStyleCnt="34"/>
      <dgm:spPr/>
    </dgm:pt>
    <dgm:pt modelId="{8C236ABC-AD05-4845-904C-C5B8B7AC0791}" type="pres">
      <dgm:prSet presAssocID="{ABFB2769-8C0A-4DAF-AB37-2212C3DE91B2}" presName="Child2" presStyleLbl="revTx" presStyleIdx="1" presStyleCnt="3">
        <dgm:presLayoutVars>
          <dgm:chMax/>
          <dgm:chPref val="0"/>
          <dgm:bulletEnabled val="1"/>
        </dgm:presLayoutVars>
      </dgm:prSet>
      <dgm:spPr/>
    </dgm:pt>
    <dgm:pt modelId="{A1E629A4-01DE-4FF2-991B-BDD4861D93F4}" type="pres">
      <dgm:prSet presAssocID="{48BF8390-7084-40D4-AE3A-8D502C4733BB}" presName="Child3Accent1" presStyleLbl="alignNode1" presStyleIdx="27" presStyleCnt="34"/>
      <dgm:spPr/>
    </dgm:pt>
    <dgm:pt modelId="{CAC32224-F041-4222-910C-1AC22C43C498}" type="pres">
      <dgm:prSet presAssocID="{48BF8390-7084-40D4-AE3A-8D502C4733BB}" presName="Child3Accent2" presStyleLbl="alignNode1" presStyleIdx="28" presStyleCnt="34"/>
      <dgm:spPr/>
    </dgm:pt>
    <dgm:pt modelId="{4BD0F437-3660-4486-BAD2-906F37645360}" type="pres">
      <dgm:prSet presAssocID="{48BF8390-7084-40D4-AE3A-8D502C4733BB}" presName="Child3Accent3" presStyleLbl="alignNode1" presStyleIdx="29" presStyleCnt="34"/>
      <dgm:spPr/>
    </dgm:pt>
    <dgm:pt modelId="{0CE11FCA-8E77-4DD4-B0BA-8B2B3C608BA6}" type="pres">
      <dgm:prSet presAssocID="{48BF8390-7084-40D4-AE3A-8D502C4733BB}" presName="Child3Accent4" presStyleLbl="alignNode1" presStyleIdx="30" presStyleCnt="34"/>
      <dgm:spPr/>
    </dgm:pt>
    <dgm:pt modelId="{8AB45F0F-021B-4822-86B8-99A488FEF502}" type="pres">
      <dgm:prSet presAssocID="{48BF8390-7084-40D4-AE3A-8D502C4733BB}" presName="Child3Accent5" presStyleLbl="alignNode1" presStyleIdx="31" presStyleCnt="34"/>
      <dgm:spPr/>
    </dgm:pt>
    <dgm:pt modelId="{0A81B4DE-6857-4817-B3D3-944C3F8E85D7}" type="pres">
      <dgm:prSet presAssocID="{48BF8390-7084-40D4-AE3A-8D502C4733BB}" presName="Child3Accent6" presStyleLbl="alignNode1" presStyleIdx="32" presStyleCnt="34"/>
      <dgm:spPr/>
    </dgm:pt>
    <dgm:pt modelId="{8D2C79BD-FC11-471C-B702-D2B614D1771A}" type="pres">
      <dgm:prSet presAssocID="{48BF8390-7084-40D4-AE3A-8D502C4733BB}" presName="Child3Accent7" presStyleLbl="alignNode1" presStyleIdx="33" presStyleCnt="34"/>
      <dgm:spPr/>
    </dgm:pt>
    <dgm:pt modelId="{B42FC542-37A9-45A3-A6A1-8B3E793914F1}" type="pres">
      <dgm:prSet presAssocID="{48BF8390-7084-40D4-AE3A-8D502C4733BB}" presName="Child3" presStyleLbl="revTx" presStyleIdx="2" presStyleCnt="3">
        <dgm:presLayoutVars>
          <dgm:chMax/>
          <dgm:chPref val="0"/>
          <dgm:bulletEnabled val="1"/>
        </dgm:presLayoutVars>
      </dgm:prSet>
      <dgm:spPr/>
    </dgm:pt>
  </dgm:ptLst>
  <dgm:cxnLst>
    <dgm:cxn modelId="{E8BD480B-0F5B-48CB-84B8-A00A19782ECF}" srcId="{FA8F2CEA-4796-4349-8DE0-EB97FBFF7B14}" destId="{00105225-ED6A-4585-BAC1-097B13056386}" srcOrd="0" destOrd="0" parTransId="{ECF3BA96-6964-487F-ACD9-AD432179CA7F}" sibTransId="{7CEA9820-D534-4E5C-B46C-210F2A685856}"/>
    <dgm:cxn modelId="{A5850919-06EE-4848-80AD-C3DBB7664EE5}" type="presOf" srcId="{ABFB2769-8C0A-4DAF-AB37-2212C3DE91B2}" destId="{8C236ABC-AD05-4845-904C-C5B8B7AC0791}" srcOrd="0" destOrd="0" presId="urn:microsoft.com/office/officeart/2011/layout/ConvergingText"/>
    <dgm:cxn modelId="{76D4851F-CF0B-4ACE-AD17-DE8E17B7A1A8}" srcId="{00105225-ED6A-4585-BAC1-097B13056386}" destId="{48BF8390-7084-40D4-AE3A-8D502C4733BB}" srcOrd="2" destOrd="0" parTransId="{439D5EC6-B8CB-48AC-9F66-11F109EA2DB3}" sibTransId="{5B41FD76-8363-4722-A730-29E4251560BF}"/>
    <dgm:cxn modelId="{0271DF3E-99CE-47B9-AA8C-6775E5F1D6FC}" type="presOf" srcId="{00105225-ED6A-4585-BAC1-097B13056386}" destId="{FBE1D256-7DDE-4521-836E-7A7C4C36E870}" srcOrd="0" destOrd="0" presId="urn:microsoft.com/office/officeart/2011/layout/ConvergingText"/>
    <dgm:cxn modelId="{AF8F3C62-7227-4D04-B940-CFDE182CA655}" type="presOf" srcId="{C2DB16B0-7551-4C92-9E44-09774E3BD415}" destId="{17B2BD0F-3555-4513-8720-1F188C58D091}" srcOrd="0" destOrd="0" presId="urn:microsoft.com/office/officeart/2011/layout/ConvergingText"/>
    <dgm:cxn modelId="{6CDBDC82-C927-44E0-9B61-CF0FA3AFB3A3}" type="presOf" srcId="{48BF8390-7084-40D4-AE3A-8D502C4733BB}" destId="{B42FC542-37A9-45A3-A6A1-8B3E793914F1}" srcOrd="0" destOrd="0" presId="urn:microsoft.com/office/officeart/2011/layout/ConvergingText"/>
    <dgm:cxn modelId="{A9179BAA-27A9-4251-BAA0-4B804985975F}" type="presOf" srcId="{FA8F2CEA-4796-4349-8DE0-EB97FBFF7B14}" destId="{CEA353BB-05D6-498D-BAE0-46AA1E3147D2}" srcOrd="0" destOrd="0" presId="urn:microsoft.com/office/officeart/2011/layout/ConvergingText"/>
    <dgm:cxn modelId="{F710C3D2-C333-4A17-B567-248F13CB5F9A}" srcId="{00105225-ED6A-4585-BAC1-097B13056386}" destId="{ABFB2769-8C0A-4DAF-AB37-2212C3DE91B2}" srcOrd="1" destOrd="0" parTransId="{8343F95C-FF2E-49A1-919A-1B349E95FDDC}" sibTransId="{9FD979D0-0980-47F2-8976-ABDE8EEAAF60}"/>
    <dgm:cxn modelId="{555FF1E8-7590-4935-8B24-A9CA812F6DDF}" srcId="{00105225-ED6A-4585-BAC1-097B13056386}" destId="{C2DB16B0-7551-4C92-9E44-09774E3BD415}" srcOrd="0" destOrd="0" parTransId="{39B0AA22-A740-4057-A67C-98F691452F63}" sibTransId="{B9829D68-6426-4C66-A348-B1C9F154C433}"/>
    <dgm:cxn modelId="{4B3CF9B8-9D2A-4503-A7B0-617C821C787A}" type="presParOf" srcId="{CEA353BB-05D6-498D-BAE0-46AA1E3147D2}" destId="{18AE7068-AFEC-44FA-B97A-62812BA33B7E}" srcOrd="0" destOrd="0" presId="urn:microsoft.com/office/officeart/2011/layout/ConvergingText"/>
    <dgm:cxn modelId="{A669A916-3F33-4A77-90D5-3E5C34DDE695}" type="presParOf" srcId="{18AE7068-AFEC-44FA-B97A-62812BA33B7E}" destId="{5109D015-8F52-4CF7-87F0-86937E9B654A}" srcOrd="0" destOrd="0" presId="urn:microsoft.com/office/officeart/2011/layout/ConvergingText"/>
    <dgm:cxn modelId="{DFCD87D8-D003-4920-B8EA-8DF329510DEF}" type="presParOf" srcId="{18AE7068-AFEC-44FA-B97A-62812BA33B7E}" destId="{3D127B67-9CC8-4120-B0C0-A5AD08A57FD0}" srcOrd="1" destOrd="0" presId="urn:microsoft.com/office/officeart/2011/layout/ConvergingText"/>
    <dgm:cxn modelId="{C3D676EE-667F-4BBF-83CD-01CFEB4BFA81}" type="presParOf" srcId="{18AE7068-AFEC-44FA-B97A-62812BA33B7E}" destId="{35E3FE5D-285B-4F3F-8C87-6FB5866711CB}" srcOrd="2" destOrd="0" presId="urn:microsoft.com/office/officeart/2011/layout/ConvergingText"/>
    <dgm:cxn modelId="{63F61D0A-61D5-4CBA-BBF0-D4DA9300C798}" type="presParOf" srcId="{18AE7068-AFEC-44FA-B97A-62812BA33B7E}" destId="{CDAE9A8E-4A0B-4C71-9EAF-8729AA048F00}" srcOrd="3" destOrd="0" presId="urn:microsoft.com/office/officeart/2011/layout/ConvergingText"/>
    <dgm:cxn modelId="{B9DB184D-1D7C-4B7F-B6F5-0398B445879B}" type="presParOf" srcId="{18AE7068-AFEC-44FA-B97A-62812BA33B7E}" destId="{845DAE2E-794E-407B-86A6-633D7744FCB8}" srcOrd="4" destOrd="0" presId="urn:microsoft.com/office/officeart/2011/layout/ConvergingText"/>
    <dgm:cxn modelId="{6A14C636-11DE-4FA6-9F02-9D9EE3EF9737}" type="presParOf" srcId="{18AE7068-AFEC-44FA-B97A-62812BA33B7E}" destId="{3184909F-7FEE-4FA4-A0BE-B8B7F9D5316E}" srcOrd="5" destOrd="0" presId="urn:microsoft.com/office/officeart/2011/layout/ConvergingText"/>
    <dgm:cxn modelId="{C1FA6805-F3A9-4B5C-BDA4-544F43F9817E}" type="presParOf" srcId="{18AE7068-AFEC-44FA-B97A-62812BA33B7E}" destId="{1D897666-41FB-4A91-BB59-9CBF82A4AD2E}" srcOrd="6" destOrd="0" presId="urn:microsoft.com/office/officeart/2011/layout/ConvergingText"/>
    <dgm:cxn modelId="{8618D27A-27B1-4C49-A4AF-535447361944}" type="presParOf" srcId="{18AE7068-AFEC-44FA-B97A-62812BA33B7E}" destId="{BA99D47B-39A6-4DBD-ACDC-1C6AA99282E5}" srcOrd="7" destOrd="0" presId="urn:microsoft.com/office/officeart/2011/layout/ConvergingText"/>
    <dgm:cxn modelId="{5F2F6B54-6649-4AB6-BD71-E94A0B630A26}" type="presParOf" srcId="{18AE7068-AFEC-44FA-B97A-62812BA33B7E}" destId="{D5CE7310-5B54-4D57-AEEF-8A95B0E5E3CD}" srcOrd="8" destOrd="0" presId="urn:microsoft.com/office/officeart/2011/layout/ConvergingText"/>
    <dgm:cxn modelId="{E3C8751E-36A7-4E81-B037-A15170744667}" type="presParOf" srcId="{18AE7068-AFEC-44FA-B97A-62812BA33B7E}" destId="{05E5F483-2A32-47CD-A962-1A0B5C08F8A6}" srcOrd="9" destOrd="0" presId="urn:microsoft.com/office/officeart/2011/layout/ConvergingText"/>
    <dgm:cxn modelId="{549CEE2A-49CD-4EFE-B70B-8388DC909733}" type="presParOf" srcId="{18AE7068-AFEC-44FA-B97A-62812BA33B7E}" destId="{FBE1D256-7DDE-4521-836E-7A7C4C36E870}" srcOrd="10" destOrd="0" presId="urn:microsoft.com/office/officeart/2011/layout/ConvergingText"/>
    <dgm:cxn modelId="{BC22E45F-581B-4D84-BCFE-8529B387A51C}" type="presParOf" srcId="{18AE7068-AFEC-44FA-B97A-62812BA33B7E}" destId="{ACEAD0C8-4079-420C-8ABD-E64968BC24F0}" srcOrd="11" destOrd="0" presId="urn:microsoft.com/office/officeart/2011/layout/ConvergingText"/>
    <dgm:cxn modelId="{D1028C85-9F21-4DDB-A6E1-0FD254F4F59B}" type="presParOf" srcId="{18AE7068-AFEC-44FA-B97A-62812BA33B7E}" destId="{7C3F9AD9-E8EB-4B83-B3BE-E0DA0D7BFE56}" srcOrd="12" destOrd="0" presId="urn:microsoft.com/office/officeart/2011/layout/ConvergingText"/>
    <dgm:cxn modelId="{C81B320E-FB31-47A6-BD14-237B4033A3D7}" type="presParOf" srcId="{18AE7068-AFEC-44FA-B97A-62812BA33B7E}" destId="{DE8537F1-32B3-4F7D-AF23-13489E9D427C}" srcOrd="13" destOrd="0" presId="urn:microsoft.com/office/officeart/2011/layout/ConvergingText"/>
    <dgm:cxn modelId="{5800A273-F3EA-4087-968A-917AFC48835A}" type="presParOf" srcId="{18AE7068-AFEC-44FA-B97A-62812BA33B7E}" destId="{28153D10-8335-447E-8B1B-AE1A6D364AEA}" srcOrd="14" destOrd="0" presId="urn:microsoft.com/office/officeart/2011/layout/ConvergingText"/>
    <dgm:cxn modelId="{94586C41-AEA9-4DF5-83A5-33E1CDA327C5}" type="presParOf" srcId="{18AE7068-AFEC-44FA-B97A-62812BA33B7E}" destId="{C5753342-DC17-4E16-B313-AEAE8025DE15}" srcOrd="15" destOrd="0" presId="urn:microsoft.com/office/officeart/2011/layout/ConvergingText"/>
    <dgm:cxn modelId="{DE11E759-E499-475F-B0A0-81AC0A715699}" type="presParOf" srcId="{18AE7068-AFEC-44FA-B97A-62812BA33B7E}" destId="{CCAA8673-6E81-4619-9E90-67903F5DBD02}" srcOrd="16" destOrd="0" presId="urn:microsoft.com/office/officeart/2011/layout/ConvergingText"/>
    <dgm:cxn modelId="{2647DE62-F061-48C1-B13F-AC59A51C2D22}" type="presParOf" srcId="{18AE7068-AFEC-44FA-B97A-62812BA33B7E}" destId="{9E55E0BB-60DF-46A4-8740-F2F11B345B4C}" srcOrd="17" destOrd="0" presId="urn:microsoft.com/office/officeart/2011/layout/ConvergingText"/>
    <dgm:cxn modelId="{DD486FE7-5018-473D-AB05-0224F8B48431}" type="presParOf" srcId="{18AE7068-AFEC-44FA-B97A-62812BA33B7E}" destId="{FC551991-CFB1-4EA3-A7A1-E4BCC4B1B6EF}" srcOrd="18" destOrd="0" presId="urn:microsoft.com/office/officeart/2011/layout/ConvergingText"/>
    <dgm:cxn modelId="{37DF6CCD-7EFF-47FA-8790-13FC9B966FBB}" type="presParOf" srcId="{18AE7068-AFEC-44FA-B97A-62812BA33B7E}" destId="{A9E5CCE3-A50F-4411-9289-8ED9A7D9786B}" srcOrd="19" destOrd="0" presId="urn:microsoft.com/office/officeart/2011/layout/ConvergingText"/>
    <dgm:cxn modelId="{7AB3EC48-AA6B-4814-84A2-B9E2D8E49D12}" type="presParOf" srcId="{18AE7068-AFEC-44FA-B97A-62812BA33B7E}" destId="{17B2BD0F-3555-4513-8720-1F188C58D091}" srcOrd="20" destOrd="0" presId="urn:microsoft.com/office/officeart/2011/layout/ConvergingText"/>
    <dgm:cxn modelId="{9E372351-4F96-4C42-8F93-880212A582F1}" type="presParOf" srcId="{18AE7068-AFEC-44FA-B97A-62812BA33B7E}" destId="{F918D41B-1406-44EE-9DC7-FD65A14AFFFD}" srcOrd="21" destOrd="0" presId="urn:microsoft.com/office/officeart/2011/layout/ConvergingText"/>
    <dgm:cxn modelId="{2FD197A0-80CF-408B-BD10-76F82CC59787}" type="presParOf" srcId="{18AE7068-AFEC-44FA-B97A-62812BA33B7E}" destId="{0183AFED-DFF6-4CD1-A675-DA5DB57182D6}" srcOrd="22" destOrd="0" presId="urn:microsoft.com/office/officeart/2011/layout/ConvergingText"/>
    <dgm:cxn modelId="{8E307F67-0071-4475-B929-41D45E94A236}" type="presParOf" srcId="{18AE7068-AFEC-44FA-B97A-62812BA33B7E}" destId="{FBAFEADD-42E9-4569-962B-E7A2D5739333}" srcOrd="23" destOrd="0" presId="urn:microsoft.com/office/officeart/2011/layout/ConvergingText"/>
    <dgm:cxn modelId="{060FEB7A-5D66-4243-ACA5-D9D78C129C5B}" type="presParOf" srcId="{18AE7068-AFEC-44FA-B97A-62812BA33B7E}" destId="{A76A3BED-5642-476E-BE69-83BD758CCDAA}" srcOrd="24" destOrd="0" presId="urn:microsoft.com/office/officeart/2011/layout/ConvergingText"/>
    <dgm:cxn modelId="{5FB6207B-1A14-4DCC-861C-2436426A41F2}" type="presParOf" srcId="{18AE7068-AFEC-44FA-B97A-62812BA33B7E}" destId="{29240832-00FB-498B-BEA1-2CC4B16FD4FB}" srcOrd="25" destOrd="0" presId="urn:microsoft.com/office/officeart/2011/layout/ConvergingText"/>
    <dgm:cxn modelId="{3332FF1F-F923-4FCA-8634-F386C417CAFE}" type="presParOf" srcId="{18AE7068-AFEC-44FA-B97A-62812BA33B7E}" destId="{ED312E71-C885-41E3-A2D0-84523AF2073E}" srcOrd="26" destOrd="0" presId="urn:microsoft.com/office/officeart/2011/layout/ConvergingText"/>
    <dgm:cxn modelId="{90A7F628-8201-499B-B77E-794A5023D1BA}" type="presParOf" srcId="{18AE7068-AFEC-44FA-B97A-62812BA33B7E}" destId="{27984CE8-CE57-4DA7-996B-EE01194E18BB}" srcOrd="27" destOrd="0" presId="urn:microsoft.com/office/officeart/2011/layout/ConvergingText"/>
    <dgm:cxn modelId="{3D1EE6B8-9817-4860-A2EC-43E3A23B741B}" type="presParOf" srcId="{18AE7068-AFEC-44FA-B97A-62812BA33B7E}" destId="{8C236ABC-AD05-4845-904C-C5B8B7AC0791}" srcOrd="28" destOrd="0" presId="urn:microsoft.com/office/officeart/2011/layout/ConvergingText"/>
    <dgm:cxn modelId="{34ADC879-B4F7-47AC-BD7B-EB04D9E295DC}" type="presParOf" srcId="{18AE7068-AFEC-44FA-B97A-62812BA33B7E}" destId="{A1E629A4-01DE-4FF2-991B-BDD4861D93F4}" srcOrd="29" destOrd="0" presId="urn:microsoft.com/office/officeart/2011/layout/ConvergingText"/>
    <dgm:cxn modelId="{7D9C1B56-3322-4824-95BF-D87B3C0D063D}" type="presParOf" srcId="{18AE7068-AFEC-44FA-B97A-62812BA33B7E}" destId="{CAC32224-F041-4222-910C-1AC22C43C498}" srcOrd="30" destOrd="0" presId="urn:microsoft.com/office/officeart/2011/layout/ConvergingText"/>
    <dgm:cxn modelId="{F684FF7C-5313-4C69-9DBE-F49E3EDDBE2A}" type="presParOf" srcId="{18AE7068-AFEC-44FA-B97A-62812BA33B7E}" destId="{4BD0F437-3660-4486-BAD2-906F37645360}" srcOrd="31" destOrd="0" presId="urn:microsoft.com/office/officeart/2011/layout/ConvergingText"/>
    <dgm:cxn modelId="{FBC9C232-4C04-4FA2-80C9-EA661304A0D9}" type="presParOf" srcId="{18AE7068-AFEC-44FA-B97A-62812BA33B7E}" destId="{0CE11FCA-8E77-4DD4-B0BA-8B2B3C608BA6}" srcOrd="32" destOrd="0" presId="urn:microsoft.com/office/officeart/2011/layout/ConvergingText"/>
    <dgm:cxn modelId="{853786BB-7FBF-4D98-A019-E6E58C6627BB}" type="presParOf" srcId="{18AE7068-AFEC-44FA-B97A-62812BA33B7E}" destId="{8AB45F0F-021B-4822-86B8-99A488FEF502}" srcOrd="33" destOrd="0" presId="urn:microsoft.com/office/officeart/2011/layout/ConvergingText"/>
    <dgm:cxn modelId="{3DA5F431-9B82-4D9D-B706-BEB17D6EF39D}" type="presParOf" srcId="{18AE7068-AFEC-44FA-B97A-62812BA33B7E}" destId="{0A81B4DE-6857-4817-B3D3-944C3F8E85D7}" srcOrd="34" destOrd="0" presId="urn:microsoft.com/office/officeart/2011/layout/ConvergingText"/>
    <dgm:cxn modelId="{61CAE3BD-A326-41BF-90C1-DAE8D3441A25}" type="presParOf" srcId="{18AE7068-AFEC-44FA-B97A-62812BA33B7E}" destId="{8D2C79BD-FC11-471C-B702-D2B614D1771A}" srcOrd="35" destOrd="0" presId="urn:microsoft.com/office/officeart/2011/layout/ConvergingText"/>
    <dgm:cxn modelId="{03F82E6F-6D60-455F-B448-0581150DD17C}" type="presParOf" srcId="{18AE7068-AFEC-44FA-B97A-62812BA33B7E}" destId="{B42FC542-37A9-45A3-A6A1-8B3E793914F1}" srcOrd="36" destOrd="0" presId="urn:microsoft.com/office/officeart/2011/layout/ConvergingText"/>
  </dgm:cxnLst>
  <dgm:bg/>
  <dgm:whole/>
  <dgm:extLst>
    <a:ext uri="http://schemas.microsoft.com/office/drawing/2008/diagram">
      <dsp:dataModelExt xmlns:dsp="http://schemas.microsoft.com/office/drawing/2008/diagram" relId="rId13"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17548448-476D-4B5A-A736-BA5C81479A66}" type="doc">
      <dgm:prSet loTypeId="urn:microsoft.com/office/officeart/2005/8/layout/target2" loCatId="relationship" qsTypeId="urn:microsoft.com/office/officeart/2005/8/quickstyle/simple1" qsCatId="simple" csTypeId="urn:microsoft.com/office/officeart/2005/8/colors/accent1_2" csCatId="accent1" phldr="0"/>
      <dgm:spPr/>
      <dgm:t>
        <a:bodyPr/>
        <a:lstStyle/>
        <a:p>
          <a:endParaRPr lang="en-GB"/>
        </a:p>
      </dgm:t>
    </dgm:pt>
    <dgm:pt modelId="{114BFF19-7677-4CE6-BC72-6996C481FD97}">
      <dgm:prSet phldrT="[Text]" phldr="1"/>
      <dgm:spPr/>
      <dgm:t>
        <a:bodyPr/>
        <a:lstStyle/>
        <a:p>
          <a:endParaRPr lang="en-GB"/>
        </a:p>
      </dgm:t>
    </dgm:pt>
    <dgm:pt modelId="{404ED386-48EA-4E9B-A26F-E86EBFA3D59F}" type="parTrans" cxnId="{A5F43E5E-50F7-4545-BEF4-1212B66B9562}">
      <dgm:prSet/>
      <dgm:spPr/>
      <dgm:t>
        <a:bodyPr/>
        <a:lstStyle/>
        <a:p>
          <a:endParaRPr lang="en-GB"/>
        </a:p>
      </dgm:t>
    </dgm:pt>
    <dgm:pt modelId="{7DBB73C0-2632-435A-BEC9-25DE11C1D2BD}" type="sibTrans" cxnId="{A5F43E5E-50F7-4545-BEF4-1212B66B9562}">
      <dgm:prSet/>
      <dgm:spPr/>
      <dgm:t>
        <a:bodyPr/>
        <a:lstStyle/>
        <a:p>
          <a:endParaRPr lang="en-GB"/>
        </a:p>
      </dgm:t>
    </dgm:pt>
    <dgm:pt modelId="{15978E61-46F7-4075-96AA-B2E054625820}">
      <dgm:prSet phldrT="[Text]" phldr="1"/>
      <dgm:spPr/>
      <dgm:t>
        <a:bodyPr/>
        <a:lstStyle/>
        <a:p>
          <a:endParaRPr lang="en-GB"/>
        </a:p>
      </dgm:t>
    </dgm:pt>
    <dgm:pt modelId="{C2017030-2D13-408F-8880-8FAFE33F6609}" type="parTrans" cxnId="{397AA7E5-6D4B-4521-B19E-8061B97121F0}">
      <dgm:prSet/>
      <dgm:spPr/>
      <dgm:t>
        <a:bodyPr/>
        <a:lstStyle/>
        <a:p>
          <a:endParaRPr lang="en-GB"/>
        </a:p>
      </dgm:t>
    </dgm:pt>
    <dgm:pt modelId="{58837B6E-5EC8-49A6-B4A1-20F45770A291}" type="sibTrans" cxnId="{397AA7E5-6D4B-4521-B19E-8061B97121F0}">
      <dgm:prSet/>
      <dgm:spPr/>
      <dgm:t>
        <a:bodyPr/>
        <a:lstStyle/>
        <a:p>
          <a:endParaRPr lang="en-GB"/>
        </a:p>
      </dgm:t>
    </dgm:pt>
    <dgm:pt modelId="{6218B139-D8B4-4287-81F2-67D6C0D573DE}">
      <dgm:prSet phldrT="[Text]" phldr="1"/>
      <dgm:spPr/>
      <dgm:t>
        <a:bodyPr/>
        <a:lstStyle/>
        <a:p>
          <a:endParaRPr lang="en-GB"/>
        </a:p>
      </dgm:t>
    </dgm:pt>
    <dgm:pt modelId="{65214125-40A7-4AA3-A4ED-95398E99C84E}" type="parTrans" cxnId="{A7A4E75C-0A20-4371-9C7A-7724AE9E5AD1}">
      <dgm:prSet/>
      <dgm:spPr/>
      <dgm:t>
        <a:bodyPr/>
        <a:lstStyle/>
        <a:p>
          <a:endParaRPr lang="en-GB"/>
        </a:p>
      </dgm:t>
    </dgm:pt>
    <dgm:pt modelId="{0546FD6E-BCCF-40A7-A73D-494FF2B81CC7}" type="sibTrans" cxnId="{A7A4E75C-0A20-4371-9C7A-7724AE9E5AD1}">
      <dgm:prSet/>
      <dgm:spPr/>
      <dgm:t>
        <a:bodyPr/>
        <a:lstStyle/>
        <a:p>
          <a:endParaRPr lang="en-GB"/>
        </a:p>
      </dgm:t>
    </dgm:pt>
    <dgm:pt modelId="{44742328-BD60-458B-BD16-5CC2353F5742}">
      <dgm:prSet phldrT="[Text]" phldr="1"/>
      <dgm:spPr/>
      <dgm:t>
        <a:bodyPr/>
        <a:lstStyle/>
        <a:p>
          <a:endParaRPr lang="en-GB"/>
        </a:p>
      </dgm:t>
    </dgm:pt>
    <dgm:pt modelId="{B014B4BC-8515-4788-93AC-0A05CA8CB55B}" type="parTrans" cxnId="{124A30E9-3251-46A5-857B-6490EDB90813}">
      <dgm:prSet/>
      <dgm:spPr/>
      <dgm:t>
        <a:bodyPr/>
        <a:lstStyle/>
        <a:p>
          <a:endParaRPr lang="en-GB"/>
        </a:p>
      </dgm:t>
    </dgm:pt>
    <dgm:pt modelId="{8B71B871-04BE-42AF-9CFF-1C21FBA47D75}" type="sibTrans" cxnId="{124A30E9-3251-46A5-857B-6490EDB90813}">
      <dgm:prSet/>
      <dgm:spPr/>
      <dgm:t>
        <a:bodyPr/>
        <a:lstStyle/>
        <a:p>
          <a:endParaRPr lang="en-GB"/>
        </a:p>
      </dgm:t>
    </dgm:pt>
    <dgm:pt modelId="{20443F85-B5EC-4E32-9D04-6AAA5805D4AD}">
      <dgm:prSet phldrT="[Text]" phldr="1"/>
      <dgm:spPr/>
      <dgm:t>
        <a:bodyPr/>
        <a:lstStyle/>
        <a:p>
          <a:endParaRPr lang="en-GB"/>
        </a:p>
      </dgm:t>
    </dgm:pt>
    <dgm:pt modelId="{D39DDC43-BAC4-4A92-ABD9-5F9848F83596}" type="parTrans" cxnId="{B6657472-81A3-47F8-81A6-E5A7D0320CAF}">
      <dgm:prSet/>
      <dgm:spPr/>
      <dgm:t>
        <a:bodyPr/>
        <a:lstStyle/>
        <a:p>
          <a:endParaRPr lang="en-GB"/>
        </a:p>
      </dgm:t>
    </dgm:pt>
    <dgm:pt modelId="{85CBA099-F243-48AC-A545-7E6D8FC90037}" type="sibTrans" cxnId="{B6657472-81A3-47F8-81A6-E5A7D0320CAF}">
      <dgm:prSet/>
      <dgm:spPr/>
      <dgm:t>
        <a:bodyPr/>
        <a:lstStyle/>
        <a:p>
          <a:endParaRPr lang="en-GB"/>
        </a:p>
      </dgm:t>
    </dgm:pt>
    <dgm:pt modelId="{6BF60729-72B3-43A7-B8D6-CFEB39FC44FA}">
      <dgm:prSet phldrT="[Text]" phldr="1"/>
      <dgm:spPr/>
      <dgm:t>
        <a:bodyPr/>
        <a:lstStyle/>
        <a:p>
          <a:endParaRPr lang="en-GB"/>
        </a:p>
      </dgm:t>
    </dgm:pt>
    <dgm:pt modelId="{C59E63BA-0646-4AFB-970A-F0E5C579BF30}" type="parTrans" cxnId="{28E93E8F-6D9F-4A89-8F5F-CA5A76DB180F}">
      <dgm:prSet/>
      <dgm:spPr/>
      <dgm:t>
        <a:bodyPr/>
        <a:lstStyle/>
        <a:p>
          <a:endParaRPr lang="en-GB"/>
        </a:p>
      </dgm:t>
    </dgm:pt>
    <dgm:pt modelId="{B484D2D6-D81B-42F5-86E2-1EF8BCF2F5EC}" type="sibTrans" cxnId="{28E93E8F-6D9F-4A89-8F5F-CA5A76DB180F}">
      <dgm:prSet/>
      <dgm:spPr/>
      <dgm:t>
        <a:bodyPr/>
        <a:lstStyle/>
        <a:p>
          <a:endParaRPr lang="en-GB"/>
        </a:p>
      </dgm:t>
    </dgm:pt>
    <dgm:pt modelId="{9843C33D-C17C-477E-9902-B2E7ED0881BF}">
      <dgm:prSet phldrT="[Text]" phldr="1"/>
      <dgm:spPr/>
      <dgm:t>
        <a:bodyPr/>
        <a:lstStyle/>
        <a:p>
          <a:endParaRPr lang="en-GB"/>
        </a:p>
      </dgm:t>
    </dgm:pt>
    <dgm:pt modelId="{18CA7F5E-FE9D-489A-A1E2-94063A21D770}" type="parTrans" cxnId="{2E5C5DA5-6387-49B2-BAF6-86B946A16C7A}">
      <dgm:prSet/>
      <dgm:spPr/>
      <dgm:t>
        <a:bodyPr/>
        <a:lstStyle/>
        <a:p>
          <a:endParaRPr lang="en-GB"/>
        </a:p>
      </dgm:t>
    </dgm:pt>
    <dgm:pt modelId="{15B0A7E0-18E6-4FE3-B476-ECD56DF5800F}" type="sibTrans" cxnId="{2E5C5DA5-6387-49B2-BAF6-86B946A16C7A}">
      <dgm:prSet/>
      <dgm:spPr/>
      <dgm:t>
        <a:bodyPr/>
        <a:lstStyle/>
        <a:p>
          <a:endParaRPr lang="en-GB"/>
        </a:p>
      </dgm:t>
    </dgm:pt>
    <dgm:pt modelId="{7985F8E3-C7B3-4F7F-9B11-4C207A22DFBD}">
      <dgm:prSet phldrT="[Text]" phldr="1"/>
      <dgm:spPr/>
      <dgm:t>
        <a:bodyPr/>
        <a:lstStyle/>
        <a:p>
          <a:endParaRPr lang="en-GB"/>
        </a:p>
      </dgm:t>
    </dgm:pt>
    <dgm:pt modelId="{404534AB-DE9B-48C1-A20D-24E079552850}" type="parTrans" cxnId="{DB6DBD37-2632-4E5A-AA7B-9222B150B8E4}">
      <dgm:prSet/>
      <dgm:spPr/>
      <dgm:t>
        <a:bodyPr/>
        <a:lstStyle/>
        <a:p>
          <a:endParaRPr lang="en-GB"/>
        </a:p>
      </dgm:t>
    </dgm:pt>
    <dgm:pt modelId="{ECA480ED-FB17-4B3A-8905-6E94054F699C}" type="sibTrans" cxnId="{DB6DBD37-2632-4E5A-AA7B-9222B150B8E4}">
      <dgm:prSet/>
      <dgm:spPr/>
      <dgm:t>
        <a:bodyPr/>
        <a:lstStyle/>
        <a:p>
          <a:endParaRPr lang="en-GB"/>
        </a:p>
      </dgm:t>
    </dgm:pt>
    <dgm:pt modelId="{FFCF8C03-CCAE-46A1-9D43-D7963B5EE9E2}">
      <dgm:prSet phldrT="[Text]" phldr="1"/>
      <dgm:spPr/>
      <dgm:t>
        <a:bodyPr/>
        <a:lstStyle/>
        <a:p>
          <a:endParaRPr lang="en-GB"/>
        </a:p>
      </dgm:t>
    </dgm:pt>
    <dgm:pt modelId="{63ACE4D7-307F-4BB7-87CE-8BB88599D72B}" type="parTrans" cxnId="{244B078E-9CEA-46C4-A950-8E9EF772A7E3}">
      <dgm:prSet/>
      <dgm:spPr/>
      <dgm:t>
        <a:bodyPr/>
        <a:lstStyle/>
        <a:p>
          <a:endParaRPr lang="en-GB"/>
        </a:p>
      </dgm:t>
    </dgm:pt>
    <dgm:pt modelId="{9FC25D58-1AFA-4027-9CAB-DE68697A6A24}" type="sibTrans" cxnId="{244B078E-9CEA-46C4-A950-8E9EF772A7E3}">
      <dgm:prSet/>
      <dgm:spPr/>
      <dgm:t>
        <a:bodyPr/>
        <a:lstStyle/>
        <a:p>
          <a:endParaRPr lang="en-GB"/>
        </a:p>
      </dgm:t>
    </dgm:pt>
    <dgm:pt modelId="{91A379AE-2803-4193-BE55-6C7F381AB6B1}" type="pres">
      <dgm:prSet presAssocID="{17548448-476D-4B5A-A736-BA5C81479A66}" presName="Name0" presStyleCnt="0">
        <dgm:presLayoutVars>
          <dgm:chMax val="3"/>
          <dgm:chPref val="1"/>
          <dgm:dir/>
          <dgm:animLvl val="lvl"/>
          <dgm:resizeHandles/>
        </dgm:presLayoutVars>
      </dgm:prSet>
      <dgm:spPr/>
    </dgm:pt>
    <dgm:pt modelId="{0C5647B2-78A2-4337-B41C-679CF5E1A511}" type="pres">
      <dgm:prSet presAssocID="{17548448-476D-4B5A-A736-BA5C81479A66}" presName="outerBox" presStyleCnt="0"/>
      <dgm:spPr/>
    </dgm:pt>
    <dgm:pt modelId="{9934A0FA-33C4-40A6-A343-D42BC2DBE214}" type="pres">
      <dgm:prSet presAssocID="{17548448-476D-4B5A-A736-BA5C81479A66}" presName="outerBoxParent" presStyleLbl="node1" presStyleIdx="0" presStyleCnt="3" custLinFactX="-18125" custLinFactNeighborX="-100000" custLinFactNeighborY="-25000"/>
      <dgm:spPr/>
    </dgm:pt>
    <dgm:pt modelId="{E57BE00E-E051-4206-8827-FA84C95BE092}" type="pres">
      <dgm:prSet presAssocID="{17548448-476D-4B5A-A736-BA5C81479A66}" presName="outerBoxChildren" presStyleCnt="0"/>
      <dgm:spPr/>
    </dgm:pt>
    <dgm:pt modelId="{EC4B2A49-C84A-4433-AB81-50929C5130B9}" type="pres">
      <dgm:prSet presAssocID="{15978E61-46F7-4075-96AA-B2E054625820}" presName="oChild" presStyleLbl="fgAcc1" presStyleIdx="0" presStyleCnt="6">
        <dgm:presLayoutVars>
          <dgm:bulletEnabled val="1"/>
        </dgm:presLayoutVars>
      </dgm:prSet>
      <dgm:spPr/>
    </dgm:pt>
    <dgm:pt modelId="{13A191A5-6D83-4F6F-8955-9C16B7C826E4}" type="pres">
      <dgm:prSet presAssocID="{58837B6E-5EC8-49A6-B4A1-20F45770A291}" presName="outerSibTrans" presStyleCnt="0"/>
      <dgm:spPr/>
    </dgm:pt>
    <dgm:pt modelId="{4A963067-E500-4659-92B5-6D8C0FD7F456}" type="pres">
      <dgm:prSet presAssocID="{6218B139-D8B4-4287-81F2-67D6C0D573DE}" presName="oChild" presStyleLbl="fgAcc1" presStyleIdx="1" presStyleCnt="6">
        <dgm:presLayoutVars>
          <dgm:bulletEnabled val="1"/>
        </dgm:presLayoutVars>
      </dgm:prSet>
      <dgm:spPr/>
    </dgm:pt>
    <dgm:pt modelId="{DE1BE4FB-46EB-41F8-9EFD-175EBF896E41}" type="pres">
      <dgm:prSet presAssocID="{17548448-476D-4B5A-A736-BA5C81479A66}" presName="middleBox" presStyleCnt="0"/>
      <dgm:spPr/>
    </dgm:pt>
    <dgm:pt modelId="{F458F7AE-F67E-44F6-802D-FF234B10DAC3}" type="pres">
      <dgm:prSet presAssocID="{17548448-476D-4B5A-A736-BA5C81479A66}" presName="middleBoxParent" presStyleLbl="node1" presStyleIdx="1" presStyleCnt="3"/>
      <dgm:spPr/>
    </dgm:pt>
    <dgm:pt modelId="{9695D808-00CB-403F-85FC-57E60BF30400}" type="pres">
      <dgm:prSet presAssocID="{17548448-476D-4B5A-A736-BA5C81479A66}" presName="middleBoxChildren" presStyleCnt="0"/>
      <dgm:spPr/>
    </dgm:pt>
    <dgm:pt modelId="{FCD4888C-FC2B-4F99-97AD-2DAF058836FD}" type="pres">
      <dgm:prSet presAssocID="{20443F85-B5EC-4E32-9D04-6AAA5805D4AD}" presName="mChild" presStyleLbl="fgAcc1" presStyleIdx="2" presStyleCnt="6">
        <dgm:presLayoutVars>
          <dgm:bulletEnabled val="1"/>
        </dgm:presLayoutVars>
      </dgm:prSet>
      <dgm:spPr/>
    </dgm:pt>
    <dgm:pt modelId="{BA0223B4-B653-4B49-8F70-3FB6E508F131}" type="pres">
      <dgm:prSet presAssocID="{85CBA099-F243-48AC-A545-7E6D8FC90037}" presName="middleSibTrans" presStyleCnt="0"/>
      <dgm:spPr/>
    </dgm:pt>
    <dgm:pt modelId="{D062EDF9-5035-45ED-91F4-4A21588B5804}" type="pres">
      <dgm:prSet presAssocID="{6BF60729-72B3-43A7-B8D6-CFEB39FC44FA}" presName="mChild" presStyleLbl="fgAcc1" presStyleIdx="3" presStyleCnt="6">
        <dgm:presLayoutVars>
          <dgm:bulletEnabled val="1"/>
        </dgm:presLayoutVars>
      </dgm:prSet>
      <dgm:spPr/>
    </dgm:pt>
    <dgm:pt modelId="{1E75805B-9D91-47E1-A805-C94A3C4CECAD}" type="pres">
      <dgm:prSet presAssocID="{17548448-476D-4B5A-A736-BA5C81479A66}" presName="centerBox" presStyleCnt="0"/>
      <dgm:spPr/>
    </dgm:pt>
    <dgm:pt modelId="{A6C8733D-D6E1-45CC-A4BE-EC7D4B90E8BB}" type="pres">
      <dgm:prSet presAssocID="{17548448-476D-4B5A-A736-BA5C81479A66}" presName="centerBoxParent" presStyleLbl="node1" presStyleIdx="2" presStyleCnt="3"/>
      <dgm:spPr/>
    </dgm:pt>
    <dgm:pt modelId="{9D2672D8-B155-48F3-98A0-FCBBB939E641}" type="pres">
      <dgm:prSet presAssocID="{17548448-476D-4B5A-A736-BA5C81479A66}" presName="centerBoxChildren" presStyleCnt="0"/>
      <dgm:spPr/>
    </dgm:pt>
    <dgm:pt modelId="{35119849-402D-4732-9E36-73BFA5F66A63}" type="pres">
      <dgm:prSet presAssocID="{7985F8E3-C7B3-4F7F-9B11-4C207A22DFBD}" presName="cChild" presStyleLbl="fgAcc1" presStyleIdx="4" presStyleCnt="6">
        <dgm:presLayoutVars>
          <dgm:bulletEnabled val="1"/>
        </dgm:presLayoutVars>
      </dgm:prSet>
      <dgm:spPr/>
    </dgm:pt>
    <dgm:pt modelId="{70C36D9A-99FB-4869-8404-2425C4BEA551}" type="pres">
      <dgm:prSet presAssocID="{ECA480ED-FB17-4B3A-8905-6E94054F699C}" presName="centerSibTrans" presStyleCnt="0"/>
      <dgm:spPr/>
    </dgm:pt>
    <dgm:pt modelId="{052AC7DA-72F9-45FF-906E-B86CBE8CF44F}" type="pres">
      <dgm:prSet presAssocID="{FFCF8C03-CCAE-46A1-9D43-D7963B5EE9E2}" presName="cChild" presStyleLbl="fgAcc1" presStyleIdx="5" presStyleCnt="6">
        <dgm:presLayoutVars>
          <dgm:bulletEnabled val="1"/>
        </dgm:presLayoutVars>
      </dgm:prSet>
      <dgm:spPr/>
    </dgm:pt>
  </dgm:ptLst>
  <dgm:cxnLst>
    <dgm:cxn modelId="{EF397A06-80F9-4B05-802A-56A698A45682}" type="presOf" srcId="{20443F85-B5EC-4E32-9D04-6AAA5805D4AD}" destId="{FCD4888C-FC2B-4F99-97AD-2DAF058836FD}" srcOrd="0" destOrd="0" presId="urn:microsoft.com/office/officeart/2005/8/layout/target2"/>
    <dgm:cxn modelId="{90833D08-8DA7-431A-90A2-A3A50C57B396}" type="presOf" srcId="{7985F8E3-C7B3-4F7F-9B11-4C207A22DFBD}" destId="{35119849-402D-4732-9E36-73BFA5F66A63}" srcOrd="0" destOrd="0" presId="urn:microsoft.com/office/officeart/2005/8/layout/target2"/>
    <dgm:cxn modelId="{0C0DBA0C-FD5B-4093-8A91-F718D6BFC18C}" type="presOf" srcId="{15978E61-46F7-4075-96AA-B2E054625820}" destId="{EC4B2A49-C84A-4433-AB81-50929C5130B9}" srcOrd="0" destOrd="0" presId="urn:microsoft.com/office/officeart/2005/8/layout/target2"/>
    <dgm:cxn modelId="{677A6211-520A-476D-B7F6-FB32327058D5}" type="presOf" srcId="{6BF60729-72B3-43A7-B8D6-CFEB39FC44FA}" destId="{D062EDF9-5035-45ED-91F4-4A21588B5804}" srcOrd="0" destOrd="0" presId="urn:microsoft.com/office/officeart/2005/8/layout/target2"/>
    <dgm:cxn modelId="{E47AD01D-89DC-4323-B70C-6341881616D3}" type="presOf" srcId="{44742328-BD60-458B-BD16-5CC2353F5742}" destId="{F458F7AE-F67E-44F6-802D-FF234B10DAC3}" srcOrd="0" destOrd="0" presId="urn:microsoft.com/office/officeart/2005/8/layout/target2"/>
    <dgm:cxn modelId="{3AD0732E-3244-41C1-BEC3-B1F95CF8D342}" type="presOf" srcId="{9843C33D-C17C-477E-9902-B2E7ED0881BF}" destId="{A6C8733D-D6E1-45CC-A4BE-EC7D4B90E8BB}" srcOrd="0" destOrd="0" presId="urn:microsoft.com/office/officeart/2005/8/layout/target2"/>
    <dgm:cxn modelId="{DB6DBD37-2632-4E5A-AA7B-9222B150B8E4}" srcId="{9843C33D-C17C-477E-9902-B2E7ED0881BF}" destId="{7985F8E3-C7B3-4F7F-9B11-4C207A22DFBD}" srcOrd="0" destOrd="0" parTransId="{404534AB-DE9B-48C1-A20D-24E079552850}" sibTransId="{ECA480ED-FB17-4B3A-8905-6E94054F699C}"/>
    <dgm:cxn modelId="{A7A4E75C-0A20-4371-9C7A-7724AE9E5AD1}" srcId="{114BFF19-7677-4CE6-BC72-6996C481FD97}" destId="{6218B139-D8B4-4287-81F2-67D6C0D573DE}" srcOrd="1" destOrd="0" parTransId="{65214125-40A7-4AA3-A4ED-95398E99C84E}" sibTransId="{0546FD6E-BCCF-40A7-A73D-494FF2B81CC7}"/>
    <dgm:cxn modelId="{A5F43E5E-50F7-4545-BEF4-1212B66B9562}" srcId="{17548448-476D-4B5A-A736-BA5C81479A66}" destId="{114BFF19-7677-4CE6-BC72-6996C481FD97}" srcOrd="0" destOrd="0" parTransId="{404ED386-48EA-4E9B-A26F-E86EBFA3D59F}" sibTransId="{7DBB73C0-2632-435A-BEC9-25DE11C1D2BD}"/>
    <dgm:cxn modelId="{B6657472-81A3-47F8-81A6-E5A7D0320CAF}" srcId="{44742328-BD60-458B-BD16-5CC2353F5742}" destId="{20443F85-B5EC-4E32-9D04-6AAA5805D4AD}" srcOrd="0" destOrd="0" parTransId="{D39DDC43-BAC4-4A92-ABD9-5F9848F83596}" sibTransId="{85CBA099-F243-48AC-A545-7E6D8FC90037}"/>
    <dgm:cxn modelId="{244B078E-9CEA-46C4-A950-8E9EF772A7E3}" srcId="{9843C33D-C17C-477E-9902-B2E7ED0881BF}" destId="{FFCF8C03-CCAE-46A1-9D43-D7963B5EE9E2}" srcOrd="1" destOrd="0" parTransId="{63ACE4D7-307F-4BB7-87CE-8BB88599D72B}" sibTransId="{9FC25D58-1AFA-4027-9CAB-DE68697A6A24}"/>
    <dgm:cxn modelId="{28E93E8F-6D9F-4A89-8F5F-CA5A76DB180F}" srcId="{44742328-BD60-458B-BD16-5CC2353F5742}" destId="{6BF60729-72B3-43A7-B8D6-CFEB39FC44FA}" srcOrd="1" destOrd="0" parTransId="{C59E63BA-0646-4AFB-970A-F0E5C579BF30}" sibTransId="{B484D2D6-D81B-42F5-86E2-1EF8BCF2F5EC}"/>
    <dgm:cxn modelId="{2E5C5DA5-6387-49B2-BAF6-86B946A16C7A}" srcId="{17548448-476D-4B5A-A736-BA5C81479A66}" destId="{9843C33D-C17C-477E-9902-B2E7ED0881BF}" srcOrd="2" destOrd="0" parTransId="{18CA7F5E-FE9D-489A-A1E2-94063A21D770}" sibTransId="{15B0A7E0-18E6-4FE3-B476-ECD56DF5800F}"/>
    <dgm:cxn modelId="{BB1F62A9-5450-440A-8A1F-CF36C7A1C7BB}" type="presOf" srcId="{FFCF8C03-CCAE-46A1-9D43-D7963B5EE9E2}" destId="{052AC7DA-72F9-45FF-906E-B86CBE8CF44F}" srcOrd="0" destOrd="0" presId="urn:microsoft.com/office/officeart/2005/8/layout/target2"/>
    <dgm:cxn modelId="{A32BB7D9-05D1-4BAB-BB39-B7683EDB2687}" type="presOf" srcId="{6218B139-D8B4-4287-81F2-67D6C0D573DE}" destId="{4A963067-E500-4659-92B5-6D8C0FD7F456}" srcOrd="0" destOrd="0" presId="urn:microsoft.com/office/officeart/2005/8/layout/target2"/>
    <dgm:cxn modelId="{780874E5-36F3-4494-B377-320D9584A722}" type="presOf" srcId="{114BFF19-7677-4CE6-BC72-6996C481FD97}" destId="{9934A0FA-33C4-40A6-A343-D42BC2DBE214}" srcOrd="0" destOrd="0" presId="urn:microsoft.com/office/officeart/2005/8/layout/target2"/>
    <dgm:cxn modelId="{397AA7E5-6D4B-4521-B19E-8061B97121F0}" srcId="{114BFF19-7677-4CE6-BC72-6996C481FD97}" destId="{15978E61-46F7-4075-96AA-B2E054625820}" srcOrd="0" destOrd="0" parTransId="{C2017030-2D13-408F-8880-8FAFE33F6609}" sibTransId="{58837B6E-5EC8-49A6-B4A1-20F45770A291}"/>
    <dgm:cxn modelId="{124A30E9-3251-46A5-857B-6490EDB90813}" srcId="{17548448-476D-4B5A-A736-BA5C81479A66}" destId="{44742328-BD60-458B-BD16-5CC2353F5742}" srcOrd="1" destOrd="0" parTransId="{B014B4BC-8515-4788-93AC-0A05CA8CB55B}" sibTransId="{8B71B871-04BE-42AF-9CFF-1C21FBA47D75}"/>
    <dgm:cxn modelId="{93FA42EF-2A13-4E80-B7E3-99992DAA4EC1}" type="presOf" srcId="{17548448-476D-4B5A-A736-BA5C81479A66}" destId="{91A379AE-2803-4193-BE55-6C7F381AB6B1}" srcOrd="0" destOrd="0" presId="urn:microsoft.com/office/officeart/2005/8/layout/target2"/>
    <dgm:cxn modelId="{E3E9FF36-CB49-416D-89B8-EA973FE9344A}" type="presParOf" srcId="{91A379AE-2803-4193-BE55-6C7F381AB6B1}" destId="{0C5647B2-78A2-4337-B41C-679CF5E1A511}" srcOrd="0" destOrd="0" presId="urn:microsoft.com/office/officeart/2005/8/layout/target2"/>
    <dgm:cxn modelId="{053D9141-5120-4122-A25E-922D843BAE8F}" type="presParOf" srcId="{0C5647B2-78A2-4337-B41C-679CF5E1A511}" destId="{9934A0FA-33C4-40A6-A343-D42BC2DBE214}" srcOrd="0" destOrd="0" presId="urn:microsoft.com/office/officeart/2005/8/layout/target2"/>
    <dgm:cxn modelId="{3953210E-007D-4AC1-AC5A-FD432E394CBF}" type="presParOf" srcId="{0C5647B2-78A2-4337-B41C-679CF5E1A511}" destId="{E57BE00E-E051-4206-8827-FA84C95BE092}" srcOrd="1" destOrd="0" presId="urn:microsoft.com/office/officeart/2005/8/layout/target2"/>
    <dgm:cxn modelId="{2FD0CC5C-A752-467F-9275-7F00BC154BE8}" type="presParOf" srcId="{E57BE00E-E051-4206-8827-FA84C95BE092}" destId="{EC4B2A49-C84A-4433-AB81-50929C5130B9}" srcOrd="0" destOrd="0" presId="urn:microsoft.com/office/officeart/2005/8/layout/target2"/>
    <dgm:cxn modelId="{ACD7131F-07C8-4DF0-9352-E23D5D1912A4}" type="presParOf" srcId="{E57BE00E-E051-4206-8827-FA84C95BE092}" destId="{13A191A5-6D83-4F6F-8955-9C16B7C826E4}" srcOrd="1" destOrd="0" presId="urn:microsoft.com/office/officeart/2005/8/layout/target2"/>
    <dgm:cxn modelId="{4A561334-7739-4D78-BE3F-6515B2BF9EAD}" type="presParOf" srcId="{E57BE00E-E051-4206-8827-FA84C95BE092}" destId="{4A963067-E500-4659-92B5-6D8C0FD7F456}" srcOrd="2" destOrd="0" presId="urn:microsoft.com/office/officeart/2005/8/layout/target2"/>
    <dgm:cxn modelId="{B2A1CF3A-534D-49A9-A120-E8ACA977A75C}" type="presParOf" srcId="{91A379AE-2803-4193-BE55-6C7F381AB6B1}" destId="{DE1BE4FB-46EB-41F8-9EFD-175EBF896E41}" srcOrd="1" destOrd="0" presId="urn:microsoft.com/office/officeart/2005/8/layout/target2"/>
    <dgm:cxn modelId="{F7DB1BB4-880F-4EA0-AA42-FF7D0DAE9E14}" type="presParOf" srcId="{DE1BE4FB-46EB-41F8-9EFD-175EBF896E41}" destId="{F458F7AE-F67E-44F6-802D-FF234B10DAC3}" srcOrd="0" destOrd="0" presId="urn:microsoft.com/office/officeart/2005/8/layout/target2"/>
    <dgm:cxn modelId="{DD9AA6F8-F6F2-48BE-AEA4-64CAE2C4E843}" type="presParOf" srcId="{DE1BE4FB-46EB-41F8-9EFD-175EBF896E41}" destId="{9695D808-00CB-403F-85FC-57E60BF30400}" srcOrd="1" destOrd="0" presId="urn:microsoft.com/office/officeart/2005/8/layout/target2"/>
    <dgm:cxn modelId="{42AE7152-332F-4E9C-ABD5-5B3F99728CB4}" type="presParOf" srcId="{9695D808-00CB-403F-85FC-57E60BF30400}" destId="{FCD4888C-FC2B-4F99-97AD-2DAF058836FD}" srcOrd="0" destOrd="0" presId="urn:microsoft.com/office/officeart/2005/8/layout/target2"/>
    <dgm:cxn modelId="{5E0A1175-94A3-4613-BC47-BE972D7B5660}" type="presParOf" srcId="{9695D808-00CB-403F-85FC-57E60BF30400}" destId="{BA0223B4-B653-4B49-8F70-3FB6E508F131}" srcOrd="1" destOrd="0" presId="urn:microsoft.com/office/officeart/2005/8/layout/target2"/>
    <dgm:cxn modelId="{555936B1-4151-401B-952F-0A25CC95760A}" type="presParOf" srcId="{9695D808-00CB-403F-85FC-57E60BF30400}" destId="{D062EDF9-5035-45ED-91F4-4A21588B5804}" srcOrd="2" destOrd="0" presId="urn:microsoft.com/office/officeart/2005/8/layout/target2"/>
    <dgm:cxn modelId="{280333EB-B18A-4492-9894-FED4AA2A7634}" type="presParOf" srcId="{91A379AE-2803-4193-BE55-6C7F381AB6B1}" destId="{1E75805B-9D91-47E1-A805-C94A3C4CECAD}" srcOrd="2" destOrd="0" presId="urn:microsoft.com/office/officeart/2005/8/layout/target2"/>
    <dgm:cxn modelId="{3E551971-AE8D-44E2-9844-4421987EB617}" type="presParOf" srcId="{1E75805B-9D91-47E1-A805-C94A3C4CECAD}" destId="{A6C8733D-D6E1-45CC-A4BE-EC7D4B90E8BB}" srcOrd="0" destOrd="0" presId="urn:microsoft.com/office/officeart/2005/8/layout/target2"/>
    <dgm:cxn modelId="{66814258-901F-4DC6-B919-6864E374CCA6}" type="presParOf" srcId="{1E75805B-9D91-47E1-A805-C94A3C4CECAD}" destId="{9D2672D8-B155-48F3-98A0-FCBBB939E641}" srcOrd="1" destOrd="0" presId="urn:microsoft.com/office/officeart/2005/8/layout/target2"/>
    <dgm:cxn modelId="{F7B52D03-9969-4AE1-AE03-4C744B2458ED}" type="presParOf" srcId="{9D2672D8-B155-48F3-98A0-FCBBB939E641}" destId="{35119849-402D-4732-9E36-73BFA5F66A63}" srcOrd="0" destOrd="0" presId="urn:microsoft.com/office/officeart/2005/8/layout/target2"/>
    <dgm:cxn modelId="{8A39F7B7-6ADF-4807-996B-4CA30D5EDE29}" type="presParOf" srcId="{9D2672D8-B155-48F3-98A0-FCBBB939E641}" destId="{70C36D9A-99FB-4869-8404-2425C4BEA551}" srcOrd="1" destOrd="0" presId="urn:microsoft.com/office/officeart/2005/8/layout/target2"/>
    <dgm:cxn modelId="{CC82D940-9E3C-4C16-ACB5-C12350C209B7}" type="presParOf" srcId="{9D2672D8-B155-48F3-98A0-FCBBB939E641}" destId="{052AC7DA-72F9-45FF-906E-B86CBE8CF44F}" srcOrd="2" destOrd="0" presId="urn:microsoft.com/office/officeart/2005/8/layout/target2"/>
  </dgm:cxnLst>
  <dgm:bg/>
  <dgm:whole/>
  <dgm:extLst>
    <a:ext uri="http://schemas.microsoft.com/office/drawing/2008/diagram">
      <dsp:dataModelExt xmlns:dsp="http://schemas.microsoft.com/office/drawing/2008/diagram" relId="rId18"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63435747-6D19-458B-AE50-B8CE38B9C308}">
      <dsp:nvSpPr>
        <dsp:cNvPr id="0" name=""/>
        <dsp:cNvSpPr/>
      </dsp:nvSpPr>
      <dsp:spPr>
        <a:xfrm>
          <a:off x="2662588" y="1637385"/>
          <a:ext cx="1189512" cy="770534"/>
        </a:xfrm>
        <a:prstGeom prst="roundRect">
          <a:avLst>
            <a:gd name="adj" fmla="val 10000"/>
          </a:avLst>
        </a:prstGeom>
        <a:solidFill>
          <a:schemeClr val="lt1">
            <a:alpha val="90000"/>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60960" tIns="60960" rIns="60960" bIns="60960" numCol="1" spcCol="1270" anchor="t" anchorCtr="0">
          <a:noAutofit/>
        </a:bodyPr>
        <a:lstStyle/>
        <a:p>
          <a:pPr marL="114300" lvl="1" indent="-114300" algn="l" defTabSz="533400">
            <a:lnSpc>
              <a:spcPct val="90000"/>
            </a:lnSpc>
            <a:spcBef>
              <a:spcPct val="0"/>
            </a:spcBef>
            <a:spcAft>
              <a:spcPct val="15000"/>
            </a:spcAft>
            <a:buChar char="•"/>
          </a:pPr>
          <a:r>
            <a:rPr lang="en-GB" sz="1200" kern="1200"/>
            <a:t>NT</a:t>
          </a:r>
        </a:p>
      </dsp:txBody>
      <dsp:txXfrm>
        <a:off x="3036367" y="1846945"/>
        <a:ext cx="798806" cy="544048"/>
      </dsp:txXfrm>
    </dsp:sp>
    <dsp:sp modelId="{A8462995-7350-48F3-B9E4-A910D76ECDC6}">
      <dsp:nvSpPr>
        <dsp:cNvPr id="0" name=""/>
        <dsp:cNvSpPr/>
      </dsp:nvSpPr>
      <dsp:spPr>
        <a:xfrm>
          <a:off x="721804" y="1637385"/>
          <a:ext cx="1189512" cy="770534"/>
        </a:xfrm>
        <a:prstGeom prst="roundRect">
          <a:avLst>
            <a:gd name="adj" fmla="val 10000"/>
          </a:avLst>
        </a:prstGeom>
        <a:solidFill>
          <a:schemeClr val="lt1">
            <a:alpha val="90000"/>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60960" tIns="60960" rIns="60960" bIns="60960" numCol="1" spcCol="1270" anchor="t" anchorCtr="0">
          <a:noAutofit/>
        </a:bodyPr>
        <a:lstStyle/>
        <a:p>
          <a:pPr marL="114300" lvl="1" indent="-114300" algn="l" defTabSz="533400">
            <a:lnSpc>
              <a:spcPct val="90000"/>
            </a:lnSpc>
            <a:spcBef>
              <a:spcPct val="0"/>
            </a:spcBef>
            <a:spcAft>
              <a:spcPct val="15000"/>
            </a:spcAft>
            <a:buChar char="•"/>
          </a:pPr>
          <a:endParaRPr lang="en-GB" sz="1200" kern="1200"/>
        </a:p>
      </dsp:txBody>
      <dsp:txXfrm>
        <a:off x="738730" y="1846945"/>
        <a:ext cx="798806" cy="544048"/>
      </dsp:txXfrm>
    </dsp:sp>
    <dsp:sp modelId="{72F05B5E-5171-45C6-9C77-EADBE347D9DD}">
      <dsp:nvSpPr>
        <dsp:cNvPr id="0" name=""/>
        <dsp:cNvSpPr/>
      </dsp:nvSpPr>
      <dsp:spPr>
        <a:xfrm>
          <a:off x="2662588" y="0"/>
          <a:ext cx="1189512" cy="770534"/>
        </a:xfrm>
        <a:prstGeom prst="roundRect">
          <a:avLst>
            <a:gd name="adj" fmla="val 10000"/>
          </a:avLst>
        </a:prstGeom>
        <a:solidFill>
          <a:schemeClr val="lt1">
            <a:alpha val="90000"/>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60960" tIns="60960" rIns="60960" bIns="60960" numCol="1" spcCol="1270" anchor="t" anchorCtr="0">
          <a:noAutofit/>
        </a:bodyPr>
        <a:lstStyle/>
        <a:p>
          <a:pPr marL="114300" lvl="1" indent="-114300" algn="l" defTabSz="533400">
            <a:lnSpc>
              <a:spcPct val="90000"/>
            </a:lnSpc>
            <a:spcBef>
              <a:spcPct val="0"/>
            </a:spcBef>
            <a:spcAft>
              <a:spcPct val="15000"/>
            </a:spcAft>
            <a:buChar char="•"/>
          </a:pPr>
          <a:r>
            <a:rPr lang="en-GB" sz="1200" kern="1200"/>
            <a:t>FreeBSD</a:t>
          </a:r>
        </a:p>
        <a:p>
          <a:pPr marL="114300" lvl="1" indent="-114300" algn="l" defTabSz="533400">
            <a:lnSpc>
              <a:spcPct val="90000"/>
            </a:lnSpc>
            <a:spcBef>
              <a:spcPct val="0"/>
            </a:spcBef>
            <a:spcAft>
              <a:spcPct val="15000"/>
            </a:spcAft>
            <a:buChar char="•"/>
          </a:pPr>
          <a:r>
            <a:rPr lang="en-GB" sz="1200" kern="1200"/>
            <a:t>NetBSD</a:t>
          </a:r>
        </a:p>
      </dsp:txBody>
      <dsp:txXfrm>
        <a:off x="3036367" y="16926"/>
        <a:ext cx="798806" cy="544048"/>
      </dsp:txXfrm>
    </dsp:sp>
    <dsp:sp modelId="{F74F0DD7-FF7C-42F7-A285-680240CEDCB4}">
      <dsp:nvSpPr>
        <dsp:cNvPr id="0" name=""/>
        <dsp:cNvSpPr/>
      </dsp:nvSpPr>
      <dsp:spPr>
        <a:xfrm>
          <a:off x="721804" y="0"/>
          <a:ext cx="1189512" cy="770534"/>
        </a:xfrm>
        <a:prstGeom prst="roundRect">
          <a:avLst>
            <a:gd name="adj" fmla="val 10000"/>
          </a:avLst>
        </a:prstGeom>
        <a:solidFill>
          <a:schemeClr val="lt1">
            <a:alpha val="90000"/>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60960" tIns="60960" rIns="60960" bIns="60960" numCol="1" spcCol="1270" anchor="t" anchorCtr="0">
          <a:noAutofit/>
        </a:bodyPr>
        <a:lstStyle/>
        <a:p>
          <a:pPr marL="114300" lvl="1" indent="-114300" algn="l" defTabSz="533400">
            <a:lnSpc>
              <a:spcPct val="90000"/>
            </a:lnSpc>
            <a:spcBef>
              <a:spcPct val="0"/>
            </a:spcBef>
            <a:spcAft>
              <a:spcPct val="15000"/>
            </a:spcAft>
            <a:buChar char="•"/>
          </a:pPr>
          <a:r>
            <a:rPr lang="en-GB" sz="1200" kern="1200"/>
            <a:t>Ubuntu</a:t>
          </a:r>
        </a:p>
        <a:p>
          <a:pPr marL="114300" lvl="1" indent="-114300" algn="l" defTabSz="533400">
            <a:lnSpc>
              <a:spcPct val="90000"/>
            </a:lnSpc>
            <a:spcBef>
              <a:spcPct val="0"/>
            </a:spcBef>
            <a:spcAft>
              <a:spcPct val="15000"/>
            </a:spcAft>
            <a:buChar char="•"/>
          </a:pPr>
          <a:r>
            <a:rPr lang="en-GB" sz="1200" kern="1200"/>
            <a:t>SUSE</a:t>
          </a:r>
        </a:p>
      </dsp:txBody>
      <dsp:txXfrm>
        <a:off x="738730" y="16926"/>
        <a:ext cx="798806" cy="544048"/>
      </dsp:txXfrm>
    </dsp:sp>
    <dsp:sp modelId="{B987A4B2-2B69-42FD-9D12-8F38C435192B}">
      <dsp:nvSpPr>
        <dsp:cNvPr id="0" name=""/>
        <dsp:cNvSpPr/>
      </dsp:nvSpPr>
      <dsp:spPr>
        <a:xfrm>
          <a:off x="1220243" y="137251"/>
          <a:ext cx="1042629" cy="1042629"/>
        </a:xfrm>
        <a:prstGeom prst="pieWedge">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5344" tIns="85344" rIns="85344" bIns="85344" numCol="1" spcCol="1270" anchor="ctr" anchorCtr="0">
          <a:noAutofit/>
        </a:bodyPr>
        <a:lstStyle/>
        <a:p>
          <a:pPr marL="0" lvl="0" indent="0" algn="ctr" defTabSz="533400">
            <a:lnSpc>
              <a:spcPct val="90000"/>
            </a:lnSpc>
            <a:spcBef>
              <a:spcPct val="0"/>
            </a:spcBef>
            <a:spcAft>
              <a:spcPct val="35000"/>
            </a:spcAft>
            <a:buNone/>
          </a:pPr>
          <a:r>
            <a:rPr lang="en-GB" sz="1200" kern="1200"/>
            <a:t>Linux</a:t>
          </a:r>
        </a:p>
      </dsp:txBody>
      <dsp:txXfrm>
        <a:off x="1525622" y="442630"/>
        <a:ext cx="737250" cy="737250"/>
      </dsp:txXfrm>
    </dsp:sp>
    <dsp:sp modelId="{7D7884EC-3D9C-4D3E-A786-32A8764BEBFD}">
      <dsp:nvSpPr>
        <dsp:cNvPr id="0" name=""/>
        <dsp:cNvSpPr/>
      </dsp:nvSpPr>
      <dsp:spPr>
        <a:xfrm rot="5400000">
          <a:off x="2311031" y="137251"/>
          <a:ext cx="1042629" cy="1042629"/>
        </a:xfrm>
        <a:prstGeom prst="pieWedge">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5344" tIns="85344" rIns="85344" bIns="85344" numCol="1" spcCol="1270" anchor="ctr" anchorCtr="0">
          <a:noAutofit/>
        </a:bodyPr>
        <a:lstStyle/>
        <a:p>
          <a:pPr marL="0" lvl="0" indent="0" algn="ctr" defTabSz="533400">
            <a:lnSpc>
              <a:spcPct val="90000"/>
            </a:lnSpc>
            <a:spcBef>
              <a:spcPct val="0"/>
            </a:spcBef>
            <a:spcAft>
              <a:spcPct val="35000"/>
            </a:spcAft>
            <a:buNone/>
          </a:pPr>
          <a:r>
            <a:rPr lang="en-GB" sz="1200" kern="1200"/>
            <a:t>BSD</a:t>
          </a:r>
        </a:p>
      </dsp:txBody>
      <dsp:txXfrm rot="-5400000">
        <a:off x="2311031" y="442630"/>
        <a:ext cx="737250" cy="737250"/>
      </dsp:txXfrm>
    </dsp:sp>
    <dsp:sp modelId="{ED5AC25C-EDAA-4514-884E-F89AE0CF16A9}">
      <dsp:nvSpPr>
        <dsp:cNvPr id="0" name=""/>
        <dsp:cNvSpPr/>
      </dsp:nvSpPr>
      <dsp:spPr>
        <a:xfrm rot="10800000">
          <a:off x="2311031" y="1228039"/>
          <a:ext cx="1042629" cy="1042629"/>
        </a:xfrm>
        <a:prstGeom prst="pieWedge">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5344" tIns="85344" rIns="85344" bIns="85344" numCol="1" spcCol="1270" anchor="ctr" anchorCtr="0">
          <a:noAutofit/>
        </a:bodyPr>
        <a:lstStyle/>
        <a:p>
          <a:pPr marL="0" lvl="0" indent="0" algn="ctr" defTabSz="533400">
            <a:lnSpc>
              <a:spcPct val="90000"/>
            </a:lnSpc>
            <a:spcBef>
              <a:spcPct val="0"/>
            </a:spcBef>
            <a:spcAft>
              <a:spcPct val="35000"/>
            </a:spcAft>
            <a:buNone/>
          </a:pPr>
          <a:r>
            <a:rPr lang="en-GB" sz="1200" kern="1200"/>
            <a:t>Windows</a:t>
          </a:r>
        </a:p>
      </dsp:txBody>
      <dsp:txXfrm rot="10800000">
        <a:off x="2311031" y="1228039"/>
        <a:ext cx="737250" cy="737250"/>
      </dsp:txXfrm>
    </dsp:sp>
    <dsp:sp modelId="{3531E87C-6284-4C58-82C3-CB7F8E02C3EE}">
      <dsp:nvSpPr>
        <dsp:cNvPr id="0" name=""/>
        <dsp:cNvSpPr/>
      </dsp:nvSpPr>
      <dsp:spPr>
        <a:xfrm rot="16200000">
          <a:off x="1220243" y="1228039"/>
          <a:ext cx="1042629" cy="1042629"/>
        </a:xfrm>
        <a:prstGeom prst="pieWedge">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5344" tIns="85344" rIns="85344" bIns="85344" numCol="1" spcCol="1270" anchor="ctr" anchorCtr="0">
          <a:noAutofit/>
        </a:bodyPr>
        <a:lstStyle/>
        <a:p>
          <a:pPr marL="0" lvl="0" indent="0" algn="ctr" defTabSz="533400">
            <a:lnSpc>
              <a:spcPct val="90000"/>
            </a:lnSpc>
            <a:spcBef>
              <a:spcPct val="0"/>
            </a:spcBef>
            <a:spcAft>
              <a:spcPct val="35000"/>
            </a:spcAft>
            <a:buNone/>
          </a:pPr>
          <a:r>
            <a:rPr lang="en-GB" sz="1200" kern="1200"/>
            <a:t>MacOS</a:t>
          </a:r>
        </a:p>
      </dsp:txBody>
      <dsp:txXfrm rot="5400000">
        <a:off x="1525622" y="1228039"/>
        <a:ext cx="737250" cy="737250"/>
      </dsp:txXfrm>
    </dsp:sp>
    <dsp:sp modelId="{C18F30FF-9FC7-4AF5-9196-7207DA332DF3}">
      <dsp:nvSpPr>
        <dsp:cNvPr id="0" name=""/>
        <dsp:cNvSpPr/>
      </dsp:nvSpPr>
      <dsp:spPr>
        <a:xfrm>
          <a:off x="2106960" y="987247"/>
          <a:ext cx="359984" cy="313029"/>
        </a:xfrm>
        <a:prstGeom prst="circularArrow">
          <a:avLst/>
        </a:prstGeom>
        <a:solidFill>
          <a:schemeClr val="accent1">
            <a:tint val="60000"/>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 modelId="{439C0517-4EB0-475E-8788-21698BEFD867}">
      <dsp:nvSpPr>
        <dsp:cNvPr id="0" name=""/>
        <dsp:cNvSpPr/>
      </dsp:nvSpPr>
      <dsp:spPr>
        <a:xfrm rot="10800000">
          <a:off x="2106960" y="1107643"/>
          <a:ext cx="359984" cy="313029"/>
        </a:xfrm>
        <a:prstGeom prst="circularArrow">
          <a:avLst/>
        </a:prstGeom>
        <a:solidFill>
          <a:schemeClr val="accent1">
            <a:tint val="60000"/>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109D015-8F52-4CF7-87F0-86937E9B654A}">
      <dsp:nvSpPr>
        <dsp:cNvPr id="0" name=""/>
        <dsp:cNvSpPr/>
      </dsp:nvSpPr>
      <dsp:spPr>
        <a:xfrm>
          <a:off x="3668843" y="912840"/>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3D127B67-9CC8-4120-B0C0-A5AD08A57FD0}">
      <dsp:nvSpPr>
        <dsp:cNvPr id="0" name=""/>
        <dsp:cNvSpPr/>
      </dsp:nvSpPr>
      <dsp:spPr>
        <a:xfrm>
          <a:off x="3484265" y="912840"/>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35E3FE5D-285B-4F3F-8C87-6FB5866711CB}">
      <dsp:nvSpPr>
        <dsp:cNvPr id="0" name=""/>
        <dsp:cNvSpPr/>
      </dsp:nvSpPr>
      <dsp:spPr>
        <a:xfrm>
          <a:off x="3299687" y="912840"/>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CDAE9A8E-4A0B-4C71-9EAF-8729AA048F00}">
      <dsp:nvSpPr>
        <dsp:cNvPr id="0" name=""/>
        <dsp:cNvSpPr/>
      </dsp:nvSpPr>
      <dsp:spPr>
        <a:xfrm>
          <a:off x="3115461" y="912840"/>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845DAE2E-794E-407B-86A6-633D7744FCB8}">
      <dsp:nvSpPr>
        <dsp:cNvPr id="0" name=""/>
        <dsp:cNvSpPr/>
      </dsp:nvSpPr>
      <dsp:spPr>
        <a:xfrm>
          <a:off x="2930883" y="912840"/>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3184909F-7FEE-4FA4-A0BE-B8B7F9D5316E}">
      <dsp:nvSpPr>
        <dsp:cNvPr id="0" name=""/>
        <dsp:cNvSpPr/>
      </dsp:nvSpPr>
      <dsp:spPr>
        <a:xfrm>
          <a:off x="2645595" y="862486"/>
          <a:ext cx="201421" cy="201583"/>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1D897666-41FB-4A91-BB59-9CBF82A4AD2E}">
      <dsp:nvSpPr>
        <dsp:cNvPr id="0" name=""/>
        <dsp:cNvSpPr/>
      </dsp:nvSpPr>
      <dsp:spPr>
        <a:xfrm>
          <a:off x="3504618" y="704797"/>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BA99D47B-39A6-4DBD-ACDC-1C6AA99282E5}">
      <dsp:nvSpPr>
        <dsp:cNvPr id="0" name=""/>
        <dsp:cNvSpPr/>
      </dsp:nvSpPr>
      <dsp:spPr>
        <a:xfrm>
          <a:off x="3504618" y="1122375"/>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D5CE7310-5B54-4D57-AEEF-8A95B0E5E3CD}">
      <dsp:nvSpPr>
        <dsp:cNvPr id="0" name=""/>
        <dsp:cNvSpPr/>
      </dsp:nvSpPr>
      <dsp:spPr>
        <a:xfrm>
          <a:off x="3594450" y="795236"/>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05E5F483-2A32-47CD-A962-1A0B5C08F8A6}">
      <dsp:nvSpPr>
        <dsp:cNvPr id="0" name=""/>
        <dsp:cNvSpPr/>
      </dsp:nvSpPr>
      <dsp:spPr>
        <a:xfrm>
          <a:off x="3600415" y="1032432"/>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FBE1D256-7DDE-4521-836E-7A7C4C36E870}">
      <dsp:nvSpPr>
        <dsp:cNvPr id="0" name=""/>
        <dsp:cNvSpPr/>
      </dsp:nvSpPr>
      <dsp:spPr>
        <a:xfrm>
          <a:off x="1564275" y="438731"/>
          <a:ext cx="1019738" cy="1019844"/>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30480" tIns="30480" rIns="30480" bIns="30480" numCol="1" spcCol="1270" anchor="ctr" anchorCtr="0">
          <a:noAutofit/>
        </a:bodyPr>
        <a:lstStyle/>
        <a:p>
          <a:pPr marL="0" lvl="0" indent="0" algn="ctr" defTabSz="1066800">
            <a:lnSpc>
              <a:spcPct val="90000"/>
            </a:lnSpc>
            <a:spcBef>
              <a:spcPct val="0"/>
            </a:spcBef>
            <a:spcAft>
              <a:spcPct val="35000"/>
            </a:spcAft>
            <a:buNone/>
          </a:pPr>
          <a:endParaRPr lang="en-GB" sz="2400" kern="1200"/>
        </a:p>
      </dsp:txBody>
      <dsp:txXfrm>
        <a:off x="1713612" y="588084"/>
        <a:ext cx="721064" cy="721138"/>
      </dsp:txXfrm>
    </dsp:sp>
    <dsp:sp modelId="{ACEAD0C8-4079-420C-8ABD-E64968BC24F0}">
      <dsp:nvSpPr>
        <dsp:cNvPr id="0" name=""/>
        <dsp:cNvSpPr/>
      </dsp:nvSpPr>
      <dsp:spPr>
        <a:xfrm>
          <a:off x="1466194" y="366229"/>
          <a:ext cx="201421" cy="201583"/>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7C3F9AD9-E8EB-4B83-B3BE-E0DA0D7BFE56}">
      <dsp:nvSpPr>
        <dsp:cNvPr id="0" name=""/>
        <dsp:cNvSpPr/>
      </dsp:nvSpPr>
      <dsp:spPr>
        <a:xfrm>
          <a:off x="1337059" y="259888"/>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DE8537F1-32B3-4F7D-AF23-13489E9D427C}">
      <dsp:nvSpPr>
        <dsp:cNvPr id="0" name=""/>
        <dsp:cNvSpPr/>
      </dsp:nvSpPr>
      <dsp:spPr>
        <a:xfrm>
          <a:off x="1121953" y="259888"/>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28153D10-8335-447E-8B1B-AE1A6D364AEA}">
      <dsp:nvSpPr>
        <dsp:cNvPr id="0" name=""/>
        <dsp:cNvSpPr/>
      </dsp:nvSpPr>
      <dsp:spPr>
        <a:xfrm>
          <a:off x="906846" y="259888"/>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C5753342-DC17-4E16-B313-AEAE8025DE15}">
      <dsp:nvSpPr>
        <dsp:cNvPr id="0" name=""/>
        <dsp:cNvSpPr/>
      </dsp:nvSpPr>
      <dsp:spPr>
        <a:xfrm>
          <a:off x="691740" y="259888"/>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CCAA8673-6E81-4619-9E90-67903F5DBD02}">
      <dsp:nvSpPr>
        <dsp:cNvPr id="0" name=""/>
        <dsp:cNvSpPr/>
      </dsp:nvSpPr>
      <dsp:spPr>
        <a:xfrm>
          <a:off x="476282" y="259888"/>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9E55E0BB-60DF-46A4-8740-F2F11B345B4C}">
      <dsp:nvSpPr>
        <dsp:cNvPr id="0" name=""/>
        <dsp:cNvSpPr/>
      </dsp:nvSpPr>
      <dsp:spPr>
        <a:xfrm>
          <a:off x="261176" y="259888"/>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17B2BD0F-3555-4513-8720-1F188C58D091}">
      <dsp:nvSpPr>
        <dsp:cNvPr id="0" name=""/>
        <dsp:cNvSpPr/>
      </dsp:nvSpPr>
      <dsp:spPr>
        <a:xfrm>
          <a:off x="260474" y="0"/>
          <a:ext cx="1180454" cy="259060"/>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0" tIns="0" rIns="0" bIns="0" numCol="1" spcCol="1270" anchor="b" anchorCtr="0">
          <a:noAutofit/>
        </a:bodyPr>
        <a:lstStyle/>
        <a:p>
          <a:pPr marL="0" lvl="0" indent="0" algn="l" defTabSz="800100">
            <a:lnSpc>
              <a:spcPct val="90000"/>
            </a:lnSpc>
            <a:spcBef>
              <a:spcPct val="0"/>
            </a:spcBef>
            <a:spcAft>
              <a:spcPct val="35000"/>
            </a:spcAft>
            <a:buNone/>
          </a:pPr>
          <a:endParaRPr lang="en-GB" sz="1800" kern="1200"/>
        </a:p>
      </dsp:txBody>
      <dsp:txXfrm>
        <a:off x="260474" y="0"/>
        <a:ext cx="1180454" cy="259060"/>
      </dsp:txXfrm>
    </dsp:sp>
    <dsp:sp modelId="{F918D41B-1406-44EE-9DC7-FD65A14AFFFD}">
      <dsp:nvSpPr>
        <dsp:cNvPr id="0" name=""/>
        <dsp:cNvSpPr/>
      </dsp:nvSpPr>
      <dsp:spPr>
        <a:xfrm>
          <a:off x="1257052" y="862486"/>
          <a:ext cx="201421" cy="201583"/>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0183AFED-DFF6-4CD1-A675-DA5DB57182D6}">
      <dsp:nvSpPr>
        <dsp:cNvPr id="0" name=""/>
        <dsp:cNvSpPr/>
      </dsp:nvSpPr>
      <dsp:spPr>
        <a:xfrm>
          <a:off x="1057737" y="912840"/>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FBAFEADD-42E9-4569-962B-E7A2D5739333}">
      <dsp:nvSpPr>
        <dsp:cNvPr id="0" name=""/>
        <dsp:cNvSpPr/>
      </dsp:nvSpPr>
      <dsp:spPr>
        <a:xfrm>
          <a:off x="858772" y="912840"/>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A76A3BED-5642-476E-BE69-83BD758CCDAA}">
      <dsp:nvSpPr>
        <dsp:cNvPr id="0" name=""/>
        <dsp:cNvSpPr/>
      </dsp:nvSpPr>
      <dsp:spPr>
        <a:xfrm>
          <a:off x="659456" y="912840"/>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29240832-00FB-498B-BEA1-2CC4B16FD4FB}">
      <dsp:nvSpPr>
        <dsp:cNvPr id="0" name=""/>
        <dsp:cNvSpPr/>
      </dsp:nvSpPr>
      <dsp:spPr>
        <a:xfrm>
          <a:off x="460491" y="912840"/>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ED312E71-C885-41E3-A2D0-84523AF2073E}">
      <dsp:nvSpPr>
        <dsp:cNvPr id="0" name=""/>
        <dsp:cNvSpPr/>
      </dsp:nvSpPr>
      <dsp:spPr>
        <a:xfrm>
          <a:off x="261176" y="912840"/>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8C236ABC-AD05-4845-904C-C5B8B7AC0791}">
      <dsp:nvSpPr>
        <dsp:cNvPr id="0" name=""/>
        <dsp:cNvSpPr/>
      </dsp:nvSpPr>
      <dsp:spPr>
        <a:xfrm>
          <a:off x="260474" y="655105"/>
          <a:ext cx="892709" cy="259060"/>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0" tIns="0" rIns="0" bIns="0" numCol="1" spcCol="1270" anchor="b" anchorCtr="0">
          <a:noAutofit/>
        </a:bodyPr>
        <a:lstStyle/>
        <a:p>
          <a:pPr marL="0" lvl="0" indent="0" algn="l" defTabSz="800100">
            <a:lnSpc>
              <a:spcPct val="90000"/>
            </a:lnSpc>
            <a:spcBef>
              <a:spcPct val="0"/>
            </a:spcBef>
            <a:spcAft>
              <a:spcPct val="35000"/>
            </a:spcAft>
            <a:buNone/>
          </a:pPr>
          <a:endParaRPr lang="en-GB" sz="1800" kern="1200"/>
        </a:p>
      </dsp:txBody>
      <dsp:txXfrm>
        <a:off x="260474" y="655105"/>
        <a:ext cx="892709" cy="259060"/>
      </dsp:txXfrm>
    </dsp:sp>
    <dsp:sp modelId="{A1E629A4-01DE-4FF2-991B-BDD4861D93F4}">
      <dsp:nvSpPr>
        <dsp:cNvPr id="0" name=""/>
        <dsp:cNvSpPr/>
      </dsp:nvSpPr>
      <dsp:spPr>
        <a:xfrm>
          <a:off x="1466194" y="1350461"/>
          <a:ext cx="201421" cy="201583"/>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CAC32224-F041-4222-910C-1AC22C43C498}">
      <dsp:nvSpPr>
        <dsp:cNvPr id="0" name=""/>
        <dsp:cNvSpPr/>
      </dsp:nvSpPr>
      <dsp:spPr>
        <a:xfrm>
          <a:off x="1337059" y="1555689"/>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4BD0F437-3660-4486-BAD2-906F37645360}">
      <dsp:nvSpPr>
        <dsp:cNvPr id="0" name=""/>
        <dsp:cNvSpPr/>
      </dsp:nvSpPr>
      <dsp:spPr>
        <a:xfrm>
          <a:off x="1121953" y="1555689"/>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0CE11FCA-8E77-4DD4-B0BA-8B2B3C608BA6}">
      <dsp:nvSpPr>
        <dsp:cNvPr id="0" name=""/>
        <dsp:cNvSpPr/>
      </dsp:nvSpPr>
      <dsp:spPr>
        <a:xfrm>
          <a:off x="906846" y="1555689"/>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8AB45F0F-021B-4822-86B8-99A488FEF502}">
      <dsp:nvSpPr>
        <dsp:cNvPr id="0" name=""/>
        <dsp:cNvSpPr/>
      </dsp:nvSpPr>
      <dsp:spPr>
        <a:xfrm>
          <a:off x="691740" y="1555689"/>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0A81B4DE-6857-4817-B3D3-944C3F8E85D7}">
      <dsp:nvSpPr>
        <dsp:cNvPr id="0" name=""/>
        <dsp:cNvSpPr/>
      </dsp:nvSpPr>
      <dsp:spPr>
        <a:xfrm>
          <a:off x="476282" y="1555689"/>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8D2C79BD-FC11-471C-B702-D2B614D1771A}">
      <dsp:nvSpPr>
        <dsp:cNvPr id="0" name=""/>
        <dsp:cNvSpPr/>
      </dsp:nvSpPr>
      <dsp:spPr>
        <a:xfrm>
          <a:off x="261176" y="1555689"/>
          <a:ext cx="100710" cy="100708"/>
        </a:xfrm>
        <a:prstGeom prst="ellipse">
          <a:avLst/>
        </a:prstGeom>
        <a:solidFill>
          <a:schemeClr val="accent1">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B42FC542-37A9-45A3-A6A1-8B3E793914F1}">
      <dsp:nvSpPr>
        <dsp:cNvPr id="0" name=""/>
        <dsp:cNvSpPr/>
      </dsp:nvSpPr>
      <dsp:spPr>
        <a:xfrm>
          <a:off x="260474" y="1295634"/>
          <a:ext cx="1180454" cy="259060"/>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0" tIns="0" rIns="0" bIns="0" numCol="1" spcCol="1270" anchor="b" anchorCtr="0">
          <a:noAutofit/>
        </a:bodyPr>
        <a:lstStyle/>
        <a:p>
          <a:pPr marL="0" lvl="0" indent="0" algn="l" defTabSz="800100">
            <a:lnSpc>
              <a:spcPct val="90000"/>
            </a:lnSpc>
            <a:spcBef>
              <a:spcPct val="0"/>
            </a:spcBef>
            <a:spcAft>
              <a:spcPct val="35000"/>
            </a:spcAft>
            <a:buNone/>
          </a:pPr>
          <a:endParaRPr lang="en-GB" sz="1800" kern="1200"/>
        </a:p>
      </dsp:txBody>
      <dsp:txXfrm>
        <a:off x="260474" y="1295634"/>
        <a:ext cx="1180454" cy="259060"/>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9934A0FA-33C4-40A6-A343-D42BC2DBE214}">
      <dsp:nvSpPr>
        <dsp:cNvPr id="0" name=""/>
        <dsp:cNvSpPr/>
      </dsp:nvSpPr>
      <dsp:spPr>
        <a:xfrm>
          <a:off x="0" y="0"/>
          <a:ext cx="4357688" cy="1951673"/>
        </a:xfrm>
        <a:prstGeom prst="roundRect">
          <a:avLst>
            <a:gd name="adj" fmla="val 85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2390" tIns="72390" rIns="72390" bIns="1514715" numCol="1" spcCol="1270" anchor="t" anchorCtr="0">
          <a:noAutofit/>
        </a:bodyPr>
        <a:lstStyle/>
        <a:p>
          <a:pPr marL="0" lvl="0" indent="0" algn="l" defTabSz="844550">
            <a:lnSpc>
              <a:spcPct val="90000"/>
            </a:lnSpc>
            <a:spcBef>
              <a:spcPct val="0"/>
            </a:spcBef>
            <a:spcAft>
              <a:spcPct val="35000"/>
            </a:spcAft>
            <a:buNone/>
          </a:pPr>
          <a:endParaRPr lang="en-GB" sz="1900" kern="1200"/>
        </a:p>
      </dsp:txBody>
      <dsp:txXfrm>
        <a:off x="48588" y="48588"/>
        <a:ext cx="4260512" cy="1854497"/>
      </dsp:txXfrm>
    </dsp:sp>
    <dsp:sp modelId="{EC4B2A49-C84A-4433-AB81-50929C5130B9}">
      <dsp:nvSpPr>
        <dsp:cNvPr id="0" name=""/>
        <dsp:cNvSpPr/>
      </dsp:nvSpPr>
      <dsp:spPr>
        <a:xfrm>
          <a:off x="108942" y="487918"/>
          <a:ext cx="653653" cy="667075"/>
        </a:xfrm>
        <a:prstGeom prst="roundRect">
          <a:avLst>
            <a:gd name="adj" fmla="val 10500"/>
          </a:avLst>
        </a:prstGeom>
        <a:solidFill>
          <a:schemeClr val="lt1">
            <a:alpha val="90000"/>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68580" tIns="68580" rIns="68580" bIns="68580" numCol="1" spcCol="1270" anchor="ctr" anchorCtr="0">
          <a:noAutofit/>
        </a:bodyPr>
        <a:lstStyle/>
        <a:p>
          <a:pPr marL="0" lvl="0" indent="0" algn="ctr" defTabSz="800100">
            <a:lnSpc>
              <a:spcPct val="90000"/>
            </a:lnSpc>
            <a:spcBef>
              <a:spcPct val="0"/>
            </a:spcBef>
            <a:spcAft>
              <a:spcPct val="35000"/>
            </a:spcAft>
            <a:buNone/>
          </a:pPr>
          <a:endParaRPr lang="en-GB" sz="1800" kern="1200"/>
        </a:p>
      </dsp:txBody>
      <dsp:txXfrm>
        <a:off x="129044" y="508020"/>
        <a:ext cx="613449" cy="626871"/>
      </dsp:txXfrm>
    </dsp:sp>
    <dsp:sp modelId="{4A963067-E500-4659-92B5-6D8C0FD7F456}">
      <dsp:nvSpPr>
        <dsp:cNvPr id="0" name=""/>
        <dsp:cNvSpPr/>
      </dsp:nvSpPr>
      <dsp:spPr>
        <a:xfrm>
          <a:off x="108942" y="1186910"/>
          <a:ext cx="653653" cy="667075"/>
        </a:xfrm>
        <a:prstGeom prst="roundRect">
          <a:avLst>
            <a:gd name="adj" fmla="val 10500"/>
          </a:avLst>
        </a:prstGeom>
        <a:solidFill>
          <a:schemeClr val="lt1">
            <a:alpha val="90000"/>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68580" tIns="68580" rIns="68580" bIns="68580" numCol="1" spcCol="1270" anchor="ctr" anchorCtr="0">
          <a:noAutofit/>
        </a:bodyPr>
        <a:lstStyle/>
        <a:p>
          <a:pPr marL="0" lvl="0" indent="0" algn="ctr" defTabSz="800100">
            <a:lnSpc>
              <a:spcPct val="90000"/>
            </a:lnSpc>
            <a:spcBef>
              <a:spcPct val="0"/>
            </a:spcBef>
            <a:spcAft>
              <a:spcPct val="35000"/>
            </a:spcAft>
            <a:buNone/>
          </a:pPr>
          <a:endParaRPr lang="en-GB" sz="1800" kern="1200"/>
        </a:p>
      </dsp:txBody>
      <dsp:txXfrm>
        <a:off x="129044" y="1207012"/>
        <a:ext cx="613449" cy="626871"/>
      </dsp:txXfrm>
    </dsp:sp>
    <dsp:sp modelId="{F458F7AE-F67E-44F6-802D-FF234B10DAC3}">
      <dsp:nvSpPr>
        <dsp:cNvPr id="0" name=""/>
        <dsp:cNvSpPr/>
      </dsp:nvSpPr>
      <dsp:spPr>
        <a:xfrm>
          <a:off x="871537" y="487918"/>
          <a:ext cx="3377208" cy="1366171"/>
        </a:xfrm>
        <a:prstGeom prst="roundRect">
          <a:avLst>
            <a:gd name="adj" fmla="val 105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7630" tIns="87630" rIns="87630" bIns="867519" numCol="1" spcCol="1270" anchor="t" anchorCtr="0">
          <a:noAutofit/>
        </a:bodyPr>
        <a:lstStyle/>
        <a:p>
          <a:pPr marL="0" lvl="0" indent="0" algn="l" defTabSz="1022350">
            <a:lnSpc>
              <a:spcPct val="90000"/>
            </a:lnSpc>
            <a:spcBef>
              <a:spcPct val="0"/>
            </a:spcBef>
            <a:spcAft>
              <a:spcPct val="35000"/>
            </a:spcAft>
            <a:buNone/>
          </a:pPr>
          <a:endParaRPr lang="en-GB" sz="2300" kern="1200"/>
        </a:p>
      </dsp:txBody>
      <dsp:txXfrm>
        <a:off x="913551" y="529932"/>
        <a:ext cx="3293180" cy="1282143"/>
      </dsp:txXfrm>
    </dsp:sp>
    <dsp:sp modelId="{FCD4888C-FC2B-4F99-97AD-2DAF058836FD}">
      <dsp:nvSpPr>
        <dsp:cNvPr id="0" name=""/>
        <dsp:cNvSpPr/>
      </dsp:nvSpPr>
      <dsp:spPr>
        <a:xfrm>
          <a:off x="955967" y="966078"/>
          <a:ext cx="675441" cy="377047"/>
        </a:xfrm>
        <a:prstGeom prst="roundRect">
          <a:avLst>
            <a:gd name="adj" fmla="val 10500"/>
          </a:avLst>
        </a:prstGeom>
        <a:solidFill>
          <a:schemeClr val="lt1">
            <a:alpha val="90000"/>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60960" tIns="60960" rIns="60960" bIns="60960" numCol="1" spcCol="1270" anchor="ctr" anchorCtr="0">
          <a:noAutofit/>
        </a:bodyPr>
        <a:lstStyle/>
        <a:p>
          <a:pPr marL="0" lvl="0" indent="0" algn="ctr" defTabSz="711200">
            <a:lnSpc>
              <a:spcPct val="90000"/>
            </a:lnSpc>
            <a:spcBef>
              <a:spcPct val="0"/>
            </a:spcBef>
            <a:spcAft>
              <a:spcPct val="35000"/>
            </a:spcAft>
            <a:buNone/>
          </a:pPr>
          <a:endParaRPr lang="en-GB" sz="1600" kern="1200"/>
        </a:p>
      </dsp:txBody>
      <dsp:txXfrm>
        <a:off x="967562" y="977673"/>
        <a:ext cx="652251" cy="353857"/>
      </dsp:txXfrm>
    </dsp:sp>
    <dsp:sp modelId="{D062EDF9-5035-45ED-91F4-4A21588B5804}">
      <dsp:nvSpPr>
        <dsp:cNvPr id="0" name=""/>
        <dsp:cNvSpPr/>
      </dsp:nvSpPr>
      <dsp:spPr>
        <a:xfrm>
          <a:off x="955967" y="1374500"/>
          <a:ext cx="675441" cy="377047"/>
        </a:xfrm>
        <a:prstGeom prst="roundRect">
          <a:avLst>
            <a:gd name="adj" fmla="val 10500"/>
          </a:avLst>
        </a:prstGeom>
        <a:solidFill>
          <a:schemeClr val="lt1">
            <a:alpha val="90000"/>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60960" tIns="60960" rIns="60960" bIns="60960" numCol="1" spcCol="1270" anchor="ctr" anchorCtr="0">
          <a:noAutofit/>
        </a:bodyPr>
        <a:lstStyle/>
        <a:p>
          <a:pPr marL="0" lvl="0" indent="0" algn="ctr" defTabSz="711200">
            <a:lnSpc>
              <a:spcPct val="90000"/>
            </a:lnSpc>
            <a:spcBef>
              <a:spcPct val="0"/>
            </a:spcBef>
            <a:spcAft>
              <a:spcPct val="35000"/>
            </a:spcAft>
            <a:buNone/>
          </a:pPr>
          <a:endParaRPr lang="en-GB" sz="1600" kern="1200"/>
        </a:p>
      </dsp:txBody>
      <dsp:txXfrm>
        <a:off x="967562" y="1386095"/>
        <a:ext cx="652251" cy="353857"/>
      </dsp:txXfrm>
    </dsp:sp>
    <dsp:sp modelId="{A6C8733D-D6E1-45CC-A4BE-EC7D4B90E8BB}">
      <dsp:nvSpPr>
        <dsp:cNvPr id="0" name=""/>
        <dsp:cNvSpPr/>
      </dsp:nvSpPr>
      <dsp:spPr>
        <a:xfrm>
          <a:off x="1721286" y="975836"/>
          <a:ext cx="2418516" cy="780669"/>
        </a:xfrm>
        <a:prstGeom prst="roundRect">
          <a:avLst>
            <a:gd name="adj" fmla="val 10500"/>
          </a:avLst>
        </a:prstGeom>
        <a:solidFill>
          <a:schemeClr val="accent1">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0960" tIns="60960" rIns="60960" bIns="440644" numCol="1" spcCol="1270" anchor="t" anchorCtr="0">
          <a:noAutofit/>
        </a:bodyPr>
        <a:lstStyle/>
        <a:p>
          <a:pPr marL="0" lvl="0" indent="0" algn="l" defTabSz="711200">
            <a:lnSpc>
              <a:spcPct val="90000"/>
            </a:lnSpc>
            <a:spcBef>
              <a:spcPct val="0"/>
            </a:spcBef>
            <a:spcAft>
              <a:spcPct val="35000"/>
            </a:spcAft>
            <a:buNone/>
          </a:pPr>
          <a:endParaRPr lang="en-GB" sz="1600" kern="1200"/>
        </a:p>
      </dsp:txBody>
      <dsp:txXfrm>
        <a:off x="1745294" y="999844"/>
        <a:ext cx="2370500" cy="732653"/>
      </dsp:txXfrm>
    </dsp:sp>
    <dsp:sp modelId="{35119849-402D-4732-9E36-73BFA5F66A63}">
      <dsp:nvSpPr>
        <dsp:cNvPr id="0" name=""/>
        <dsp:cNvSpPr/>
      </dsp:nvSpPr>
      <dsp:spPr>
        <a:xfrm>
          <a:off x="1781749" y="1327137"/>
          <a:ext cx="1131967" cy="351301"/>
        </a:xfrm>
        <a:prstGeom prst="roundRect">
          <a:avLst>
            <a:gd name="adj" fmla="val 10500"/>
          </a:avLst>
        </a:prstGeom>
        <a:solidFill>
          <a:schemeClr val="lt1">
            <a:alpha val="90000"/>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57150" tIns="57150" rIns="57150" bIns="57150" numCol="1" spcCol="1270" anchor="ctr" anchorCtr="0">
          <a:noAutofit/>
        </a:bodyPr>
        <a:lstStyle/>
        <a:p>
          <a:pPr marL="0" lvl="0" indent="0" algn="ctr" defTabSz="666750">
            <a:lnSpc>
              <a:spcPct val="90000"/>
            </a:lnSpc>
            <a:spcBef>
              <a:spcPct val="0"/>
            </a:spcBef>
            <a:spcAft>
              <a:spcPct val="35000"/>
            </a:spcAft>
            <a:buNone/>
          </a:pPr>
          <a:endParaRPr lang="en-GB" sz="1500" kern="1200"/>
        </a:p>
      </dsp:txBody>
      <dsp:txXfrm>
        <a:off x="1792553" y="1337941"/>
        <a:ext cx="1110359" cy="329693"/>
      </dsp:txXfrm>
    </dsp:sp>
    <dsp:sp modelId="{052AC7DA-72F9-45FF-906E-B86CBE8CF44F}">
      <dsp:nvSpPr>
        <dsp:cNvPr id="0" name=""/>
        <dsp:cNvSpPr/>
      </dsp:nvSpPr>
      <dsp:spPr>
        <a:xfrm>
          <a:off x="2945921" y="1327137"/>
          <a:ext cx="1131967" cy="351301"/>
        </a:xfrm>
        <a:prstGeom prst="roundRect">
          <a:avLst>
            <a:gd name="adj" fmla="val 10500"/>
          </a:avLst>
        </a:prstGeom>
        <a:solidFill>
          <a:schemeClr val="lt1">
            <a:alpha val="90000"/>
            <a:hueOff val="0"/>
            <a:satOff val="0"/>
            <a:lumOff val="0"/>
            <a:alphaOff val="0"/>
          </a:schemeClr>
        </a:solidFill>
        <a:ln w="19050" cap="flat" cmpd="sng" algn="ctr">
          <a:solidFill>
            <a:schemeClr val="accen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dsp:style>
      <dsp:txBody>
        <a:bodyPr spcFirstLastPara="0" vert="horz" wrap="square" lIns="57150" tIns="57150" rIns="57150" bIns="57150" numCol="1" spcCol="1270" anchor="ctr" anchorCtr="0">
          <a:noAutofit/>
        </a:bodyPr>
        <a:lstStyle/>
        <a:p>
          <a:pPr marL="0" lvl="0" indent="0" algn="ctr" defTabSz="666750">
            <a:lnSpc>
              <a:spcPct val="90000"/>
            </a:lnSpc>
            <a:spcBef>
              <a:spcPct val="0"/>
            </a:spcBef>
            <a:spcAft>
              <a:spcPct val="35000"/>
            </a:spcAft>
            <a:buNone/>
          </a:pPr>
          <a:endParaRPr lang="en-GB" sz="1500" kern="1200"/>
        </a:p>
      </dsp:txBody>
      <dsp:txXfrm>
        <a:off x="2956725" y="1337941"/>
        <a:ext cx="1110359" cy="329693"/>
      </dsp:txXfrm>
    </dsp:sp>
  </dsp:spTree>
</dsp:drawing>
</file>

<file path=xl/diagrams/layout1.xml><?xml version="1.0" encoding="utf-8"?>
<dgm:layoutDef xmlns:dgm="http://schemas.openxmlformats.org/drawingml/2006/diagram" xmlns:a="http://schemas.openxmlformats.org/drawingml/2006/main" uniqueId="urn:microsoft.com/office/officeart/2005/8/layout/cycle4">
  <dgm:title val=""/>
  <dgm:desc val=""/>
  <dgm:catLst>
    <dgm:cat type="relationship" pri="26000"/>
    <dgm:cat type="cycle" pri="13000"/>
    <dgm:cat type="matrix" pri="4000"/>
  </dgm:catLst>
  <dgm:sampData>
    <dgm:dataModel>
      <dgm:ptLst>
        <dgm:pt modelId="0" type="doc"/>
        <dgm:pt modelId="1">
          <dgm:prSet phldr="1"/>
        </dgm:pt>
        <dgm:pt modelId="11">
          <dgm:prSet phldr="1"/>
        </dgm:pt>
        <dgm:pt modelId="2">
          <dgm:prSet phldr="1"/>
        </dgm:pt>
        <dgm:pt modelId="21">
          <dgm:prSet phldr="1"/>
        </dgm:pt>
        <dgm:pt modelId="3">
          <dgm:prSet phldr="1"/>
        </dgm:pt>
        <dgm:pt modelId="31">
          <dgm:prSet phldr="1"/>
        </dgm:pt>
        <dgm:pt modelId="4">
          <dgm:prSet phldr="1"/>
        </dgm:pt>
        <dgm:pt modelId="41">
          <dgm:prSet phldr="1"/>
        </dgm:pt>
      </dgm:ptLst>
      <dgm:cxnLst>
        <dgm:cxn modelId="5" srcId="0" destId="1" srcOrd="0" destOrd="0"/>
        <dgm:cxn modelId="6" srcId="0" destId="2" srcOrd="1" destOrd="0"/>
        <dgm:cxn modelId="7" srcId="0" destId="3" srcOrd="2" destOrd="0"/>
        <dgm:cxn modelId="8" srcId="0" destId="4" srcOrd="3" destOrd="0"/>
        <dgm:cxn modelId="13" srcId="1" destId="11" srcOrd="0" destOrd="0"/>
        <dgm:cxn modelId="23" srcId="2" destId="21" srcOrd="0" destOrd="0"/>
        <dgm:cxn modelId="33" srcId="3" destId="31" srcOrd="0" destOrd="0"/>
        <dgm:cxn modelId="43" srcId="4" destId="41" srcOrd="0" destOrd="0"/>
      </dgm:cxnLst>
      <dgm:bg/>
      <dgm:whole/>
    </dgm:dataModel>
  </dgm:sampData>
  <dgm:styleData>
    <dgm:dataModel>
      <dgm:ptLst>
        <dgm:pt modelId="0" type="doc"/>
        <dgm:pt modelId="1"/>
        <dgm:pt modelId="11"/>
        <dgm:pt modelId="2"/>
        <dgm:pt modelId="21"/>
        <dgm:pt modelId="3"/>
        <dgm:pt modelId="31"/>
        <dgm:pt modelId="4"/>
        <dgm:pt modelId="41"/>
      </dgm:ptLst>
      <dgm:cxnLst>
        <dgm:cxn modelId="5" srcId="0" destId="1" srcOrd="0" destOrd="0"/>
        <dgm:cxn modelId="6" srcId="0" destId="2" srcOrd="1" destOrd="0"/>
        <dgm:cxn modelId="7" srcId="0" destId="3" srcOrd="2" destOrd="0"/>
        <dgm:cxn modelId="8" srcId="0" destId="4" srcOrd="3" destOrd="0"/>
        <dgm:cxn modelId="13" srcId="1" destId="11" srcOrd="0" destOrd="0"/>
        <dgm:cxn modelId="23" srcId="2" destId="21" srcOrd="0" destOrd="0"/>
        <dgm:cxn modelId="33" srcId="3" destId="31" srcOrd="0" destOrd="0"/>
        <dgm:cxn modelId="43" srcId="4" destId="41" srcOrd="0" destOrd="0"/>
      </dgm:cxnLst>
      <dgm:bg/>
      <dgm:whole/>
    </dgm:dataModel>
  </dgm:styleData>
  <dgm:clrData>
    <dgm:dataModel>
      <dgm:ptLst>
        <dgm:pt modelId="0" type="doc"/>
        <dgm:pt modelId="1"/>
        <dgm:pt modelId="11"/>
        <dgm:pt modelId="2"/>
        <dgm:pt modelId="21"/>
        <dgm:pt modelId="3"/>
        <dgm:pt modelId="31"/>
        <dgm:pt modelId="4"/>
        <dgm:pt modelId="41"/>
      </dgm:ptLst>
      <dgm:cxnLst>
        <dgm:cxn modelId="5" srcId="0" destId="1" srcOrd="0" destOrd="0"/>
        <dgm:cxn modelId="6" srcId="0" destId="2" srcOrd="1" destOrd="0"/>
        <dgm:cxn modelId="7" srcId="0" destId="3" srcOrd="2" destOrd="0"/>
        <dgm:cxn modelId="8" srcId="0" destId="4" srcOrd="3" destOrd="0"/>
        <dgm:cxn modelId="13" srcId="1" destId="11" srcOrd="0" destOrd="0"/>
        <dgm:cxn modelId="23" srcId="2" destId="21" srcOrd="0" destOrd="0"/>
        <dgm:cxn modelId="33" srcId="3" destId="31" srcOrd="0" destOrd="0"/>
        <dgm:cxn modelId="43" srcId="4" destId="41" srcOrd="0" destOrd="0"/>
      </dgm:cxnLst>
      <dgm:bg/>
      <dgm:whole/>
    </dgm:dataModel>
  </dgm:clrData>
  <dgm:layoutNode name="cycleMatrixDiagram">
    <dgm:varLst>
      <dgm:chMax val="1"/>
      <dgm:dir/>
      <dgm:animLvl val="lvl"/>
      <dgm:resizeHandles val="exact"/>
    </dgm:varLst>
    <dgm:alg type="composite">
      <dgm:param type="ar" val="1.3"/>
    </dgm:alg>
    <dgm:shape xmlns:r="http://schemas.openxmlformats.org/officeDocument/2006/relationships" r:blip="">
      <dgm:adjLst/>
    </dgm:shape>
    <dgm:presOf/>
    <dgm:constrLst>
      <dgm:constr type="w" for="ch" forName="children" refType="w"/>
      <dgm:constr type="h" for="ch" forName="children" refType="w" refFor="ch" refForName="children" fact="0.77"/>
      <dgm:constr type="ctrX" for="ch" forName="children" refType="w" fact="0.5"/>
      <dgm:constr type="ctrY" for="ch" forName="children" refType="h" fact="0.5"/>
      <dgm:constr type="w" for="ch" forName="circle" refType="w"/>
      <dgm:constr type="h" for="ch" forName="circle" refType="h"/>
      <dgm:constr type="ctrX" for="ch" forName="circle" refType="w" fact="0.5"/>
      <dgm:constr type="ctrY" for="ch" forName="circle" refType="h" fact="0.5"/>
      <dgm:constr type="w" for="ch" forName="center1" refType="w" fact="0.115"/>
      <dgm:constr type="h" for="ch" forName="center1" refType="w" fact="0.1"/>
      <dgm:constr type="ctrX" for="ch" forName="center1" refType="w" fact="0.5"/>
      <dgm:constr type="ctrY" for="ch" forName="center1" refType="h" fact="0.475"/>
      <dgm:constr type="w" for="ch" forName="center2" refType="w" fact="0.115"/>
      <dgm:constr type="h" for="ch" forName="center2" refType="w" fact="0.1"/>
      <dgm:constr type="ctrX" for="ch" forName="center2" refType="w" fact="0.5"/>
      <dgm:constr type="ctrY" for="ch" forName="center2" refType="h" fact="0.525"/>
    </dgm:constrLst>
    <dgm:ruleLst/>
    <dgm:choose name="Name0">
      <dgm:if name="Name1" axis="ch" ptType="node" func="cnt" op="gte" val="1">
        <dgm:layoutNode name="children">
          <dgm:alg type="composite">
            <dgm:param type="ar" val="1.3"/>
          </dgm:alg>
          <dgm:shape xmlns:r="http://schemas.openxmlformats.org/officeDocument/2006/relationships" r:blip="">
            <dgm:adjLst/>
          </dgm:shape>
          <dgm:presOf/>
          <dgm:choose name="Name2">
            <dgm:if name="Name3" func="var" arg="dir" op="equ" val="norm">
              <dgm:constrLst>
                <dgm:constr type="primFontSz" for="des" ptType="node" op="equ" val="65"/>
                <dgm:constr type="w" for="ch" forName="child1group" refType="w" fact="0.38"/>
                <dgm:constr type="h" for="ch" forName="child1group" refType="h" fact="0.32"/>
                <dgm:constr type="t" for="ch" forName="child1group"/>
                <dgm:constr type="l" for="ch" forName="child1group"/>
                <dgm:constr type="w" for="ch" forName="child2group" refType="w" fact="0.38"/>
                <dgm:constr type="h" for="ch" forName="child2group" refType="h" fact="0.32"/>
                <dgm:constr type="t" for="ch" forName="child2group"/>
                <dgm:constr type="r" for="ch" forName="child2group" refType="w"/>
                <dgm:constr type="w" for="ch" forName="child3group" refType="w" fact="0.38"/>
                <dgm:constr type="h" for="ch" forName="child3group" refType="h" fact="0.32"/>
                <dgm:constr type="b" for="ch" forName="child3group" refType="h"/>
                <dgm:constr type="r" for="ch" forName="child3group" refType="w"/>
                <dgm:constr type="w" for="ch" forName="child4group" refType="w" fact="0.38"/>
                <dgm:constr type="h" for="ch" forName="child4group" refType="h" fact="0.32"/>
                <dgm:constr type="b" for="ch" forName="child4group" refType="h"/>
                <dgm:constr type="l" for="ch" forName="child4group"/>
              </dgm:constrLst>
            </dgm:if>
            <dgm:else name="Name4">
              <dgm:constrLst>
                <dgm:constr type="primFontSz" for="des" ptType="node" op="equ" val="65"/>
                <dgm:constr type="w" for="ch" forName="child1group" refType="w" fact="0.38"/>
                <dgm:constr type="h" for="ch" forName="child1group" refType="h" fact="0.32"/>
                <dgm:constr type="t" for="ch" forName="child1group"/>
                <dgm:constr type="r" for="ch" forName="child1group" refType="w"/>
                <dgm:constr type="w" for="ch" forName="child2group" refType="w" fact="0.38"/>
                <dgm:constr type="h" for="ch" forName="child2group" refType="h" fact="0.32"/>
                <dgm:constr type="t" for="ch" forName="child2group"/>
                <dgm:constr type="l" for="ch" forName="child2group"/>
                <dgm:constr type="w" for="ch" forName="child3group" refType="w" fact="0.38"/>
                <dgm:constr type="h" for="ch" forName="child3group" refType="h" fact="0.32"/>
                <dgm:constr type="b" for="ch" forName="child3group" refType="h"/>
                <dgm:constr type="l" for="ch" forName="child3group"/>
                <dgm:constr type="w" for="ch" forName="child4group" refType="w" fact="0.38"/>
                <dgm:constr type="h" for="ch" forName="child4group" refType="h" fact="0.32"/>
                <dgm:constr type="b" for="ch" forName="child4group" refType="h"/>
                <dgm:constr type="r" for="ch" forName="child4group" refType="w"/>
              </dgm:constrLst>
            </dgm:else>
          </dgm:choose>
          <dgm:ruleLst/>
          <dgm:choose name="Name5">
            <dgm:if name="Name6" axis="ch ch" ptType="node node" st="1 1" cnt="1 0" func="cnt" op="gte" val="1">
              <dgm:layoutNode name="child1group">
                <dgm:alg type="composite">
                  <dgm:param type="horzAlign" val="none"/>
                  <dgm:param type="vertAlign" val="none"/>
                </dgm:alg>
                <dgm:shape xmlns:r="http://schemas.openxmlformats.org/officeDocument/2006/relationships" r:blip="">
                  <dgm:adjLst/>
                </dgm:shape>
                <dgm:presOf/>
                <dgm:choose name="Name7">
                  <dgm:if name="Name8" func="var" arg="dir" op="equ" val="norm">
                    <dgm:constrLst>
                      <dgm:constr type="w" for="ch" forName="child1" refType="w"/>
                      <dgm:constr type="h" for="ch" forName="child1" refType="h"/>
                      <dgm:constr type="t" for="ch" forName="child1"/>
                      <dgm:constr type="l" for="ch" forName="child1"/>
                      <dgm:constr type="w" for="ch" forName="child1Text" refType="w" fact="0.7"/>
                      <dgm:constr type="h" for="ch" forName="child1Text" refType="h" fact="0.75"/>
                      <dgm:constr type="t" for="ch" forName="child1Text"/>
                      <dgm:constr type="l" for="ch" forName="child1Text"/>
                    </dgm:constrLst>
                  </dgm:if>
                  <dgm:else name="Name9">
                    <dgm:constrLst>
                      <dgm:constr type="w" for="ch" forName="child1" refType="w"/>
                      <dgm:constr type="h" for="ch" forName="child1" refType="h"/>
                      <dgm:constr type="t" for="ch" forName="child1"/>
                      <dgm:constr type="r" for="ch" forName="child1" refType="w"/>
                      <dgm:constr type="w" for="ch" forName="child1Text" refType="w" fact="0.7"/>
                      <dgm:constr type="h" for="ch" forName="child1Text" refType="h" fact="0.75"/>
                      <dgm:constr type="t" for="ch" forName="child1Text"/>
                      <dgm:constr type="r" for="ch" forName="child1Text" refType="w"/>
                    </dgm:constrLst>
                  </dgm:else>
                </dgm:choose>
                <dgm:ruleLst/>
                <dgm:layoutNode name="child1" styleLbl="bgAcc1">
                  <dgm:alg type="sp"/>
                  <dgm:shape xmlns:r="http://schemas.openxmlformats.org/officeDocument/2006/relationships" type="roundRect" r:blip="" zOrderOff="-2">
                    <dgm:adjLst>
                      <dgm:adj idx="1" val="0.1"/>
                    </dgm:adjLst>
                  </dgm:shape>
                  <dgm:presOf axis="ch des" ptType="node node" st="1 1" cnt="1 0"/>
                  <dgm:constrLst/>
                  <dgm:ruleLst/>
                </dgm:layoutNode>
                <dgm:layoutNode name="child1Text" styleLbl="bgAcc1">
                  <dgm:varLst>
                    <dgm:bulletEnabled val="1"/>
                  </dgm:varLst>
                  <dgm:alg type="tx">
                    <dgm:param type="stBulletLvl" val="1"/>
                  </dgm:alg>
                  <dgm:shape xmlns:r="http://schemas.openxmlformats.org/officeDocument/2006/relationships" type="roundRect" r:blip="" zOrderOff="-2" hideGeom="1">
                    <dgm:adjLst>
                      <dgm:adj idx="1" val="0.1"/>
                    </dgm:adjLst>
                  </dgm:shape>
                  <dgm:presOf axis="ch des" ptType="node node" st="1 1" cnt="1 0"/>
                  <dgm:constrLst>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dgm:if>
            <dgm:else name="Name10"/>
          </dgm:choose>
          <dgm:choose name="Name11">
            <dgm:if name="Name12" axis="ch ch" ptType="node node" st="2 1" cnt="1 0" func="cnt" op="gte" val="1">
              <dgm:layoutNode name="child2group">
                <dgm:alg type="composite">
                  <dgm:param type="horzAlign" val="none"/>
                  <dgm:param type="vertAlign" val="none"/>
                </dgm:alg>
                <dgm:shape xmlns:r="http://schemas.openxmlformats.org/officeDocument/2006/relationships" r:blip="">
                  <dgm:adjLst/>
                </dgm:shape>
                <dgm:choose name="Name13">
                  <dgm:if name="Name14" func="var" arg="dir" op="equ" val="norm">
                    <dgm:constrLst>
                      <dgm:constr type="w" for="ch" forName="child2" refType="w"/>
                      <dgm:constr type="h" for="ch" forName="child2" refType="h"/>
                      <dgm:constr type="t" for="ch" forName="child2"/>
                      <dgm:constr type="r" for="ch" forName="child2" refType="w"/>
                      <dgm:constr type="w" for="ch" forName="child2Text" refType="w" fact="0.7"/>
                      <dgm:constr type="h" for="ch" forName="child2Text" refType="h" fact="0.75"/>
                      <dgm:constr type="t" for="ch" forName="child2Text"/>
                      <dgm:constr type="r" for="ch" forName="child2Text" refType="w"/>
                    </dgm:constrLst>
                  </dgm:if>
                  <dgm:else name="Name15">
                    <dgm:constrLst>
                      <dgm:constr type="w" for="ch" forName="child2" refType="w"/>
                      <dgm:constr type="h" for="ch" forName="child2" refType="h"/>
                      <dgm:constr type="t" for="ch" forName="child2"/>
                      <dgm:constr type="l" for="ch" forName="child2"/>
                      <dgm:constr type="w" for="ch" forName="child2Text" refType="w" fact="0.7"/>
                      <dgm:constr type="h" for="ch" forName="child2Text" refType="h" fact="0.75"/>
                      <dgm:constr type="t" for="ch" forName="child2Text"/>
                      <dgm:constr type="l" for="ch" forName="child2Text"/>
                    </dgm:constrLst>
                  </dgm:else>
                </dgm:choose>
                <dgm:ruleLst/>
                <dgm:layoutNode name="child2" styleLbl="bgAcc1">
                  <dgm:alg type="sp"/>
                  <dgm:shape xmlns:r="http://schemas.openxmlformats.org/officeDocument/2006/relationships" type="roundRect" r:blip="" zOrderOff="-2">
                    <dgm:adjLst>
                      <dgm:adj idx="1" val="0.1"/>
                    </dgm:adjLst>
                  </dgm:shape>
                  <dgm:presOf axis="ch des" ptType="node node" st="2 1" cnt="1 0"/>
                  <dgm:constrLst/>
                  <dgm:ruleLst/>
                </dgm:layoutNode>
                <dgm:layoutNode name="child2Text" styleLbl="bgAcc1">
                  <dgm:varLst>
                    <dgm:bulletEnabled val="1"/>
                  </dgm:varLst>
                  <dgm:alg type="tx">
                    <dgm:param type="stBulletLvl" val="1"/>
                  </dgm:alg>
                  <dgm:shape xmlns:r="http://schemas.openxmlformats.org/officeDocument/2006/relationships" type="roundRect" r:blip="" zOrderOff="-2" hideGeom="1">
                    <dgm:adjLst>
                      <dgm:adj idx="1" val="0.1"/>
                    </dgm:adjLst>
                  </dgm:shape>
                  <dgm:presOf axis="ch des" ptType="node node" st="2 1" cnt="1 0"/>
                  <dgm:constrLst>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dgm:if>
            <dgm:else name="Name16"/>
          </dgm:choose>
          <dgm:choose name="Name17">
            <dgm:if name="Name18" axis="ch ch" ptType="node node" st="3 1" cnt="1 0" func="cnt" op="gte" val="1">
              <dgm:layoutNode name="child3group">
                <dgm:alg type="composite">
                  <dgm:param type="horzAlign" val="none"/>
                  <dgm:param type="vertAlign" val="none"/>
                </dgm:alg>
                <dgm:shape xmlns:r="http://schemas.openxmlformats.org/officeDocument/2006/relationships" r:blip="">
                  <dgm:adjLst/>
                </dgm:shape>
                <dgm:presOf/>
                <dgm:choose name="Name19">
                  <dgm:if name="Name20" func="var" arg="dir" op="equ" val="norm">
                    <dgm:constrLst>
                      <dgm:constr type="w" for="ch" forName="child3" refType="w"/>
                      <dgm:constr type="h" for="ch" forName="child3" refType="h"/>
                      <dgm:constr type="b" for="ch" forName="child3" refType="h"/>
                      <dgm:constr type="r" for="ch" forName="child3" refType="w"/>
                      <dgm:constr type="w" for="ch" forName="child3Text" refType="w" fact="0.7"/>
                      <dgm:constr type="h" for="ch" forName="child3Text" refType="h" fact="0.75"/>
                      <dgm:constr type="b" for="ch" forName="child3Text" refType="h"/>
                      <dgm:constr type="r" for="ch" forName="child3Text" refType="w"/>
                    </dgm:constrLst>
                  </dgm:if>
                  <dgm:else name="Name21">
                    <dgm:constrLst>
                      <dgm:constr type="w" for="ch" forName="child3" refType="w"/>
                      <dgm:constr type="h" for="ch" forName="child3" refType="h"/>
                      <dgm:constr type="b" for="ch" forName="child3" refType="h"/>
                      <dgm:constr type="l" for="ch" forName="child3"/>
                      <dgm:constr type="w" for="ch" forName="child3Text" refType="w" fact="0.7"/>
                      <dgm:constr type="h" for="ch" forName="child3Text" refType="h" fact="0.75"/>
                      <dgm:constr type="b" for="ch" forName="child3Text" refType="h"/>
                      <dgm:constr type="l" for="ch" forName="child3Text"/>
                    </dgm:constrLst>
                  </dgm:else>
                </dgm:choose>
                <dgm:ruleLst/>
                <dgm:layoutNode name="child3" styleLbl="bgAcc1">
                  <dgm:alg type="sp"/>
                  <dgm:shape xmlns:r="http://schemas.openxmlformats.org/officeDocument/2006/relationships" type="roundRect" r:blip="" zOrderOff="-4">
                    <dgm:adjLst>
                      <dgm:adj idx="1" val="0.1"/>
                    </dgm:adjLst>
                  </dgm:shape>
                  <dgm:presOf axis="ch des" ptType="node node" st="3 1" cnt="1 0"/>
                  <dgm:constrLst/>
                  <dgm:ruleLst/>
                </dgm:layoutNode>
                <dgm:layoutNode name="child3Text" styleLbl="bgAcc1">
                  <dgm:varLst>
                    <dgm:bulletEnabled val="1"/>
                  </dgm:varLst>
                  <dgm:alg type="tx">
                    <dgm:param type="stBulletLvl" val="1"/>
                  </dgm:alg>
                  <dgm:shape xmlns:r="http://schemas.openxmlformats.org/officeDocument/2006/relationships" type="roundRect" r:blip="" zOrderOff="-4" hideGeom="1">
                    <dgm:adjLst>
                      <dgm:adj idx="1" val="0.1"/>
                    </dgm:adjLst>
                  </dgm:shape>
                  <dgm:presOf axis="ch des" ptType="node node" st="3 1" cnt="1 0"/>
                  <dgm:constrLst>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dgm:if>
            <dgm:else name="Name22"/>
          </dgm:choose>
          <dgm:choose name="Name23">
            <dgm:if name="Name24" axis="ch ch" ptType="node node" st="4 1" cnt="1 0" func="cnt" op="gte" val="1">
              <dgm:layoutNode name="child4group">
                <dgm:alg type="composite">
                  <dgm:param type="horzAlign" val="none"/>
                  <dgm:param type="vertAlign" val="none"/>
                </dgm:alg>
                <dgm:shape xmlns:r="http://schemas.openxmlformats.org/officeDocument/2006/relationships" r:blip="">
                  <dgm:adjLst/>
                </dgm:shape>
                <dgm:presOf/>
                <dgm:choose name="Name25">
                  <dgm:if name="Name26" func="var" arg="dir" op="equ" val="norm">
                    <dgm:constrLst>
                      <dgm:constr type="w" for="ch" forName="child4" refType="w"/>
                      <dgm:constr type="h" for="ch" forName="child4" refType="h"/>
                      <dgm:constr type="b" for="ch" forName="child4" refType="h"/>
                      <dgm:constr type="l" for="ch" forName="child4"/>
                      <dgm:constr type="w" for="ch" forName="child4Text" refType="w" fact="0.7"/>
                      <dgm:constr type="h" for="ch" forName="child4Text" refType="h" fact="0.75"/>
                      <dgm:constr type="b" for="ch" forName="child4Text" refType="h"/>
                      <dgm:constr type="l" for="ch" forName="child4Text"/>
                    </dgm:constrLst>
                  </dgm:if>
                  <dgm:else name="Name27">
                    <dgm:constrLst>
                      <dgm:constr type="w" for="ch" forName="child4" refType="w"/>
                      <dgm:constr type="h" for="ch" forName="child4" refType="h"/>
                      <dgm:constr type="b" for="ch" forName="child4" refType="h"/>
                      <dgm:constr type="r" for="ch" forName="child4" refType="w"/>
                      <dgm:constr type="w" for="ch" forName="child4Text" refType="w" fact="0.7"/>
                      <dgm:constr type="h" for="ch" forName="child4Text" refType="h" fact="0.75"/>
                      <dgm:constr type="b" for="ch" forName="child4Text" refType="h"/>
                      <dgm:constr type="r" for="ch" forName="child4Text" refType="w"/>
                    </dgm:constrLst>
                  </dgm:else>
                </dgm:choose>
                <dgm:ruleLst/>
                <dgm:layoutNode name="child4" styleLbl="bgAcc1">
                  <dgm:alg type="sp"/>
                  <dgm:shape xmlns:r="http://schemas.openxmlformats.org/officeDocument/2006/relationships" type="roundRect" r:blip="" zOrderOff="-4">
                    <dgm:adjLst>
                      <dgm:adj idx="1" val="0.1"/>
                    </dgm:adjLst>
                  </dgm:shape>
                  <dgm:presOf axis="ch des" ptType="node node" st="4 1" cnt="1 0"/>
                  <dgm:constrLst/>
                  <dgm:ruleLst/>
                </dgm:layoutNode>
                <dgm:layoutNode name="child4Text" styleLbl="bgAcc1">
                  <dgm:varLst>
                    <dgm:bulletEnabled val="1"/>
                  </dgm:varLst>
                  <dgm:alg type="tx">
                    <dgm:param type="stBulletLvl" val="1"/>
                  </dgm:alg>
                  <dgm:shape xmlns:r="http://schemas.openxmlformats.org/officeDocument/2006/relationships" type="roundRect" r:blip="" zOrderOff="-4" hideGeom="1">
                    <dgm:adjLst>
                      <dgm:adj idx="1" val="0.1"/>
                    </dgm:adjLst>
                  </dgm:shape>
                  <dgm:presOf axis="ch des" ptType="node node" st="4 1" cnt="1 0"/>
                  <dgm:constrLst>
                    <dgm:constr type="tMarg" refType="primFontSz" fact="0.3"/>
                    <dgm:constr type="bMarg" refType="primFontSz" fact="0.3"/>
                    <dgm:constr type="lMarg" refType="primFontSz" fact="0.3"/>
                    <dgm:constr type="rMarg" refType="primFontSz" fact="0.3"/>
                  </dgm:constrLst>
                  <dgm:ruleLst>
                    <dgm:rule type="primFontSz" val="5" fact="NaN" max="NaN"/>
                  </dgm:ruleLst>
                </dgm:layoutNode>
              </dgm:layoutNode>
            </dgm:if>
            <dgm:else name="Name28"/>
          </dgm:choose>
          <dgm:layoutNode name="childPlaceholder">
            <dgm:alg type="sp"/>
            <dgm:shape xmlns:r="http://schemas.openxmlformats.org/officeDocument/2006/relationships" r:blip="">
              <dgm:adjLst/>
            </dgm:shape>
            <dgm:presOf/>
            <dgm:constrLst/>
            <dgm:ruleLst/>
          </dgm:layoutNode>
        </dgm:layoutNode>
        <dgm:layoutNode name="circle">
          <dgm:alg type="composite">
            <dgm:param type="ar" val="1"/>
          </dgm:alg>
          <dgm:shape xmlns:r="http://schemas.openxmlformats.org/officeDocument/2006/relationships" r:blip="">
            <dgm:adjLst/>
          </dgm:shape>
          <dgm:presOf/>
          <dgm:choose name="Name29">
            <dgm:if name="Name30" func="var" arg="dir" op="equ" val="norm">
              <dgm:constrLst>
                <dgm:constr type="primFontSz" for="ch" ptType="node" op="equ" val="65"/>
                <dgm:constr type="w" for="ch" forName="quadrant1" refType="w" fact="0.433"/>
                <dgm:constr type="h" for="ch" forName="quadrant1" refType="h" fact="0.433"/>
                <dgm:constr type="b" for="ch" forName="quadrant1" refType="h" fact="0.5"/>
                <dgm:constr type="bOff" for="ch" forName="quadrant1" refType="h" fact="-0.01"/>
                <dgm:constr type="r" for="ch" forName="quadrant1" refType="w" fact="0.5"/>
                <dgm:constr type="rOff" for="ch" forName="quadrant1" refType="w" fact="-0.01"/>
                <dgm:constr type="w" for="ch" forName="quadrant2" refType="w" fact="0.433"/>
                <dgm:constr type="h" for="ch" forName="quadrant2" refType="h" fact="0.433"/>
                <dgm:constr type="b" for="ch" forName="quadrant2" refType="h" fact="0.5"/>
                <dgm:constr type="bOff" for="ch" forName="quadrant2" refType="h" fact="-0.01"/>
                <dgm:constr type="l" for="ch" forName="quadrant2" refType="w" fact="0.5"/>
                <dgm:constr type="lOff" for="ch" forName="quadrant2" refType="w" fact="0.01"/>
                <dgm:constr type="w" for="ch" forName="quadrant3" refType="w" fact="0.433"/>
                <dgm:constr type="h" for="ch" forName="quadrant3" refType="h" fact="0.433"/>
                <dgm:constr type="t" for="ch" forName="quadrant3" refType="h" fact="0.5"/>
                <dgm:constr type="tOff" for="ch" forName="quadrant3" refType="h" fact="0.01"/>
                <dgm:constr type="l" for="ch" forName="quadrant3" refType="w" fact="0.5"/>
                <dgm:constr type="lOff" for="ch" forName="quadrant3" refType="w" fact="0.01"/>
                <dgm:constr type="w" for="ch" forName="quadrant4" refType="w" fact="0.433"/>
                <dgm:constr type="h" for="ch" forName="quadrant4" refType="h" fact="0.433"/>
                <dgm:constr type="t" for="ch" forName="quadrant4" refType="h" fact="0.5"/>
                <dgm:constr type="tOff" for="ch" forName="quadrant4" refType="h" fact="0.01"/>
                <dgm:constr type="r" for="ch" forName="quadrant4" refType="w" fact="0.5"/>
                <dgm:constr type="rOff" for="ch" forName="quadrant4" refType="w" fact="-0.01"/>
              </dgm:constrLst>
            </dgm:if>
            <dgm:else name="Name31">
              <dgm:constrLst>
                <dgm:constr type="primFontSz" for="ch" ptType="node" op="equ" val="65"/>
                <dgm:constr type="w" for="ch" forName="quadrant1" refType="w" fact="0.433"/>
                <dgm:constr type="h" for="ch" forName="quadrant1" refType="h" fact="0.433"/>
                <dgm:constr type="b" for="ch" forName="quadrant1" refType="h" fact="0.5"/>
                <dgm:constr type="bOff" for="ch" forName="quadrant1" refType="h" fact="-0.01"/>
                <dgm:constr type="l" for="ch" forName="quadrant1" refType="w" fact="0.5"/>
                <dgm:constr type="lOff" for="ch" forName="quadrant1" refType="w" fact="0.01"/>
                <dgm:constr type="w" for="ch" forName="quadrant2" refType="w" fact="0.433"/>
                <dgm:constr type="h" for="ch" forName="quadrant2" refType="h" fact="0.433"/>
                <dgm:constr type="b" for="ch" forName="quadrant2" refType="h" fact="0.5"/>
                <dgm:constr type="bOff" for="ch" forName="quadrant2" refType="h" fact="-0.01"/>
                <dgm:constr type="r" for="ch" forName="quadrant2" refType="w" fact="0.5"/>
                <dgm:constr type="rOff" for="ch" forName="quadrant2" refType="w" fact="-0.01"/>
                <dgm:constr type="w" for="ch" forName="quadrant3" refType="w" fact="0.433"/>
                <dgm:constr type="h" for="ch" forName="quadrant3" refType="h" fact="0.433"/>
                <dgm:constr type="t" for="ch" forName="quadrant3" refType="h" fact="0.5"/>
                <dgm:constr type="tOff" for="ch" forName="quadrant3" refType="h" fact="0.01"/>
                <dgm:constr type="r" for="ch" forName="quadrant3" refType="w" fact="0.5"/>
                <dgm:constr type="rOff" for="ch" forName="quadrant3" refType="w" fact="-0.01"/>
                <dgm:constr type="w" for="ch" forName="quadrant4" refType="w" fact="0.433"/>
                <dgm:constr type="h" for="ch" forName="quadrant4" refType="h" fact="0.433"/>
                <dgm:constr type="t" for="ch" forName="quadrant4" refType="h" fact="0.5"/>
                <dgm:constr type="tOff" for="ch" forName="quadrant4" refType="h" fact="0.01"/>
                <dgm:constr type="l" for="ch" forName="quadrant4" refType="w" fact="0.5"/>
                <dgm:constr type="lOff" for="ch" forName="quadrant4" refType="w" fact="0.01"/>
              </dgm:constrLst>
            </dgm:else>
          </dgm:choose>
          <dgm:ruleLst/>
          <dgm:layoutNode name="quadrant1" styleLbl="node1">
            <dgm:varLst>
              <dgm:chMax val="1"/>
              <dgm:bulletEnabled val="1"/>
            </dgm:varLst>
            <dgm:alg type="tx"/>
            <dgm:choose name="Name32">
              <dgm:if name="Name33" func="var" arg="dir" op="equ" val="norm">
                <dgm:shape xmlns:r="http://schemas.openxmlformats.org/officeDocument/2006/relationships" type="pieWedge" r:blip="">
                  <dgm:adjLst/>
                </dgm:shape>
              </dgm:if>
              <dgm:else name="Name34">
                <dgm:shape xmlns:r="http://schemas.openxmlformats.org/officeDocument/2006/relationships" rot="90" type="pieWedge" r:blip="">
                  <dgm:adjLst/>
                </dgm:shape>
              </dgm:else>
            </dgm:choose>
            <dgm:presOf axis="ch" ptType="node" cnt="1"/>
            <dgm:constrLst/>
            <dgm:ruleLst>
              <dgm:rule type="primFontSz" val="5" fact="NaN" max="NaN"/>
            </dgm:ruleLst>
          </dgm:layoutNode>
          <dgm:layoutNode name="quadrant2" styleLbl="node1">
            <dgm:varLst>
              <dgm:chMax val="1"/>
              <dgm:bulletEnabled val="1"/>
            </dgm:varLst>
            <dgm:alg type="tx"/>
            <dgm:choose name="Name35">
              <dgm:if name="Name36" func="var" arg="dir" op="equ" val="norm">
                <dgm:shape xmlns:r="http://schemas.openxmlformats.org/officeDocument/2006/relationships" rot="90" type="pieWedge" r:blip="">
                  <dgm:adjLst/>
                </dgm:shape>
              </dgm:if>
              <dgm:else name="Name37">
                <dgm:shape xmlns:r="http://schemas.openxmlformats.org/officeDocument/2006/relationships" type="pieWedge" r:blip="">
                  <dgm:adjLst/>
                </dgm:shape>
              </dgm:else>
            </dgm:choose>
            <dgm:presOf axis="ch" ptType="node" st="2" cnt="1"/>
            <dgm:constrLst/>
            <dgm:ruleLst>
              <dgm:rule type="primFontSz" val="5" fact="NaN" max="NaN"/>
            </dgm:ruleLst>
          </dgm:layoutNode>
          <dgm:layoutNode name="quadrant3" styleLbl="node1">
            <dgm:varLst>
              <dgm:chMax val="1"/>
              <dgm:bulletEnabled val="1"/>
            </dgm:varLst>
            <dgm:alg type="tx"/>
            <dgm:choose name="Name38">
              <dgm:if name="Name39" func="var" arg="dir" op="equ" val="norm">
                <dgm:shape xmlns:r="http://schemas.openxmlformats.org/officeDocument/2006/relationships" rot="180" type="pieWedge" r:blip="">
                  <dgm:adjLst/>
                </dgm:shape>
              </dgm:if>
              <dgm:else name="Name40">
                <dgm:shape xmlns:r="http://schemas.openxmlformats.org/officeDocument/2006/relationships" rot="270" type="pieWedge" r:blip="">
                  <dgm:adjLst/>
                </dgm:shape>
              </dgm:else>
            </dgm:choose>
            <dgm:presOf axis="ch" ptType="node" st="3" cnt="1"/>
            <dgm:constrLst/>
            <dgm:ruleLst>
              <dgm:rule type="primFontSz" val="5" fact="NaN" max="NaN"/>
            </dgm:ruleLst>
          </dgm:layoutNode>
          <dgm:layoutNode name="quadrant4" styleLbl="node1">
            <dgm:varLst>
              <dgm:chMax val="1"/>
              <dgm:bulletEnabled val="1"/>
            </dgm:varLst>
            <dgm:alg type="tx"/>
            <dgm:choose name="Name41">
              <dgm:if name="Name42" func="var" arg="dir" op="equ" val="norm">
                <dgm:shape xmlns:r="http://schemas.openxmlformats.org/officeDocument/2006/relationships" rot="270" type="pieWedge" r:blip="">
                  <dgm:adjLst/>
                </dgm:shape>
              </dgm:if>
              <dgm:else name="Name43">
                <dgm:shape xmlns:r="http://schemas.openxmlformats.org/officeDocument/2006/relationships" rot="180" type="pieWedge" r:blip="">
                  <dgm:adjLst/>
                </dgm:shape>
              </dgm:else>
            </dgm:choose>
            <dgm:presOf axis="ch" ptType="node" st="4" cnt="1"/>
            <dgm:constrLst/>
            <dgm:ruleLst>
              <dgm:rule type="primFontSz" val="5" fact="NaN" max="NaN"/>
            </dgm:ruleLst>
          </dgm:layoutNode>
          <dgm:layoutNode name="quadrantPlaceholder">
            <dgm:alg type="sp"/>
            <dgm:shape xmlns:r="http://schemas.openxmlformats.org/officeDocument/2006/relationships" r:blip="">
              <dgm:adjLst/>
            </dgm:shape>
            <dgm:presOf/>
            <dgm:constrLst/>
            <dgm:ruleLst/>
          </dgm:layoutNode>
        </dgm:layoutNode>
        <dgm:layoutNode name="center1" styleLbl="fgShp">
          <dgm:alg type="sp"/>
          <dgm:choose name="Name44">
            <dgm:if name="Name45" func="var" arg="dir" op="equ" val="norm">
              <dgm:shape xmlns:r="http://schemas.openxmlformats.org/officeDocument/2006/relationships" type="circularArrow" r:blip="" zOrderOff="16">
                <dgm:adjLst/>
              </dgm:shape>
            </dgm:if>
            <dgm:else name="Name46">
              <dgm:shape xmlns:r="http://schemas.openxmlformats.org/officeDocument/2006/relationships" rot="180" type="leftCircularArrow" r:blip="" zOrderOff="16">
                <dgm:adjLst/>
              </dgm:shape>
            </dgm:else>
          </dgm:choose>
          <dgm:presOf/>
          <dgm:constrLst/>
          <dgm:ruleLst/>
        </dgm:layoutNode>
        <dgm:layoutNode name="center2" styleLbl="fgShp">
          <dgm:alg type="sp"/>
          <dgm:choose name="Name47">
            <dgm:if name="Name48" func="var" arg="dir" op="equ" val="norm">
              <dgm:shape xmlns:r="http://schemas.openxmlformats.org/officeDocument/2006/relationships" rot="180" type="circularArrow" r:blip="" zOrderOff="16">
                <dgm:adjLst/>
              </dgm:shape>
            </dgm:if>
            <dgm:else name="Name49">
              <dgm:shape xmlns:r="http://schemas.openxmlformats.org/officeDocument/2006/relationships" type="leftCircularArrow" r:blip="" zOrderOff="16">
                <dgm:adjLst/>
              </dgm:shape>
            </dgm:else>
          </dgm:choose>
          <dgm:presOf/>
          <dgm:constrLst/>
          <dgm:ruleLst/>
        </dgm:layoutNode>
      </dgm:if>
      <dgm:else name="Name50"/>
    </dgm:choose>
  </dgm:layoutNode>
</dgm:layoutDef>
</file>

<file path=xl/diagrams/layout2.xml><?xml version="1.0" encoding="utf-8"?>
<dgm:layoutDef xmlns:dgm="http://schemas.openxmlformats.org/drawingml/2006/diagram" xmlns:a="http://schemas.openxmlformats.org/drawingml/2006/main" uniqueId="urn:microsoft.com/office/officeart/2011/layout/ConvergingText">
  <dgm:title val="Converging Text"/>
  <dgm:desc val="Use to show multiple steps or parts that merge into a whole. Limited to one Level 1 shape that contains text and a maximum of five Level 2 shapes."/>
  <dgm:catLst>
    <dgm:cat type="process" pri="6500"/>
    <dgm:cat type="officeonline" pri="5000"/>
  </dgm:catLst>
  <dgm:sampData>
    <dgm:dataModel>
      <dgm:ptLst>
        <dgm:pt modelId="0" type="doc"/>
        <dgm:pt modelId="10">
          <dgm:prSet phldr="1"/>
        </dgm:pt>
        <dgm:pt modelId="11">
          <dgm:prSet phldr="1"/>
        </dgm:pt>
        <dgm:pt modelId="12">
          <dgm:prSet phldr="1"/>
        </dgm:pt>
        <dgm:pt modelId="13">
          <dgm:prSet phldr="1"/>
        </dgm:pt>
      </dgm:ptLst>
      <dgm:cxnLst>
        <dgm:cxn modelId="1" srcId="0" destId="10" srcOrd="0" destOrd="0"/>
        <dgm:cxn modelId="2" srcId="10" destId="11" srcOrd="0" destOrd="0"/>
        <dgm:cxn modelId="3" srcId="10" destId="12" srcOrd="1" destOrd="0"/>
        <dgm:cxn modelId="4" srcId="10" destId="13" srcOrd="2" destOrd="0"/>
      </dgm:cxnLst>
      <dgm:bg/>
      <dgm:whole/>
    </dgm:dataModel>
  </dgm:sampData>
  <dgm:styleData>
    <dgm:dataModel>
      <dgm:ptLst>
        <dgm:pt modelId="0" type="doc"/>
        <dgm:pt modelId="10">
          <dgm:prSet phldr="1"/>
        </dgm:pt>
        <dgm:pt modelId="11">
          <dgm:prSet phldr="1"/>
        </dgm:pt>
        <dgm:pt modelId="12">
          <dgm:prSet phldr="1"/>
        </dgm:pt>
        <dgm:pt modelId="13">
          <dgm:prSet phldr="1"/>
        </dgm:pt>
      </dgm:ptLst>
      <dgm:cxnLst>
        <dgm:cxn modelId="1" srcId="0" destId="10" srcOrd="0" destOrd="0"/>
        <dgm:cxn modelId="2" srcId="10" destId="11" srcOrd="0" destOrd="0"/>
        <dgm:cxn modelId="3" srcId="10" destId="12" srcOrd="1" destOrd="0"/>
        <dgm:cxn modelId="4" srcId="10" destId="13" srcOrd="2" destOrd="0"/>
      </dgm:cxnLst>
      <dgm:bg/>
      <dgm:whole/>
    </dgm:dataModel>
  </dgm:styleData>
  <dgm:clrData>
    <dgm:dataModel>
      <dgm:ptLst>
        <dgm:pt modelId="0" type="doc"/>
        <dgm:pt modelId="10">
          <dgm:prSet phldr="1"/>
        </dgm:pt>
        <dgm:pt modelId="11">
          <dgm:prSet phldr="1"/>
        </dgm:pt>
        <dgm:pt modelId="12">
          <dgm:prSet phldr="1"/>
        </dgm:pt>
        <dgm:pt modelId="13">
          <dgm:prSet phldr="1"/>
        </dgm:pt>
      </dgm:ptLst>
      <dgm:cxnLst>
        <dgm:cxn modelId="1" srcId="0" destId="10" srcOrd="0" destOrd="0"/>
        <dgm:cxn modelId="2" srcId="10" destId="11" srcOrd="0" destOrd="0"/>
        <dgm:cxn modelId="3" srcId="10" destId="12" srcOrd="1" destOrd="0"/>
        <dgm:cxn modelId="4" srcId="10" destId="13" srcOrd="2" destOrd="0"/>
      </dgm:cxnLst>
      <dgm:bg/>
      <dgm:whole/>
    </dgm:dataModel>
  </dgm:clrData>
  <dgm:layoutNode name="Name0">
    <dgm:varLst>
      <dgm:chMax/>
      <dgm:chPref val="1"/>
      <dgm:dir/>
      <dgm:animOne val="branch"/>
      <dgm:animLvl val="lvl"/>
      <dgm:resizeHandles/>
    </dgm:varLst>
    <dgm:choose name="Name1">
      <dgm:if name="Name2" func="var" arg="dir" op="equ" val="norm">
        <dgm:alg type="lin">
          <dgm:param type="linDir" val="fromL"/>
          <dgm:param type="vertAlign" val="mid"/>
          <dgm:param type="nodeVertAlign" val="mid"/>
          <dgm:param type="horzAlign" val="ctr"/>
        </dgm:alg>
      </dgm:if>
      <dgm:else name="Name3">
        <dgm:alg type="lin">
          <dgm:param type="linDir" val="fromR"/>
          <dgm:param type="vertAlign" val="mid"/>
          <dgm:param type="nodeVertAlign" val="mid"/>
          <dgm:param type="horzAlign" val="ctr"/>
        </dgm:alg>
      </dgm:else>
    </dgm:choose>
    <dgm:shape xmlns:r="http://schemas.openxmlformats.org/officeDocument/2006/relationships" r:blip="">
      <dgm:adjLst/>
    </dgm:shape>
    <dgm:constrLst>
      <dgm:constr type="primFontSz" for="des" forName="Parent" op="equ" val="65"/>
      <dgm:constr type="primFontSz" for="des" forName="Child1" op="equ" val="65"/>
      <dgm:constr type="primFontSz" for="des" forName="Child2" refType="primFontSz" refFor="des" refForName="Child1" op="equ"/>
      <dgm:constr type="primFontSz" for="des" forName="Child3" refType="primFontSz" refFor="des" refForName="Child1" op="equ"/>
      <dgm:constr type="primFontSz" for="des" forName="Child4" refType="primFontSz" refFor="des" refForName="Child1" op="equ"/>
      <dgm:constr type="primFontSz" for="des" forName="Child5" refType="primFontSz" refFor="des" refForName="Child1" op="equ"/>
      <dgm:constr type="primFontSz" for="des" forName="Child1" refType="primFontSz" refFor="des" refForName="Parent" op="lte"/>
      <dgm:constr type="primFontSz" for="des" forName="Child2" refType="primFontSz" refFor="des" refForName="Parent" op="lte"/>
      <dgm:constr type="primFontSz" for="des" forName="Child3" refType="primFontSz" refFor="des" refForName="Parent" op="lte"/>
      <dgm:constr type="primFontSz" for="des" forName="Child4" refType="primFontSz" refFor="des" refForName="Parent" op="lte"/>
      <dgm:constr type="primFontSz" for="des" forName="Child5" refType="primFontSz" refFor="des" refForName="Parent" op="lte"/>
      <dgm:constr type="w" for="ch" forName="composite" refType="w"/>
      <dgm:constr type="h" for="ch" forName="composite" refType="h"/>
      <dgm:constr type="sp" refType="w" refFor="ch" refForName="composite" op="equ" fact="0.05"/>
      <dgm:constr type="w" for="ch" forName="sibTrans" refType="w" refFor="ch" refForName="composite" op="equ" fact="0.05"/>
      <dgm:constr type="h" for="ch" forName="sibTrans" refType="w" refFor="ch" refForName="sibTrans" op="equ"/>
    </dgm:constrLst>
    <dgm:forEach name="nodesForEach" axis="ch" ptType="node">
      <dgm:layoutNode name="composite">
        <dgm:choose name="Name4">
          <dgm:if name="Name5" func="var" arg="dir" op="equ" val="norm">
            <dgm:choose name="Name6">
              <dgm:if name="Name7" axis="ch" ptType="node" func="cnt" op="equ" val="0">
                <dgm:alg type="composite">
                  <dgm:param type="ar" val="2.1059"/>
                </dgm:alg>
                <dgm:constrLst>
                  <dgm:constr type="l" for="ch" forName="Parent" refType="w" fact="0"/>
                  <dgm:constr type="t" for="ch" forName="Parent" refType="h" fact="0"/>
                  <dgm:constr type="w" for="ch" forName="Parent" refType="w" fact="0.4749"/>
                  <dgm:constr type="h" for="ch" forName="Parent" refType="h"/>
                  <dgm:constr type="l" for="ch" forName="ParentAccent1" refType="w" fact="0.9531"/>
                  <dgm:constr type="t" for="ch" forName="ParentAccent1" refType="h" fact="0.4506"/>
                  <dgm:constr type="w" for="ch" forName="ParentAccent1" refType="w" fact="0.0469"/>
                  <dgm:constr type="h" for="ch" forName="ParentAccent1" refType="h" fact="0.0988"/>
                  <dgm:constr type="l" for="ch" forName="ParentAccent2" refType="w" fact="0.8734"/>
                  <dgm:constr type="t" for="ch" forName="ParentAccent2" refType="h" fact="0.4506"/>
                  <dgm:constr type="w" for="ch" forName="ParentAccent2" refType="w" fact="0.0469"/>
                  <dgm:constr type="h" for="ch" forName="ParentAccent2" refType="h" fact="0.0988"/>
                  <dgm:constr type="l" for="ch" forName="ParentAccent3" refType="w" fact="0.7937"/>
                  <dgm:constr type="t" for="ch" forName="ParentAccent3" refType="h" fact="0.4506"/>
                  <dgm:constr type="w" for="ch" forName="ParentAccent3" refType="w" fact="0.0469"/>
                  <dgm:constr type="h" for="ch" forName="ParentAccent3" refType="h" fact="0.0988"/>
                  <dgm:constr type="l" for="ch" forName="ParentAccent4" refType="w" fact="0.714"/>
                  <dgm:constr type="t" for="ch" forName="ParentAccent4" refType="h" fact="0.4506"/>
                  <dgm:constr type="w" for="ch" forName="ParentAccent4" refType="w" fact="0.0469"/>
                  <dgm:constr type="h" for="ch" forName="ParentAccent4" refType="h" fact="0.0988"/>
                  <dgm:constr type="l" for="ch" forName="ParentAccent5" refType="w" fact="0.6343"/>
                  <dgm:constr type="t" for="ch" forName="ParentAccent5" refType="h" fact="0.4506"/>
                  <dgm:constr type="w" for="ch" forName="ParentAccent5" refType="w" fact="0.0469"/>
                  <dgm:constr type="h" for="ch" forName="ParentAccent5" refType="h" fact="0.0988"/>
                  <dgm:constr type="l" for="ch" forName="ParentAccent6" refType="w" fact="0.5076"/>
                  <dgm:constr type="t" for="ch" forName="ParentAccent6" refType="h" fact="0.4012"/>
                  <dgm:constr type="w" for="ch" forName="ParentAccent6" refType="w" fact="0.0939"/>
                  <dgm:constr type="h" for="ch" forName="ParentAccent6" refType="h" fact="0.1976"/>
                  <dgm:constr type="l" for="ch" forName="ParentAccent7" refType="w" fact="0.8766"/>
                  <dgm:constr type="t" for="ch" forName="ParentAccent7" refType="h" fact="0.2465"/>
                  <dgm:constr type="w" for="ch" forName="ParentAccent7" refType="w" fact="0.0469"/>
                  <dgm:constr type="h" for="ch" forName="ParentAccent7" refType="h" fact="0.0988"/>
                  <dgm:constr type="l" for="ch" forName="ParentAccent8" refType="w" fact="0.8766"/>
                  <dgm:constr type="t" for="ch" forName="ParentAccent8" refType="h" fact="0.6562"/>
                  <dgm:constr type="w" for="ch" forName="ParentAccent8" refType="w" fact="0.0469"/>
                  <dgm:constr type="h" for="ch" forName="ParentAccent8" refType="h" fact="0.0988"/>
                  <dgm:constr type="l" for="ch" forName="ParentAccent9" refType="w" fact="0.9185"/>
                  <dgm:constr type="t" for="ch" forName="ParentAccent9" refType="h" fact="0.3353"/>
                  <dgm:constr type="w" for="ch" forName="ParentAccent9" refType="w" fact="0.0469"/>
                  <dgm:constr type="h" for="ch" forName="ParentAccent9" refType="h" fact="0.0988"/>
                  <dgm:constr type="l" for="ch" forName="ParentAccent10" refType="w" fact="0.9213"/>
                  <dgm:constr type="t" for="ch" forName="ParentAccent10" refType="h" fact="0.5679"/>
                  <dgm:constr type="w" for="ch" forName="ParentAccent10" refType="w" fact="0.0469"/>
                  <dgm:constr type="h" for="ch" forName="ParentAccent10" refType="h" fact="0.0988"/>
                </dgm:constrLst>
              </dgm:if>
              <dgm:if name="Name8" axis="ch" ptType="node" func="cnt" op="equ" val="1">
                <dgm:alg type="composite">
                  <dgm:param type="ar" val="3.4411"/>
                </dgm:alg>
                <dgm:constrLst>
                  <dgm:constr type="l" for="ch" forName="Child1Accent1" refType="w" fact="0.284"/>
                  <dgm:constr type="t" for="ch" forName="Child1Accent1" refType="h" fact="0.4012"/>
                  <dgm:constr type="w" for="ch" forName="Child1Accent1" refType="w" fact="0.0574"/>
                  <dgm:constr type="h" for="ch" forName="Child1Accent1" refType="h" fact="0.1976"/>
                  <dgm:constr type="l" for="ch" forName="Child1Accent2" refType="w" fact="0.2272"/>
                  <dgm:constr type="t" for="ch" forName="Child1Accent2" refType="h" fact="0.4506"/>
                  <dgm:constr type="w" for="ch" forName="Child1Accent2" refType="w" fact="0.0287"/>
                  <dgm:constr type="h" for="ch" forName="Child1Accent2" refType="h" fact="0.0988"/>
                  <dgm:constr type="l" for="ch" forName="Child1Accent3" refType="w" fact="0.1705"/>
                  <dgm:constr type="t" for="ch" forName="Child1Accent3" refType="h" fact="0.4506"/>
                  <dgm:constr type="w" for="ch" forName="Child1Accent3" refType="w" fact="0.0287"/>
                  <dgm:constr type="h" for="ch" forName="Child1Accent3" refType="h" fact="0.0988"/>
                  <dgm:constr type="l" for="ch" forName="Child1Accent4" refType="w" fact="0.1137"/>
                  <dgm:constr type="t" for="ch" forName="Child1Accent4" refType="h" fact="0.4506"/>
                  <dgm:constr type="w" for="ch" forName="Child1Accent4" refType="w" fact="0.0287"/>
                  <dgm:constr type="h" for="ch" forName="Child1Accent4" refType="h" fact="0.0988"/>
                  <dgm:constr type="l" for="ch" forName="Child1Accent5" refType="w" fact="0.057"/>
                  <dgm:constr type="t" for="ch" forName="Child1Accent5" refType="h" fact="0.4506"/>
                  <dgm:constr type="w" for="ch" forName="Child1Accent5" refType="w" fact="0.0287"/>
                  <dgm:constr type="h" for="ch" forName="Child1Accent5" refType="h" fact="0.0988"/>
                  <dgm:constr type="l" for="ch" forName="Child1Accent6" refType="w" fact="0.0002"/>
                  <dgm:constr type="t" for="ch" forName="Child1Accent6" refType="h" fact="0.4506"/>
                  <dgm:constr type="w" for="ch" forName="Child1Accent6" refType="w" fact="0.0287"/>
                  <dgm:constr type="h" for="ch" forName="Child1Accent6" refType="h" fact="0.0988"/>
                  <dgm:constr type="l" for="ch" forName="Child1Accent7" refType="w" fact="0"/>
                  <dgm:constr type="t" for="ch" forName="Child1Accent7" refType="h" fact="0"/>
                  <dgm:constr type="w" for="ch" forName="Child1Accent7" refType="w" fact="0"/>
                  <dgm:constr type="h" for="ch" forName="Child1Accent7" refType="h" fact="0"/>
                  <dgm:constr type="l" for="ch" forName="Child1Accent8" refType="w" fact="0"/>
                  <dgm:constr type="t" for="ch" forName="Child1Accent8" refType="h" fact="0"/>
                  <dgm:constr type="w" for="ch" forName="Child1Accent8" refType="w" fact="0"/>
                  <dgm:constr type="h" for="ch" forName="Child1Accent8" refType="h" fact="0"/>
                  <dgm:constr type="l" for="ch" forName="Child1Accent9" refType="w" fact="0"/>
                  <dgm:constr type="t" for="ch" forName="Child1Accent9" refType="h" fact="0"/>
                  <dgm:constr type="w" for="ch" forName="Child1Accent9" refType="w" fact="0"/>
                  <dgm:constr type="h" for="ch" forName="Child1Accent9" refType="h" fact="0"/>
                  <dgm:constr type="l" for="ch" forName="ParentAccent1" refType="w" fact="0.9713"/>
                  <dgm:constr type="t" for="ch" forName="ParentAccent1" refType="h" fact="0.4506"/>
                  <dgm:constr type="w" for="ch" forName="ParentAccent1" refType="w" fact="0.0287"/>
                  <dgm:constr type="h" for="ch" forName="ParentAccent1" refType="h" fact="0.0988"/>
                  <dgm:constr type="l" for="ch" forName="ParentAccent2" refType="w" fact="0.9187"/>
                  <dgm:constr type="t" for="ch" forName="ParentAccent2" refType="h" fact="0.4506"/>
                  <dgm:constr type="w" for="ch" forName="ParentAccent2" refType="w" fact="0.0287"/>
                  <dgm:constr type="h" for="ch" forName="ParentAccent2" refType="h" fact="0.0988"/>
                  <dgm:constr type="l" for="ch" forName="ParentAccent3" refType="w" fact="0.8661"/>
                  <dgm:constr type="t" for="ch" forName="ParentAccent3" refType="h" fact="0.4506"/>
                  <dgm:constr type="w" for="ch" forName="ParentAccent3" refType="w" fact="0.0287"/>
                  <dgm:constr type="h" for="ch" forName="ParentAccent3" refType="h" fact="0.0988"/>
                  <dgm:constr type="l" for="ch" forName="ParentAccent4" refType="w" fact="0.8136"/>
                  <dgm:constr type="t" for="ch" forName="ParentAccent4" refType="h" fact="0.4506"/>
                  <dgm:constr type="w" for="ch" forName="ParentAccent4" refType="w" fact="0.0287"/>
                  <dgm:constr type="h" for="ch" forName="ParentAccent4" refType="h" fact="0.0988"/>
                  <dgm:constr type="l" for="ch" forName="ParentAccent5" refType="w" fact="0.761"/>
                  <dgm:constr type="t" for="ch" forName="ParentAccent5" refType="h" fact="0.4506"/>
                  <dgm:constr type="w" for="ch" forName="ParentAccent5" refType="w" fact="0.0287"/>
                  <dgm:constr type="h" for="ch" forName="ParentAccent5" refType="h" fact="0.0988"/>
                  <dgm:constr type="l" for="ch" forName="ParentAccent6" refType="w" fact="0.6797"/>
                  <dgm:constr type="t" for="ch" forName="ParentAccent6" refType="h" fact="0.4012"/>
                  <dgm:constr type="w" for="ch" forName="ParentAccent6" refType="w" fact="0.0574"/>
                  <dgm:constr type="h" for="ch" forName="ParentAccent6" refType="h" fact="0.1976"/>
                  <dgm:constr type="l" for="ch" forName="ParentAccent7" refType="w" fact="0.9245"/>
                  <dgm:constr type="t" for="ch" forName="ParentAccent7" refType="h" fact="0.2465"/>
                  <dgm:constr type="w" for="ch" forName="ParentAccent7" refType="w" fact="0.0287"/>
                  <dgm:constr type="h" for="ch" forName="ParentAccent7" refType="h" fact="0.0988"/>
                  <dgm:constr type="l" for="ch" forName="ParentAccent8" refType="w" fact="0.9245"/>
                  <dgm:constr type="t" for="ch" forName="ParentAccent8" refType="h" fact="0.6562"/>
                  <dgm:constr type="w" for="ch" forName="ParentAccent8" refType="w" fact="0.0287"/>
                  <dgm:constr type="h" for="ch" forName="ParentAccent8" refType="h" fact="0.0988"/>
                  <dgm:constr type="l" for="ch" forName="ParentAccent9" refType="w" fact="0.9501"/>
                  <dgm:constr type="t" for="ch" forName="ParentAccent9" refType="h" fact="0.3353"/>
                  <dgm:constr type="w" for="ch" forName="ParentAccent9" refType="w" fact="0.0287"/>
                  <dgm:constr type="h" for="ch" forName="ParentAccent9" refType="h" fact="0.0988"/>
                  <dgm:constr type="l" for="ch" forName="ParentAccent10" refType="w" fact="0.9518"/>
                  <dgm:constr type="t" for="ch" forName="ParentAccent10" refType="h" fact="0.5679"/>
                  <dgm:constr type="w" for="ch" forName="ParentAccent10" refType="w" fact="0.0287"/>
                  <dgm:constr type="h" for="ch" forName="ParentAccent10" refType="h" fact="0.0988"/>
                  <dgm:constr type="l" for="ch" forName="Child1" refType="w" fact="0"/>
                  <dgm:constr type="t" for="ch" forName="Child1" refType="h" fact="0.1978"/>
                  <dgm:constr type="w" for="ch" forName="Child1" refType="w" fact="0.2544"/>
                  <dgm:constr type="h" for="ch" forName="Child1" refType="h" fact="0.2541"/>
                  <dgm:constr type="l" for="ch" forName="Parent" refType="w" fact="0.3653"/>
                  <dgm:constr type="t" for="ch" forName="Parent" refType="h" fact="0"/>
                  <dgm:constr type="w" for="ch" forName="Parent" refType="w" fact="0.2906"/>
                  <dgm:constr type="h" for="ch" forName="Parent" refType="h"/>
                </dgm:constrLst>
              </dgm:if>
              <dgm:if name="Name9" axis="ch" ptType="node" func="cnt" op="equ" val="2">
                <dgm:alg type="composite">
                  <dgm:param type="ar" val="2.1185"/>
                </dgm:alg>
                <dgm:constrLst>
                  <dgm:constr type="l" for="ch" forName="Child1Accent1" refType="w" fact="0.3436"/>
                  <dgm:constr type="t" for="ch" forName="Child1Accent1" refType="h" fact="0.2211"/>
                  <dgm:constr type="w" for="ch" forName="Child1Accent1" refType="w" fact="0.0574"/>
                  <dgm:constr type="h" for="ch" forName="Child1Accent1" refType="h" fact="0.1217"/>
                  <dgm:constr type="l" for="ch" forName="Child1Accent2" refType="w" fact="0.3068"/>
                  <dgm:constr type="t" for="ch" forName="Child1Accent2" refType="h" fact="0.1569"/>
                  <dgm:constr type="w" for="ch" forName="Child1Accent2" refType="w" fact="0.0287"/>
                  <dgm:constr type="h" for="ch" forName="Child1Accent2" refType="h" fact="0.0608"/>
                  <dgm:constr type="l" for="ch" forName="Child1Accent3" refType="w" fact="0.2455"/>
                  <dgm:constr type="t" for="ch" forName="Child1Accent3" refType="h" fact="0.1569"/>
                  <dgm:constr type="w" for="ch" forName="Child1Accent3" refType="w" fact="0.0287"/>
                  <dgm:constr type="h" for="ch" forName="Child1Accent3" refType="h" fact="0.0608"/>
                  <dgm:constr type="l" for="ch" forName="Child1Accent4" refType="w" fact="0.1842"/>
                  <dgm:constr type="t" for="ch" forName="Child1Accent4" refType="h" fact="0.1569"/>
                  <dgm:constr type="w" for="ch" forName="Child1Accent4" refType="w" fact="0.0287"/>
                  <dgm:constr type="h" for="ch" forName="Child1Accent4" refType="h" fact="0.0608"/>
                  <dgm:constr type="l" for="ch" forName="Child1Accent5" refType="w" fact="0.1229"/>
                  <dgm:constr type="t" for="ch" forName="Child1Accent5" refType="h" fact="0.1569"/>
                  <dgm:constr type="w" for="ch" forName="Child1Accent5" refType="w" fact="0.0287"/>
                  <dgm:constr type="h" for="ch" forName="Child1Accent5" refType="h" fact="0.0608"/>
                  <dgm:constr type="l" for="ch" forName="Child1Accent6" refType="w" fact="0.0615"/>
                  <dgm:constr type="t" for="ch" forName="Child1Accent6" refType="h" fact="0.1569"/>
                  <dgm:constr type="w" for="ch" forName="Child1Accent6" refType="w" fact="0.0287"/>
                  <dgm:constr type="h" for="ch" forName="Child1Accent6" refType="h" fact="0.0608"/>
                  <dgm:constr type="l" for="ch" forName="Child1Accent7" refType="w" fact="0.0002"/>
                  <dgm:constr type="t" for="ch" forName="Child1Accent7" refType="h" fact="0.1569"/>
                  <dgm:constr type="w" for="ch" forName="Child1Accent7" refType="w" fact="0.0287"/>
                  <dgm:constr type="h" for="ch" forName="Child1Accent7" refType="h" fact="0.0608"/>
                  <dgm:constr type="l" for="ch" forName="Child1Accent8" refType="w" fact="0"/>
                  <dgm:constr type="t" for="ch" forName="Child1Accent8" refType="h" fact="0"/>
                  <dgm:constr type="w" for="ch" forName="Child1Accent8" refType="w" fact="0"/>
                  <dgm:constr type="h" for="ch" forName="Child1Accent8" refType="h" fact="0"/>
                  <dgm:constr type="l" for="ch" forName="Child1Accent9" refType="w" fact="0"/>
                  <dgm:constr type="t" for="ch" forName="Child1Accent9" refType="h" fact="0"/>
                  <dgm:constr type="w" for="ch" forName="Child1Accent9" refType="w" fact="0"/>
                  <dgm:constr type="h" for="ch" forName="Child1Accent9" refType="h" fact="0"/>
                  <dgm:constr type="l" for="ch" forName="Child2Accent1" refType="w" fact="0.3436"/>
                  <dgm:constr type="t" for="ch" forName="Child2Accent1" refType="h" fact="0.8153"/>
                  <dgm:constr type="w" for="ch" forName="Child2Accent1" refType="w" fact="0.0574"/>
                  <dgm:constr type="h" for="ch" forName="Child2Accent1" refType="h" fact="0.1217"/>
                  <dgm:constr type="l" for="ch" forName="Child2Accent2" refType="w" fact="0.3068"/>
                  <dgm:constr type="t" for="ch" forName="Child2Accent2" refType="h" fact="0.9392"/>
                  <dgm:constr type="w" for="ch" forName="Child2Accent2" refType="w" fact="0.0287"/>
                  <dgm:constr type="h" for="ch" forName="Child2Accent2" refType="h" fact="0.0608"/>
                  <dgm:constr type="l" for="ch" forName="Child2Accent3" refType="w" fact="0.2455"/>
                  <dgm:constr type="t" for="ch" forName="Child2Accent3" refType="h" fact="0.9392"/>
                  <dgm:constr type="w" for="ch" forName="Child2Accent3" refType="w" fact="0.0287"/>
                  <dgm:constr type="h" for="ch" forName="Child2Accent3" refType="h" fact="0.0608"/>
                  <dgm:constr type="l" for="ch" forName="Child2Accent4" refType="w" fact="0.1842"/>
                  <dgm:constr type="t" for="ch" forName="Child2Accent4" refType="h" fact="0.9392"/>
                  <dgm:constr type="w" for="ch" forName="Child2Accent4" refType="w" fact="0.0287"/>
                  <dgm:constr type="h" for="ch" forName="Child2Accent4" refType="h" fact="0.0608"/>
                  <dgm:constr type="l" for="ch" forName="Child2Accent5" refType="w" fact="0.1229"/>
                  <dgm:constr type="t" for="ch" forName="Child2Accent5" refType="h" fact="0.9392"/>
                  <dgm:constr type="w" for="ch" forName="Child2Accent5" refType="w" fact="0.0287"/>
                  <dgm:constr type="h" for="ch" forName="Child2Accent5" refType="h" fact="0.0608"/>
                  <dgm:constr type="l" for="ch" forName="Child2Accent6" refType="w" fact="0.0615"/>
                  <dgm:constr type="t" for="ch" forName="Child2Accent6" refType="h" fact="0.9392"/>
                  <dgm:constr type="w" for="ch" forName="Child2Accent6" refType="w" fact="0.0287"/>
                  <dgm:constr type="h" for="ch" forName="Child2Accent6" refType="h" fact="0.0608"/>
                  <dgm:constr type="l" for="ch" forName="Child2Accent7" refType="w" fact="0.0002"/>
                  <dgm:constr type="t" for="ch" forName="Child2Accent7" refType="h" fact="0.9392"/>
                  <dgm:constr type="w" for="ch" forName="Child2Accent7" refType="w" fact="0.0287"/>
                  <dgm:constr type="h" for="ch" forName="Child2Accent7" refType="h" fact="0.0608"/>
                  <dgm:constr type="l" for="ch" forName="ParentAccent1" refType="w" fact="0.9713"/>
                  <dgm:constr type="t" for="ch" forName="ParentAccent1" refType="h" fact="0.5511"/>
                  <dgm:constr type="w" for="ch" forName="ParentAccent1" refType="w" fact="0.0287"/>
                  <dgm:constr type="h" for="ch" forName="ParentAccent1" refType="h" fact="0.0608"/>
                  <dgm:constr type="l" for="ch" forName="ParentAccent2" refType="w" fact="0.9187"/>
                  <dgm:constr type="t" for="ch" forName="ParentAccent2" refType="h" fact="0.5511"/>
                  <dgm:constr type="w" for="ch" forName="ParentAccent2" refType="w" fact="0.0287"/>
                  <dgm:constr type="h" for="ch" forName="ParentAccent2" refType="h" fact="0.0608"/>
                  <dgm:constr type="l" for="ch" forName="ParentAccent3" refType="w" fact="0.8661"/>
                  <dgm:constr type="t" for="ch" forName="ParentAccent3" refType="h" fact="0.5511"/>
                  <dgm:constr type="w" for="ch" forName="ParentAccent3" refType="w" fact="0.0287"/>
                  <dgm:constr type="h" for="ch" forName="ParentAccent3" refType="h" fact="0.0608"/>
                  <dgm:constr type="l" for="ch" forName="ParentAccent4" refType="w" fact="0.8136"/>
                  <dgm:constr type="t" for="ch" forName="ParentAccent4" refType="h" fact="0.5511"/>
                  <dgm:constr type="w" for="ch" forName="ParentAccent4" refType="w" fact="0.0287"/>
                  <dgm:constr type="h" for="ch" forName="ParentAccent4" refType="h" fact="0.0608"/>
                  <dgm:constr type="l" for="ch" forName="ParentAccent5" refType="w" fact="0.761"/>
                  <dgm:constr type="t" for="ch" forName="ParentAccent5" refType="h" fact="0.5511"/>
                  <dgm:constr type="w" for="ch" forName="ParentAccent5" refType="w" fact="0.0287"/>
                  <dgm:constr type="h" for="ch" forName="ParentAccent5" refType="h" fact="0.0608"/>
                  <dgm:constr type="l" for="ch" forName="ParentAccent6" refType="w" fact="0.6797"/>
                  <dgm:constr type="t" for="ch" forName="ParentAccent6" refType="h" fact="0.5207"/>
                  <dgm:constr type="w" for="ch" forName="ParentAccent6" refType="w" fact="0.0574"/>
                  <dgm:constr type="h" for="ch" forName="ParentAccent6" refType="h" fact="0.1217"/>
                  <dgm:constr type="l" for="ch" forName="ParentAccent7" refType="w" fact="0.9245"/>
                  <dgm:constr type="t" for="ch" forName="ParentAccent7" refType="h" fact="0.4255"/>
                  <dgm:constr type="w" for="ch" forName="ParentAccent7" refType="w" fact="0.0287"/>
                  <dgm:constr type="h" for="ch" forName="ParentAccent7" refType="h" fact="0.0608"/>
                  <dgm:constr type="l" for="ch" forName="ParentAccent8" refType="w" fact="0.9245"/>
                  <dgm:constr type="t" for="ch" forName="ParentAccent8" refType="h" fact="0.6776"/>
                  <dgm:constr type="w" for="ch" forName="ParentAccent8" refType="w" fact="0.0287"/>
                  <dgm:constr type="h" for="ch" forName="ParentAccent8" refType="h" fact="0.0608"/>
                  <dgm:constr type="l" for="ch" forName="ParentAccent9" refType="w" fact="0.9501"/>
                  <dgm:constr type="t" for="ch" forName="ParentAccent9" refType="h" fact="0.4801"/>
                  <dgm:constr type="w" for="ch" forName="ParentAccent9" refType="w" fact="0.0287"/>
                  <dgm:constr type="h" for="ch" forName="ParentAccent9" refType="h" fact="0.0608"/>
                  <dgm:constr type="l" for="ch" forName="ParentAccent10" refType="w" fact="0.9518"/>
                  <dgm:constr type="t" for="ch" forName="ParentAccent10" refType="h" fact="0.6233"/>
                  <dgm:constr type="w" for="ch" forName="ParentAccent10" refType="w" fact="0.0287"/>
                  <dgm:constr type="h" for="ch" forName="ParentAccent10" refType="h" fact="0.0608"/>
                  <dgm:constr type="l" for="ch" forName="Child2" refType="w" fact="0"/>
                  <dgm:constr type="t" for="ch" forName="Child2" refType="h" fact="0.7822"/>
                  <dgm:constr type="w" for="ch" forName="Child2" refType="w" fact="0.3364"/>
                  <dgm:constr type="h" for="ch" forName="Child2" refType="h" fact="0.1564"/>
                  <dgm:constr type="l" for="ch" forName="Child1" refType="w" fact="0"/>
                  <dgm:constr type="t" for="ch" forName="Child1" refType="h" fact="0"/>
                  <dgm:constr type="w" for="ch" forName="Child1" refType="w" fact="0.3364"/>
                  <dgm:constr type="h" for="ch" forName="Child1" refType="h" fact="0.1564"/>
                  <dgm:constr type="l" for="ch" forName="Parent" refType="w" fact="0.3653"/>
                  <dgm:constr type="t" for="ch" forName="Parent" refType="h" fact="0.2737"/>
                  <dgm:constr type="w" for="ch" forName="Parent" refType="w" fact="0.2906"/>
                  <dgm:constr type="h" for="ch" forName="Parent" refType="h" fact="0.6157"/>
                </dgm:constrLst>
              </dgm:if>
              <dgm:if name="Name10" axis="ch" ptType="node" func="cnt" op="equ" val="3">
                <dgm:alg type="composite">
                  <dgm:param type="ar" val="2.1185"/>
                </dgm:alg>
                <dgm:constrLst>
                  <dgm:constr type="l" for="ch" forName="Child1Accent1" refType="w" fact="0.3436"/>
                  <dgm:constr type="t" for="ch" forName="Child1Accent1" refType="h" fact="0.2211"/>
                  <dgm:constr type="w" for="ch" forName="Child1Accent1" refType="w" fact="0.0574"/>
                  <dgm:constr type="h" for="ch" forName="Child1Accent1" refType="h" fact="0.1217"/>
                  <dgm:constr type="l" for="ch" forName="Child1Accent2" refType="w" fact="0.3068"/>
                  <dgm:constr type="t" for="ch" forName="Child1Accent2" refType="h" fact="0.1569"/>
                  <dgm:constr type="w" for="ch" forName="Child1Accent2" refType="w" fact="0.0287"/>
                  <dgm:constr type="h" for="ch" forName="Child1Accent2" refType="h" fact="0.0608"/>
                  <dgm:constr type="l" for="ch" forName="Child1Accent3" refType="w" fact="0.2455"/>
                  <dgm:constr type="t" for="ch" forName="Child1Accent3" refType="h" fact="0.1569"/>
                  <dgm:constr type="w" for="ch" forName="Child1Accent3" refType="w" fact="0.0287"/>
                  <dgm:constr type="h" for="ch" forName="Child1Accent3" refType="h" fact="0.0608"/>
                  <dgm:constr type="l" for="ch" forName="Child1Accent4" refType="w" fact="0.1842"/>
                  <dgm:constr type="t" for="ch" forName="Child1Accent4" refType="h" fact="0.1569"/>
                  <dgm:constr type="w" for="ch" forName="Child1Accent4" refType="w" fact="0.0287"/>
                  <dgm:constr type="h" for="ch" forName="Child1Accent4" refType="h" fact="0.0608"/>
                  <dgm:constr type="l" for="ch" forName="Child1Accent5" refType="w" fact="0.1229"/>
                  <dgm:constr type="t" for="ch" forName="Child1Accent5" refType="h" fact="0.1569"/>
                  <dgm:constr type="w" for="ch" forName="Child1Accent5" refType="w" fact="0.0287"/>
                  <dgm:constr type="h" for="ch" forName="Child1Accent5" refType="h" fact="0.0608"/>
                  <dgm:constr type="l" for="ch" forName="Child2Accent1" refType="w" fact="0.284"/>
                  <dgm:constr type="t" for="ch" forName="Child2Accent1" refType="h" fact="0.5207"/>
                  <dgm:constr type="w" for="ch" forName="Child2Accent1" refType="w" fact="0.0574"/>
                  <dgm:constr type="h" for="ch" forName="Child2Accent1" refType="h" fact="0.1217"/>
                  <dgm:constr type="l" for="ch" forName="Child2Accent2" refType="w" fact="0.2272"/>
                  <dgm:constr type="t" for="ch" forName="Child2Accent2" refType="h" fact="0.5511"/>
                  <dgm:constr type="w" for="ch" forName="Child2Accent2" refType="w" fact="0.0287"/>
                  <dgm:constr type="h" for="ch" forName="Child2Accent2" refType="h" fact="0.0608"/>
                  <dgm:constr type="l" for="ch" forName="Child2Accent3" refType="w" fact="0.1705"/>
                  <dgm:constr type="t" for="ch" forName="Child2Accent3" refType="h" fact="0.5511"/>
                  <dgm:constr type="w" for="ch" forName="Child2Accent3" refType="w" fact="0.0287"/>
                  <dgm:constr type="h" for="ch" forName="Child2Accent3" refType="h" fact="0.0608"/>
                  <dgm:constr type="l" for="ch" forName="Child2Accent4" refType="w" fact="0.1137"/>
                  <dgm:constr type="t" for="ch" forName="Child2Accent4" refType="h" fact="0.5511"/>
                  <dgm:constr type="w" for="ch" forName="Child2Accent4" refType="w" fact="0.0287"/>
                  <dgm:constr type="h" for="ch" forName="Child2Accent4" refType="h" fact="0.0608"/>
                  <dgm:constr type="l" for="ch" forName="Child1Accent6" refType="w" fact="0.0615"/>
                  <dgm:constr type="t" for="ch" forName="Child1Accent6" refType="h" fact="0.1569"/>
                  <dgm:constr type="w" for="ch" forName="Child1Accent6" refType="w" fact="0.0287"/>
                  <dgm:constr type="h" for="ch" forName="Child1Accent6" refType="h" fact="0.0608"/>
                  <dgm:constr type="l" for="ch" forName="Child2Accent5" refType="w" fact="0.057"/>
                  <dgm:constr type="t" for="ch" forName="Child2Accent5" refType="h" fact="0.5511"/>
                  <dgm:constr type="w" for="ch" forName="Child2Accent5" refType="w" fact="0.0287"/>
                  <dgm:constr type="h" for="ch" forName="Child2Accent5" refType="h" fact="0.0608"/>
                  <dgm:constr type="l" for="ch" forName="Child1Accent7" refType="w" fact="0.0002"/>
                  <dgm:constr type="t" for="ch" forName="Child1Accent7" refType="h" fact="0.1569"/>
                  <dgm:constr type="w" for="ch" forName="Child1Accent7" refType="w" fact="0.0287"/>
                  <dgm:constr type="h" for="ch" forName="Child1Accent7" refType="h" fact="0.0608"/>
                  <dgm:constr type="l" for="ch" forName="Child1Accent8" refType="w" fact="0"/>
                  <dgm:constr type="t" for="ch" forName="Child1Accent8" refType="h" fact="0"/>
                  <dgm:constr type="w" for="ch" forName="Child1Accent8" refType="w" fact="0"/>
                  <dgm:constr type="h" for="ch" forName="Child1Accent8" refType="h" fact="0"/>
                  <dgm:constr type="l" for="ch" forName="Child1Accent9" refType="w" fact="0"/>
                  <dgm:constr type="t" for="ch" forName="Child1Accent9" refType="h" fact="0"/>
                  <dgm:constr type="w" for="ch" forName="Child1Accent9" refType="w" fact="0"/>
                  <dgm:constr type="h" for="ch" forName="Child1Accent9" refType="h" fact="0"/>
                  <dgm:constr type="l" for="ch" forName="Child2Accent6" refType="w" fact="0.0002"/>
                  <dgm:constr type="t" for="ch" forName="Child2Accent6" refType="h" fact="0.5511"/>
                  <dgm:constr type="w" for="ch" forName="Child2Accent6" refType="w" fact="0.0287"/>
                  <dgm:constr type="h" for="ch" forName="Child2Accent6" refType="h" fact="0.0608"/>
                  <dgm:constr type="l" for="ch" forName="Child2Accent7" refType="w" fact="0"/>
                  <dgm:constr type="t" for="ch" forName="Child2Accent7" refType="h" fact="0"/>
                  <dgm:constr type="w" for="ch" forName="Child2Accent7" refType="w" fact="0"/>
                  <dgm:constr type="h" for="ch" forName="Child2Accent7" refType="h" fact="0"/>
                  <dgm:constr type="l" for="ch" forName="Child3Accent1" refType="w" fact="0.3436"/>
                  <dgm:constr type="t" for="ch" forName="Child3Accent1" refType="h" fact="0.8153"/>
                  <dgm:constr type="w" for="ch" forName="Child3Accent1" refType="w" fact="0.0574"/>
                  <dgm:constr type="h" for="ch" forName="Child3Accent1" refType="h" fact="0.1217"/>
                  <dgm:constr type="l" for="ch" forName="Child3Accent2" refType="w" fact="0.3068"/>
                  <dgm:constr type="t" for="ch" forName="Child3Accent2" refType="h" fact="0.9392"/>
                  <dgm:constr type="w" for="ch" forName="Child3Accent2" refType="w" fact="0.0287"/>
                  <dgm:constr type="h" for="ch" forName="Child3Accent2" refType="h" fact="0.0608"/>
                  <dgm:constr type="l" for="ch" forName="Child3Accent3" refType="w" fact="0.2455"/>
                  <dgm:constr type="t" for="ch" forName="Child3Accent3" refType="h" fact="0.9392"/>
                  <dgm:constr type="w" for="ch" forName="Child3Accent3" refType="w" fact="0.0287"/>
                  <dgm:constr type="h" for="ch" forName="Child3Accent3" refType="h" fact="0.0608"/>
                  <dgm:constr type="l" for="ch" forName="Child3Accent4" refType="w" fact="0.1842"/>
                  <dgm:constr type="t" for="ch" forName="Child3Accent4" refType="h" fact="0.9392"/>
                  <dgm:constr type="w" for="ch" forName="Child3Accent4" refType="w" fact="0.0287"/>
                  <dgm:constr type="h" for="ch" forName="Child3Accent4" refType="h" fact="0.0608"/>
                  <dgm:constr type="l" for="ch" forName="Child3Accent5" refType="w" fact="0.1229"/>
                  <dgm:constr type="t" for="ch" forName="Child3Accent5" refType="h" fact="0.9392"/>
                  <dgm:constr type="w" for="ch" forName="Child3Accent5" refType="w" fact="0.0287"/>
                  <dgm:constr type="h" for="ch" forName="Child3Accent5" refType="h" fact="0.0608"/>
                  <dgm:constr type="l" for="ch" forName="Child3Accent6" refType="w" fact="0.0615"/>
                  <dgm:constr type="t" for="ch" forName="Child3Accent6" refType="h" fact="0.9392"/>
                  <dgm:constr type="w" for="ch" forName="Child3Accent6" refType="w" fact="0.0287"/>
                  <dgm:constr type="h" for="ch" forName="Child3Accent6" refType="h" fact="0.0608"/>
                  <dgm:constr type="l" for="ch" forName="Child3Accent7" refType="w" fact="0.0002"/>
                  <dgm:constr type="t" for="ch" forName="Child3Accent7" refType="h" fact="0.9392"/>
                  <dgm:constr type="w" for="ch" forName="Child3Accent7" refType="w" fact="0.0287"/>
                  <dgm:constr type="h" for="ch" forName="Child3Accent7" refType="h" fact="0.0608"/>
                  <dgm:constr type="l" for="ch" forName="ParentAccent1" refType="w" fact="0.9713"/>
                  <dgm:constr type="t" for="ch" forName="ParentAccent1" refType="h" fact="0.5511"/>
                  <dgm:constr type="w" for="ch" forName="ParentAccent1" refType="w" fact="0.0287"/>
                  <dgm:constr type="h" for="ch" forName="ParentAccent1" refType="h" fact="0.0608"/>
                  <dgm:constr type="l" for="ch" forName="ParentAccent2" refType="w" fact="0.9187"/>
                  <dgm:constr type="t" for="ch" forName="ParentAccent2" refType="h" fact="0.5511"/>
                  <dgm:constr type="w" for="ch" forName="ParentAccent2" refType="w" fact="0.0287"/>
                  <dgm:constr type="h" for="ch" forName="ParentAccent2" refType="h" fact="0.0608"/>
                  <dgm:constr type="l" for="ch" forName="ParentAccent3" refType="w" fact="0.8661"/>
                  <dgm:constr type="t" for="ch" forName="ParentAccent3" refType="h" fact="0.5511"/>
                  <dgm:constr type="w" for="ch" forName="ParentAccent3" refType="w" fact="0.0287"/>
                  <dgm:constr type="h" for="ch" forName="ParentAccent3" refType="h" fact="0.0608"/>
                  <dgm:constr type="l" for="ch" forName="ParentAccent4" refType="w" fact="0.8136"/>
                  <dgm:constr type="t" for="ch" forName="ParentAccent4" refType="h" fact="0.5511"/>
                  <dgm:constr type="w" for="ch" forName="ParentAccent4" refType="w" fact="0.0287"/>
                  <dgm:constr type="h" for="ch" forName="ParentAccent4" refType="h" fact="0.0608"/>
                  <dgm:constr type="l" for="ch" forName="ParentAccent5" refType="w" fact="0.761"/>
                  <dgm:constr type="t" for="ch" forName="ParentAccent5" refType="h" fact="0.5511"/>
                  <dgm:constr type="w" for="ch" forName="ParentAccent5" refType="w" fact="0.0287"/>
                  <dgm:constr type="h" for="ch" forName="ParentAccent5" refType="h" fact="0.0608"/>
                  <dgm:constr type="l" for="ch" forName="ParentAccent6" refType="w" fact="0.6797"/>
                  <dgm:constr type="t" for="ch" forName="ParentAccent6" refType="h" fact="0.5207"/>
                  <dgm:constr type="w" for="ch" forName="ParentAccent6" refType="w" fact="0.0574"/>
                  <dgm:constr type="h" for="ch" forName="ParentAccent6" refType="h" fact="0.1217"/>
                  <dgm:constr type="l" for="ch" forName="ParentAccent7" refType="w" fact="0.9245"/>
                  <dgm:constr type="t" for="ch" forName="ParentAccent7" refType="h" fact="0.4255"/>
                  <dgm:constr type="w" for="ch" forName="ParentAccent7" refType="w" fact="0.0287"/>
                  <dgm:constr type="h" for="ch" forName="ParentAccent7" refType="h" fact="0.0608"/>
                  <dgm:constr type="l" for="ch" forName="ParentAccent8" refType="w" fact="0.9245"/>
                  <dgm:constr type="t" for="ch" forName="ParentAccent8" refType="h" fact="0.6776"/>
                  <dgm:constr type="w" for="ch" forName="ParentAccent8" refType="w" fact="0.0287"/>
                  <dgm:constr type="h" for="ch" forName="ParentAccent8" refType="h" fact="0.0608"/>
                  <dgm:constr type="l" for="ch" forName="ParentAccent9" refType="w" fact="0.9501"/>
                  <dgm:constr type="t" for="ch" forName="ParentAccent9" refType="h" fact="0.4801"/>
                  <dgm:constr type="w" for="ch" forName="ParentAccent9" refType="w" fact="0.0287"/>
                  <dgm:constr type="h" for="ch" forName="ParentAccent9" refType="h" fact="0.0608"/>
                  <dgm:constr type="l" for="ch" forName="ParentAccent10" refType="w" fact="0.9518"/>
                  <dgm:constr type="t" for="ch" forName="ParentAccent10" refType="h" fact="0.6233"/>
                  <dgm:constr type="w" for="ch" forName="ParentAccent10" refType="w" fact="0.0287"/>
                  <dgm:constr type="h" for="ch" forName="ParentAccent10" refType="h" fact="0.0608"/>
                  <dgm:constr type="l" for="ch" forName="Child3" refType="w" fact="0"/>
                  <dgm:constr type="t" for="ch" forName="Child3" refType="h" fact="0.7822"/>
                  <dgm:constr type="w" for="ch" forName="Child3" refType="w" fact="0.3364"/>
                  <dgm:constr type="h" for="ch" forName="Child3" refType="h" fact="0.1564"/>
                  <dgm:constr type="l" for="ch" forName="Child2" refType="w" fact="0"/>
                  <dgm:constr type="t" for="ch" forName="Child2" refType="h" fact="0.3955"/>
                  <dgm:constr type="w" for="ch" forName="Child2" refType="w" fact="0.2544"/>
                  <dgm:constr type="h" for="ch" forName="Child2" refType="h" fact="0.1564"/>
                  <dgm:constr type="l" for="ch" forName="Child1" refType="w" fact="0"/>
                  <dgm:constr type="t" for="ch" forName="Child1" refType="h" fact="0"/>
                  <dgm:constr type="w" for="ch" forName="Child1" refType="w" fact="0.3364"/>
                  <dgm:constr type="h" for="ch" forName="Child1" refType="h" fact="0.1564"/>
                  <dgm:constr type="l" for="ch" forName="Parent" refType="w" fact="0.3653"/>
                  <dgm:constr type="t" for="ch" forName="Parent" refType="h" fact="0.2737"/>
                  <dgm:constr type="w" for="ch" forName="Parent" refType="w" fact="0.2906"/>
                  <dgm:constr type="h" for="ch" forName="Parent" refType="h" fact="0.6157"/>
                </dgm:constrLst>
              </dgm:if>
              <dgm:if name="Name11" axis="ch" ptType="node" func="cnt" op="equ" val="4">
                <dgm:alg type="composite">
                  <dgm:param type="ar" val="1.8304"/>
                </dgm:alg>
                <dgm:constrLst>
                  <dgm:constr type="l" for="ch" forName="Parent" refType="w" fact="0.3771"/>
                  <dgm:constr type="t" for="ch" forName="Parent" refType="h" fact="0.2946"/>
                  <dgm:constr type="w" for="ch" forName="Parent" refType="w" fact="0.2862"/>
                  <dgm:constr type="h" for="ch" forName="Parent" refType="h" fact="0.5239"/>
                  <dgm:constr type="l" for="ch" forName="Child1Accent1" refType="w" fact="0.3904"/>
                  <dgm:constr type="t" for="ch" forName="Child1Accent1" refType="h" fact="0.2104"/>
                  <dgm:constr type="w" for="ch" forName="Child1Accent1" refType="w" fact="0.0566"/>
                  <dgm:constr type="h" for="ch" forName="Child1Accent1" refType="h" fact="0.1035"/>
                  <dgm:constr type="l" for="ch" forName="Child1Accent3" refType="w" fact="0.3001"/>
                  <dgm:constr type="t" for="ch" forName="Child1Accent3" refType="h" fact="0.128"/>
                  <dgm:constr type="w" for="ch" forName="Child1Accent3" refType="w" fact="0.0283"/>
                  <dgm:constr type="h" for="ch" forName="Child1Accent3" refType="h" fact="0.0518"/>
                  <dgm:constr type="l" for="ch" forName="Child1Accent4" refType="w" fact="0.2418"/>
                  <dgm:constr type="t" for="ch" forName="Child1Accent4" refType="h" fact="0.128"/>
                  <dgm:constr type="w" for="ch" forName="Child1Accent4" refType="w" fact="0.0283"/>
                  <dgm:constr type="h" for="ch" forName="Child1Accent4" refType="h" fact="0.0518"/>
                  <dgm:constr type="l" for="ch" forName="Child1Accent5" refType="w" fact="0.1835"/>
                  <dgm:constr type="t" for="ch" forName="Child1Accent5" refType="h" fact="0.128"/>
                  <dgm:constr type="w" for="ch" forName="Child1Accent5" refType="w" fact="0.0283"/>
                  <dgm:constr type="h" for="ch" forName="Child1Accent5" refType="h" fact="0.0518"/>
                  <dgm:constr type="l" for="ch" forName="Child1Accent6" refType="w" fact="0.1252"/>
                  <dgm:constr type="t" for="ch" forName="Child1Accent6" refType="h" fact="0.128"/>
                  <dgm:constr type="w" for="ch" forName="Child1Accent6" refType="w" fact="0.0283"/>
                  <dgm:constr type="h" for="ch" forName="Child1Accent6" refType="h" fact="0.0518"/>
                  <dgm:constr type="l" for="ch" forName="Child3Accent1" refType="w" fact="0.3158"/>
                  <dgm:constr type="t" for="ch" forName="Child3Accent1" refType="h" fact="0.6212"/>
                  <dgm:constr type="w" for="ch" forName="Child3Accent1" refType="w" fact="0.0566"/>
                  <dgm:constr type="h" for="ch" forName="Child3Accent1" refType="h" fact="0.1035"/>
                  <dgm:constr type="l" for="ch" forName="Child3Accent2" refType="w" fact="0.2689"/>
                  <dgm:constr type="t" for="ch" forName="Child3Accent2" refType="h" fact="0.6828"/>
                  <dgm:constr type="w" for="ch" forName="Child3Accent2" refType="w" fact="0.0283"/>
                  <dgm:constr type="h" for="ch" forName="Child3Accent2" refType="h" fact="0.0518"/>
                  <dgm:constr type="l" for="ch" forName="Child3Accent4" refType="w" fact="0.1614"/>
                  <dgm:constr type="t" for="ch" forName="Child3Accent4" refType="h" fact="0.6828"/>
                  <dgm:constr type="w" for="ch" forName="Child3Accent4" refType="w" fact="0.0283"/>
                  <dgm:constr type="h" for="ch" forName="Child3Accent4" refType="h" fact="0.0518"/>
                  <dgm:constr type="l" for="ch" forName="Child3Accent5" refType="w" fact="0.1077"/>
                  <dgm:constr type="t" for="ch" forName="Child3Accent5" refType="h" fact="0.6828"/>
                  <dgm:constr type="w" for="ch" forName="Child3Accent5" refType="w" fact="0.0283"/>
                  <dgm:constr type="h" for="ch" forName="Child3Accent5" refType="h" fact="0.0518"/>
                  <dgm:constr type="l" for="ch" forName="Child1Accent7" refType="w" fact="0.0668"/>
                  <dgm:constr type="t" for="ch" forName="Child1Accent7" refType="h" fact="0.128"/>
                  <dgm:constr type="w" for="ch" forName="Child1Accent7" refType="w" fact="0.0283"/>
                  <dgm:constr type="h" for="ch" forName="Child1Accent7" refType="h" fact="0.0518"/>
                  <dgm:constr type="l" for="ch" forName="Child3Accent6" refType="w" fact="0.0539"/>
                  <dgm:constr type="t" for="ch" forName="Child3Accent6" refType="h" fact="0.6828"/>
                  <dgm:constr type="w" for="ch" forName="Child3Accent6" refType="w" fact="0.0283"/>
                  <dgm:constr type="h" for="ch" forName="Child3Accent6" refType="h" fact="0.0518"/>
                  <dgm:constr type="l" for="ch" forName="Child1Accent8" refType="w" fact="0.0085"/>
                  <dgm:constr type="t" for="ch" forName="Child1Accent8" refType="h" fact="0.128"/>
                  <dgm:constr type="w" for="ch" forName="Child1Accent8" refType="w" fact="0.0283"/>
                  <dgm:constr type="h" for="ch" forName="Child1Accent8" refType="h" fact="0.0518"/>
                  <dgm:constr type="l" for="ch" forName="Child1Accent9" refType="w" fact="0"/>
                  <dgm:constr type="t" for="ch" forName="Child1Accent9" refType="h" fact="0"/>
                  <dgm:constr type="w" for="ch" forName="Child1Accent9" refType="w" fact="0"/>
                  <dgm:constr type="h" for="ch" forName="Child1Accent9" refType="h" fact="0"/>
                  <dgm:constr type="l" for="ch" forName="Child3Accent7" refType="w" fact="0.0002"/>
                  <dgm:constr type="t" for="ch" forName="Child3Accent7" refType="h" fact="0.6828"/>
                  <dgm:constr type="w" for="ch" forName="Child3Accent7" refType="w" fact="0.0283"/>
                  <dgm:constr type="h" for="ch" forName="Child3Accent7" refType="h" fact="0.0518"/>
                  <dgm:constr type="l" for="ch" forName="Child4Accent1" refType="w" fact="0.3904"/>
                  <dgm:constr type="t" for="ch" forName="Child4Accent1" refType="h" fact="0.8"/>
                  <dgm:constr type="w" for="ch" forName="Child4Accent1" refType="w" fact="0.0566"/>
                  <dgm:constr type="h" for="ch" forName="Child4Accent1" refType="h" fact="0.1035"/>
                  <dgm:constr type="l" for="ch" forName="Child4Accent3" refType="w" fact="0.2998"/>
                  <dgm:constr type="t" for="ch" forName="Child4Accent3" refType="h" fact="0.9482"/>
                  <dgm:constr type="w" for="ch" forName="Child4Accent3" refType="w" fact="0.0283"/>
                  <dgm:constr type="h" for="ch" forName="Child4Accent3" refType="h" fact="0.0518"/>
                  <dgm:constr type="l" for="ch" forName="Child4Accent4" refType="w" fact="0.2415"/>
                  <dgm:constr type="t" for="ch" forName="Child4Accent4" refType="h" fact="0.9482"/>
                  <dgm:constr type="w" for="ch" forName="Child4Accent4" refType="w" fact="0.0283"/>
                  <dgm:constr type="h" for="ch" forName="Child4Accent4" refType="h" fact="0.0518"/>
                  <dgm:constr type="l" for="ch" forName="Child4Accent5" refType="w" fact="0.1833"/>
                  <dgm:constr type="t" for="ch" forName="Child4Accent5" refType="h" fact="0.9482"/>
                  <dgm:constr type="w" for="ch" forName="Child4Accent5" refType="w" fact="0.0283"/>
                  <dgm:constr type="h" for="ch" forName="Child4Accent5" refType="h" fact="0.0518"/>
                  <dgm:constr type="l" for="ch" forName="Child4Accent6" refType="w" fact="0.1251"/>
                  <dgm:constr type="t" for="ch" forName="Child4Accent6" refType="h" fact="0.9482"/>
                  <dgm:constr type="w" for="ch" forName="Child4Accent6" refType="w" fact="0.0283"/>
                  <dgm:constr type="h" for="ch" forName="Child4Accent6" refType="h" fact="0.0518"/>
                  <dgm:constr type="l" for="ch" forName="Child4Accent7" refType="w" fact="0.0668"/>
                  <dgm:constr type="t" for="ch" forName="Child4Accent7" refType="h" fact="0.9482"/>
                  <dgm:constr type="w" for="ch" forName="Child4Accent7" refType="w" fact="0.0283"/>
                  <dgm:constr type="h" for="ch" forName="Child4Accent7" refType="h" fact="0.0518"/>
                  <dgm:constr type="l" for="ch" forName="Child4Accent8" refType="w" fact="0.0086"/>
                  <dgm:constr type="t" for="ch" forName="Child4Accent8" refType="h" fact="0.9482"/>
                  <dgm:constr type="w" for="ch" forName="Child4Accent8" refType="w" fact="0.0283"/>
                  <dgm:constr type="h" for="ch" forName="Child4Accent8" refType="h" fact="0.0518"/>
                  <dgm:constr type="l" for="ch" forName="Child2Accent1" refType="w" fact="0.3158"/>
                  <dgm:constr type="t" for="ch" forName="Child2Accent1" refType="h" fact="0.3725"/>
                  <dgm:constr type="w" for="ch" forName="Child2Accent1" refType="w" fact="0.0566"/>
                  <dgm:constr type="h" for="ch" forName="Child2Accent1" refType="h" fact="0.1035"/>
                  <dgm:constr type="l" for="ch" forName="Child4Accent2" refType="w" fact="0.358"/>
                  <dgm:constr type="t" for="ch" forName="Child4Accent2" refType="h" fact="0.8993"/>
                  <dgm:constr type="w" for="ch" forName="Child4Accent2" refType="w" fact="0.0283"/>
                  <dgm:constr type="h" for="ch" forName="Child4Accent2" refType="h" fact="0.0518"/>
                  <dgm:constr type="l" for="ch" forName="Child1Accent2" refType="w" fact="0.3585"/>
                  <dgm:constr type="t" for="ch" forName="Child1Accent2" refType="h" fact="0.162"/>
                  <dgm:constr type="w" for="ch" forName="Child1Accent2" refType="w" fact="0.0283"/>
                  <dgm:constr type="h" for="ch" forName="Child1Accent2" refType="h" fact="0.0518"/>
                  <dgm:constr type="l" for="ch" forName="Child3Accent3" refType="w" fact="0.2151"/>
                  <dgm:constr type="t" for="ch" forName="Child3Accent3" refType="h" fact="0.6828"/>
                  <dgm:constr type="w" for="ch" forName="Child3Accent3" refType="w" fact="0.0283"/>
                  <dgm:constr type="h" for="ch" forName="Child3Accent3" refType="h" fact="0.0518"/>
                  <dgm:constr type="l" for="ch" forName="Child2Accent2" refType="w" fact="0.2689"/>
                  <dgm:constr type="t" for="ch" forName="Child2Accent2" refType="h" fact="0.3937"/>
                  <dgm:constr type="w" for="ch" forName="Child2Accent2" refType="w" fact="0.0283"/>
                  <dgm:constr type="h" for="ch" forName="Child2Accent2" refType="h" fact="0.0518"/>
                  <dgm:constr type="l" for="ch" forName="Child2Accent4" refType="w" fact="0.1614"/>
                  <dgm:constr type="t" for="ch" forName="Child2Accent4" refType="h" fact="0.3937"/>
                  <dgm:constr type="w" for="ch" forName="Child2Accent4" refType="w" fact="0.0283"/>
                  <dgm:constr type="h" for="ch" forName="Child2Accent4" refType="h" fact="0.0518"/>
                  <dgm:constr type="l" for="ch" forName="Child2Accent5" refType="w" fact="0.1077"/>
                  <dgm:constr type="t" for="ch" forName="Child2Accent5" refType="h" fact="0.3937"/>
                  <dgm:constr type="w" for="ch" forName="Child2Accent5" refType="w" fact="0.0283"/>
                  <dgm:constr type="h" for="ch" forName="Child2Accent5" refType="h" fact="0.0518"/>
                  <dgm:constr type="l" for="ch" forName="Child2Accent6" refType="w" fact="0.0539"/>
                  <dgm:constr type="t" for="ch" forName="Child2Accent6" refType="h" fact="0.3937"/>
                  <dgm:constr type="w" for="ch" forName="Child2Accent6" refType="w" fact="0.0283"/>
                  <dgm:constr type="h" for="ch" forName="Child2Accent6" refType="h" fact="0.0518"/>
                  <dgm:constr type="l" for="ch" forName="Child2Accent7" refType="w" fact="0.0002"/>
                  <dgm:constr type="t" for="ch" forName="Child2Accent7" refType="h" fact="0.3937"/>
                  <dgm:constr type="w" for="ch" forName="Child2Accent7" refType="w" fact="0.0283"/>
                  <dgm:constr type="h" for="ch" forName="Child2Accent7" refType="h" fact="0.0518"/>
                  <dgm:constr type="l" for="ch" forName="Child2Accent3" refType="w" fact="0.2151"/>
                  <dgm:constr type="t" for="ch" forName="Child2Accent3" refType="h" fact="0.3937"/>
                  <dgm:constr type="w" for="ch" forName="Child2Accent3" refType="w" fact="0.0283"/>
                  <dgm:constr type="h" for="ch" forName="Child2Accent3" refType="h" fact="0.0518"/>
                  <dgm:constr type="l" for="ch" forName="ParentAccent1" refType="w" fact="0.9717"/>
                  <dgm:constr type="t" for="ch" forName="ParentAccent1" refType="h" fact="0.5316"/>
                  <dgm:constr type="w" for="ch" forName="ParentAccent1" refType="w" fact="0.0283"/>
                  <dgm:constr type="h" for="ch" forName="ParentAccent1" refType="h" fact="0.0518"/>
                  <dgm:constr type="l" for="ch" forName="ParentAccent2" refType="w" fact="0.9199"/>
                  <dgm:constr type="t" for="ch" forName="ParentAccent2" refType="h" fact="0.5316"/>
                  <dgm:constr type="w" for="ch" forName="ParentAccent2" refType="w" fact="0.0283"/>
                  <dgm:constr type="h" for="ch" forName="ParentAccent2" refType="h" fact="0.0518"/>
                  <dgm:constr type="l" for="ch" forName="ParentAccent3" refType="w" fact="0.8682"/>
                  <dgm:constr type="t" for="ch" forName="ParentAccent3" refType="h" fact="0.5316"/>
                  <dgm:constr type="w" for="ch" forName="ParentAccent3" refType="w" fact="0.0283"/>
                  <dgm:constr type="h" for="ch" forName="ParentAccent3" refType="h" fact="0.0518"/>
                  <dgm:constr type="l" for="ch" forName="ParentAccent4" refType="w" fact="0.8164"/>
                  <dgm:constr type="t" for="ch" forName="ParentAccent4" refType="h" fact="0.5316"/>
                  <dgm:constr type="w" for="ch" forName="ParentAccent4" refType="w" fact="0.0283"/>
                  <dgm:constr type="h" for="ch" forName="ParentAccent4" refType="h" fact="0.0518"/>
                  <dgm:constr type="l" for="ch" forName="ParentAccent5" refType="w" fact="0.7646"/>
                  <dgm:constr type="t" for="ch" forName="ParentAccent5" refType="h" fact="0.5316"/>
                  <dgm:constr type="w" for="ch" forName="ParentAccent5" refType="w" fact="0.0283"/>
                  <dgm:constr type="h" for="ch" forName="ParentAccent5" refType="h" fact="0.0518"/>
                  <dgm:constr type="l" for="ch" forName="ParentAccent6" refType="w" fact="0.6846"/>
                  <dgm:constr type="t" for="ch" forName="ParentAccent6" refType="h" fact="0.5057"/>
                  <dgm:constr type="w" for="ch" forName="ParentAccent6" refType="w" fact="0.0566"/>
                  <dgm:constr type="h" for="ch" forName="ParentAccent6" refType="h" fact="0.1035"/>
                  <dgm:constr type="l" for="ch" forName="ParentAccent7" refType="w" fact="0.9256"/>
                  <dgm:constr type="t" for="ch" forName="ParentAccent7" refType="h" fact="0.4247"/>
                  <dgm:constr type="w" for="ch" forName="ParentAccent7" refType="w" fact="0.0283"/>
                  <dgm:constr type="h" for="ch" forName="ParentAccent7" refType="h" fact="0.0518"/>
                  <dgm:constr type="l" for="ch" forName="ParentAccent8" refType="w" fact="0.9256"/>
                  <dgm:constr type="t" for="ch" forName="ParentAccent8" refType="h" fact="0.6392"/>
                  <dgm:constr type="w" for="ch" forName="ParentAccent8" refType="w" fact="0.0283"/>
                  <dgm:constr type="h" for="ch" forName="ParentAccent8" refType="h" fact="0.0518"/>
                  <dgm:constr type="l" for="ch" forName="ParentAccent9" refType="w" fact="0.9509"/>
                  <dgm:constr type="t" for="ch" forName="ParentAccent9" refType="h" fact="0.4712"/>
                  <dgm:constr type="w" for="ch" forName="ParentAccent9" refType="w" fact="0.0283"/>
                  <dgm:constr type="h" for="ch" forName="ParentAccent9" refType="h" fact="0.0518"/>
                  <dgm:constr type="l" for="ch" forName="ParentAccent10" refType="w" fact="0.9525"/>
                  <dgm:constr type="t" for="ch" forName="ParentAccent10" refType="h" fact="0.593"/>
                  <dgm:constr type="w" for="ch" forName="ParentAccent10" refType="w" fact="0.0283"/>
                  <dgm:constr type="h" for="ch" forName="ParentAccent10" refType="h" fact="0.0518"/>
                  <dgm:constr type="l" for="ch" forName="Child4" refType="w" fact="0.0081"/>
                  <dgm:constr type="t" for="ch" forName="Child4" refType="h" fact="0.8184"/>
                  <dgm:constr type="w" for="ch" forName="Child4" refType="w" fact="0.3192"/>
                  <dgm:constr type="h" for="ch" forName="Child4" refType="h" fact="0.1294"/>
                  <dgm:constr type="l" for="ch" forName="Child3" refType="w" fact="0"/>
                  <dgm:constr type="t" for="ch" forName="Child3" refType="h" fact="0.5547"/>
                  <dgm:constr type="w" for="ch" forName="Child3" refType="w" fact="0.297"/>
                  <dgm:constr type="h" for="ch" forName="Child3" refType="h" fact="0.1294"/>
                  <dgm:constr type="l" for="ch" forName="Child2" refType="w" fact="0"/>
                  <dgm:constr type="t" for="ch" forName="Child2" refType="h" fact="0.2662"/>
                  <dgm:constr type="w" for="ch" forName="Child2" refType="w" fact="0.297"/>
                  <dgm:constr type="h" for="ch" forName="Child2" refType="h" fact="0.1294"/>
                  <dgm:constr type="l" for="ch" forName="Child1" refType="w" fact="0.0081"/>
                  <dgm:constr type="t" for="ch" forName="Child1" refType="h" fact="0"/>
                  <dgm:constr type="w" for="ch" forName="Child1" refType="w" fact="0.3192"/>
                  <dgm:constr type="h" for="ch" forName="Child1" refType="h" fact="0.1294"/>
                </dgm:constrLst>
              </dgm:if>
              <dgm:else name="Name12">
                <dgm:alg type="composite">
                  <dgm:param type="ar" val="1.3278"/>
                </dgm:alg>
                <dgm:constrLst>
                  <dgm:constr type="l" for="ch" forName="Child2Accent1" refType="w" fact="0.3436"/>
                  <dgm:constr type="t" for="ch" forName="Child2Accent1" refType="h" fact="0.3184"/>
                  <dgm:constr type="w" for="ch" forName="Child2Accent1" refType="w" fact="0.0574"/>
                  <dgm:constr type="h" for="ch" forName="Child2Accent1" refType="h" fact="0.0763"/>
                  <dgm:constr type="l" for="ch" forName="Child2Accent2" refType="w" fact="0.3068"/>
                  <dgm:constr type="t" for="ch" forName="Child2Accent2" refType="h" fact="0.2781"/>
                  <dgm:constr type="w" for="ch" forName="Child2Accent2" refType="w" fact="0.0287"/>
                  <dgm:constr type="h" for="ch" forName="Child2Accent2" refType="h" fact="0.0381"/>
                  <dgm:constr type="l" for="ch" forName="Child2Accent3" refType="w" fact="0.2455"/>
                  <dgm:constr type="t" for="ch" forName="Child2Accent3" refType="h" fact="0.2781"/>
                  <dgm:constr type="w" for="ch" forName="Child2Accent3" refType="w" fact="0.0287"/>
                  <dgm:constr type="h" for="ch" forName="Child2Accent3" refType="h" fact="0.0381"/>
                  <dgm:constr type="l" for="ch" forName="Child2Accent4" refType="w" fact="0.1842"/>
                  <dgm:constr type="t" for="ch" forName="Child2Accent4" refType="h" fact="0.2781"/>
                  <dgm:constr type="w" for="ch" forName="Child2Accent4" refType="w" fact="0.0287"/>
                  <dgm:constr type="h" for="ch" forName="Child2Accent4" refType="h" fact="0.0381"/>
                  <dgm:constr type="l" for="ch" forName="Child2Accent5" refType="w" fact="0.1229"/>
                  <dgm:constr type="t" for="ch" forName="Child2Accent5" refType="h" fact="0.2781"/>
                  <dgm:constr type="w" for="ch" forName="Child2Accent5" refType="w" fact="0.0287"/>
                  <dgm:constr type="h" for="ch" forName="Child2Accent5" refType="h" fact="0.0381"/>
                  <dgm:constr type="l" for="ch" forName="Child3Accent1" refType="w" fact="0.284"/>
                  <dgm:constr type="t" for="ch" forName="Child3Accent1" refType="h" fact="0.5061"/>
                  <dgm:constr type="w" for="ch" forName="Child3Accent1" refType="w" fact="0.0574"/>
                  <dgm:constr type="h" for="ch" forName="Child3Accent1" refType="h" fact="0.0763"/>
                  <dgm:constr type="l" for="ch" forName="Child3Accent2" refType="w" fact="0.2272"/>
                  <dgm:constr type="t" for="ch" forName="Child3Accent2" refType="h" fact="0.5252"/>
                  <dgm:constr type="w" for="ch" forName="Child3Accent2" refType="w" fact="0.0287"/>
                  <dgm:constr type="h" for="ch" forName="Child3Accent2" refType="h" fact="0.0381"/>
                  <dgm:constr type="l" for="ch" forName="Child3Accent3" refType="w" fact="0.1705"/>
                  <dgm:constr type="t" for="ch" forName="Child3Accent3" refType="h" fact="0.5252"/>
                  <dgm:constr type="w" for="ch" forName="Child3Accent3" refType="w" fact="0.0287"/>
                  <dgm:constr type="h" for="ch" forName="Child3Accent3" refType="h" fact="0.0381"/>
                  <dgm:constr type="l" for="ch" forName="Child3Accent4" refType="w" fact="0.1137"/>
                  <dgm:constr type="t" for="ch" forName="Child3Accent4" refType="h" fact="0.5252"/>
                  <dgm:constr type="w" for="ch" forName="Child3Accent4" refType="w" fact="0.0287"/>
                  <dgm:constr type="h" for="ch" forName="Child3Accent4" refType="h" fact="0.0381"/>
                  <dgm:constr type="l" for="ch" forName="Child2Accent6" refType="w" fact="0.0615"/>
                  <dgm:constr type="t" for="ch" forName="Child2Accent6" refType="h" fact="0.2781"/>
                  <dgm:constr type="w" for="ch" forName="Child2Accent6" refType="w" fact="0.0287"/>
                  <dgm:constr type="h" for="ch" forName="Child2Accent6" refType="h" fact="0.0381"/>
                  <dgm:constr type="l" for="ch" forName="Child3Accent5" refType="w" fact="0.057"/>
                  <dgm:constr type="t" for="ch" forName="Child3Accent5" refType="h" fact="0.5252"/>
                  <dgm:constr type="w" for="ch" forName="Child3Accent5" refType="w" fact="0.0287"/>
                  <dgm:constr type="h" for="ch" forName="Child3Accent5" refType="h" fact="0.0381"/>
                  <dgm:constr type="l" for="ch" forName="Child2Accent7" refType="w" fact="0.0002"/>
                  <dgm:constr type="t" for="ch" forName="Child2Accent7" refType="h" fact="0.2781"/>
                  <dgm:constr type="w" for="ch" forName="Child2Accent7" refType="w" fact="0.0287"/>
                  <dgm:constr type="h" for="ch" forName="Child2Accent7" refType="h" fact="0.0381"/>
                  <dgm:constr type="l" for="ch" forName="Child3Accent6" refType="w" fact="0.0002"/>
                  <dgm:constr type="t" for="ch" forName="Child3Accent6" refType="h" fact="0.5252"/>
                  <dgm:constr type="w" for="ch" forName="Child3Accent6" refType="w" fact="0.0287"/>
                  <dgm:constr type="h" for="ch" forName="Child3Accent6" refType="h" fact="0.0381"/>
                  <dgm:constr type="l" for="ch" forName="Child3Accent7" refType="w" fact="0"/>
                  <dgm:constr type="t" for="ch" forName="Child3Accent7" refType="h" fact="0"/>
                  <dgm:constr type="w" for="ch" forName="Child3Accent7" refType="w" fact="0"/>
                  <dgm:constr type="h" for="ch" forName="Child3Accent7" refType="h" fact="0"/>
                  <dgm:constr type="l" for="ch" forName="Child4Accent1" refType="w" fact="0.3436"/>
                  <dgm:constr type="t" for="ch" forName="Child4Accent1" refType="h" fact="0.6908"/>
                  <dgm:constr type="w" for="ch" forName="Child4Accent1" refType="w" fact="0.0574"/>
                  <dgm:constr type="h" for="ch" forName="Child4Accent1" refType="h" fact="0.0763"/>
                  <dgm:constr type="l" for="ch" forName="Child4Accent2" refType="w" fact="0.3068"/>
                  <dgm:constr type="t" for="ch" forName="Child4Accent2" refType="h" fact="0.7684"/>
                  <dgm:constr type="w" for="ch" forName="Child4Accent2" refType="w" fact="0.0287"/>
                  <dgm:constr type="h" for="ch" forName="Child4Accent2" refType="h" fact="0.0381"/>
                  <dgm:constr type="l" for="ch" forName="Child4Accent3" refType="w" fact="0.2455"/>
                  <dgm:constr type="t" for="ch" forName="Child4Accent3" refType="h" fact="0.7684"/>
                  <dgm:constr type="w" for="ch" forName="Child4Accent3" refType="w" fact="0.0287"/>
                  <dgm:constr type="h" for="ch" forName="Child4Accent3" refType="h" fact="0.0381"/>
                  <dgm:constr type="l" for="ch" forName="Child4Accent4" refType="w" fact="0.1842"/>
                  <dgm:constr type="t" for="ch" forName="Child4Accent4" refType="h" fact="0.7684"/>
                  <dgm:constr type="w" for="ch" forName="Child4Accent4" refType="w" fact="0.0287"/>
                  <dgm:constr type="h" for="ch" forName="Child4Accent4" refType="h" fact="0.0381"/>
                  <dgm:constr type="l" for="ch" forName="Child4Accent5" refType="w" fact="0.1229"/>
                  <dgm:constr type="t" for="ch" forName="Child4Accent5" refType="h" fact="0.7684"/>
                  <dgm:constr type="w" for="ch" forName="Child4Accent5" refType="w" fact="0.0287"/>
                  <dgm:constr type="h" for="ch" forName="Child4Accent5" refType="h" fact="0.0381"/>
                  <dgm:constr type="l" for="ch" forName="Child4Accent6" refType="w" fact="0.0615"/>
                  <dgm:constr type="t" for="ch" forName="Child4Accent6" refType="h" fact="0.7684"/>
                  <dgm:constr type="w" for="ch" forName="Child4Accent6" refType="w" fact="0.0287"/>
                  <dgm:constr type="h" for="ch" forName="Child4Accent6" refType="h" fact="0.0381"/>
                  <dgm:constr type="l" for="ch" forName="Child4Accent7" refType="w" fact="0.0002"/>
                  <dgm:constr type="t" for="ch" forName="Child4Accent7" refType="h" fact="0.7684"/>
                  <dgm:constr type="w" for="ch" forName="Child4Accent7" refType="w" fact="0.0287"/>
                  <dgm:constr type="h" for="ch" forName="Child4Accent7" refType="h" fact="0.0381"/>
                  <dgm:constr type="l" for="ch" forName="Child4Accent8" refType="w" fact="0"/>
                  <dgm:constr type="t" for="ch" forName="Child4Accent8" refType="h" fact="0"/>
                  <dgm:constr type="w" for="ch" forName="Child4Accent8" refType="w" fact="0"/>
                  <dgm:constr type="h" for="ch" forName="Child4Accent8" refType="h" fact="0"/>
                  <dgm:constr type="l" for="ch" forName="ParentAccent1" refType="w" fact="0.9713"/>
                  <dgm:constr type="t" for="ch" forName="ParentAccent1" refType="h" fact="0.5252"/>
                  <dgm:constr type="w" for="ch" forName="ParentAccent1" refType="w" fact="0.0287"/>
                  <dgm:constr type="h" for="ch" forName="ParentAccent1" refType="h" fact="0.0381"/>
                  <dgm:constr type="l" for="ch" forName="ParentAccent2" refType="w" fact="0.9187"/>
                  <dgm:constr type="t" for="ch" forName="ParentAccent2" refType="h" fact="0.5252"/>
                  <dgm:constr type="w" for="ch" forName="ParentAccent2" refType="w" fact="0.0287"/>
                  <dgm:constr type="h" for="ch" forName="ParentAccent2" refType="h" fact="0.0381"/>
                  <dgm:constr type="l" for="ch" forName="ParentAccent3" refType="w" fact="0.8661"/>
                  <dgm:constr type="t" for="ch" forName="ParentAccent3" refType="h" fact="0.5252"/>
                  <dgm:constr type="w" for="ch" forName="ParentAccent3" refType="w" fact="0.0287"/>
                  <dgm:constr type="h" for="ch" forName="ParentAccent3" refType="h" fact="0.0381"/>
                  <dgm:constr type="l" for="ch" forName="ParentAccent4" refType="w" fact="0.8136"/>
                  <dgm:constr type="t" for="ch" forName="ParentAccent4" refType="h" fact="0.5252"/>
                  <dgm:constr type="w" for="ch" forName="ParentAccent4" refType="w" fact="0.0287"/>
                  <dgm:constr type="h" for="ch" forName="ParentAccent4" refType="h" fact="0.0381"/>
                  <dgm:constr type="l" for="ch" forName="ParentAccent5" refType="w" fact="0.761"/>
                  <dgm:constr type="t" for="ch" forName="ParentAccent5" refType="h" fact="0.5252"/>
                  <dgm:constr type="w" for="ch" forName="ParentAccent5" refType="w" fact="0.0287"/>
                  <dgm:constr type="h" for="ch" forName="ParentAccent5" refType="h" fact="0.0381"/>
                  <dgm:constr type="l" for="ch" forName="ParentAccent6" refType="w" fact="0.6797"/>
                  <dgm:constr type="t" for="ch" forName="ParentAccent6" refType="h" fact="0.5061"/>
                  <dgm:constr type="w" for="ch" forName="ParentAccent6" refType="w" fact="0.0574"/>
                  <dgm:constr type="h" for="ch" forName="ParentAccent6" refType="h" fact="0.0763"/>
                  <dgm:constr type="l" for="ch" forName="ParentAccent7" refType="w" fact="0.9245"/>
                  <dgm:constr type="t" for="ch" forName="ParentAccent7" refType="h" fact="0.4464"/>
                  <dgm:constr type="w" for="ch" forName="ParentAccent7" refType="w" fact="0.0287"/>
                  <dgm:constr type="h" for="ch" forName="ParentAccent7" refType="h" fact="0.0381"/>
                  <dgm:constr type="l" for="ch" forName="ParentAccent8" refType="w" fact="0.9245"/>
                  <dgm:constr type="t" for="ch" forName="ParentAccent8" refType="h" fact="0.6045"/>
                  <dgm:constr type="w" for="ch" forName="ParentAccent8" refType="w" fact="0.0287"/>
                  <dgm:constr type="h" for="ch" forName="ParentAccent8" refType="h" fact="0.0381"/>
                  <dgm:constr type="l" for="ch" forName="ParentAccent9" refType="w" fact="0.9501"/>
                  <dgm:constr type="t" for="ch" forName="ParentAccent9" refType="h" fact="0.4807"/>
                  <dgm:constr type="w" for="ch" forName="ParentAccent9" refType="w" fact="0.0287"/>
                  <dgm:constr type="h" for="ch" forName="ParentAccent9" refType="h" fact="0.0381"/>
                  <dgm:constr type="l" for="ch" forName="ParentAccent10" refType="w" fact="0.9518"/>
                  <dgm:constr type="t" for="ch" forName="ParentAccent10" refType="h" fact="0.5705"/>
                  <dgm:constr type="w" for="ch" forName="ParentAccent10" refType="w" fact="0.0287"/>
                  <dgm:constr type="h" for="ch" forName="ParentAccent10" refType="h" fact="0.0381"/>
                  <dgm:constr type="l" for="ch" forName="Child1Accent1" refType="w" fact="0.4819"/>
                  <dgm:constr type="t" for="ch" forName="Child1Accent1" refType="h" fact="0.2457"/>
                  <dgm:constr type="w" for="ch" forName="Child1Accent1" refType="w" fact="0.0574"/>
                  <dgm:constr type="h" for="ch" forName="Child1Accent1" refType="h" fact="0.0763"/>
                  <dgm:constr type="l" for="ch" forName="Child1Accent4" refType="w" fact="0.3653"/>
                  <dgm:constr type="t" for="ch" forName="Child1Accent4" refType="h" fact="0.097"/>
                  <dgm:constr type="w" for="ch" forName="Child1Accent4" refType="w" fact="0.0287"/>
                  <dgm:constr type="h" for="ch" forName="Child1Accent4" refType="h" fact="0.0381"/>
                  <dgm:constr type="l" for="ch" forName="Child1Accent5" refType="w" fact="0.304"/>
                  <dgm:constr type="t" for="ch" forName="Child1Accent5" refType="h" fact="0.097"/>
                  <dgm:constr type="w" for="ch" forName="Child1Accent5" refType="w" fact="0.0287"/>
                  <dgm:constr type="h" for="ch" forName="Child1Accent5" refType="h" fact="0.0381"/>
                  <dgm:constr type="l" for="ch" forName="Child1Accent6" refType="w" fact="0.2426"/>
                  <dgm:constr type="t" for="ch" forName="Child1Accent6" refType="h" fact="0.097"/>
                  <dgm:constr type="w" for="ch" forName="Child1Accent6" refType="w" fact="0.0287"/>
                  <dgm:constr type="h" for="ch" forName="Child1Accent6" refType="h" fact="0.0381"/>
                  <dgm:constr type="l" for="ch" forName="Child1Accent7" refType="w" fact="0.1813"/>
                  <dgm:constr type="t" for="ch" forName="Child1Accent7" refType="h" fact="0.097"/>
                  <dgm:constr type="w" for="ch" forName="Child1Accent7" refType="w" fact="0.0287"/>
                  <dgm:constr type="h" for="ch" forName="Child1Accent7" refType="h" fact="0.0381"/>
                  <dgm:constr type="l" for="ch" forName="Child1Accent8" refType="w" fact="0.12"/>
                  <dgm:constr type="t" for="ch" forName="Child1Accent8" refType="h" fact="0.097"/>
                  <dgm:constr type="w" for="ch" forName="Child1Accent8" refType="w" fact="0.0287"/>
                  <dgm:constr type="h" for="ch" forName="Child1Accent8" refType="h" fact="0.0381"/>
                  <dgm:constr type="l" for="ch" forName="Child1Accent9" refType="w" fact="0.0587"/>
                  <dgm:constr type="t" for="ch" forName="Child1Accent9" refType="h" fact="0.097"/>
                  <dgm:constr type="w" for="ch" forName="Child1Accent9" refType="w" fact="0.0287"/>
                  <dgm:constr type="h" for="ch" forName="Child1Accent9" refType="h" fact="0.0381"/>
                  <dgm:constr type="l" for="ch" forName="Child5Accent1" refType="w" fact="0.4819"/>
                  <dgm:constr type="t" for="ch" forName="Child5Accent1" refType="h" fact="0.7601"/>
                  <dgm:constr type="w" for="ch" forName="Child5Accent1" refType="w" fact="0.0574"/>
                  <dgm:constr type="h" for="ch" forName="Child5Accent1" refType="h" fact="0.0763"/>
                  <dgm:constr type="l" for="ch" forName="Child5Accent4" refType="w" fact="0.3653"/>
                  <dgm:constr type="t" for="ch" forName="Child5Accent4" refType="h" fact="0.9619"/>
                  <dgm:constr type="w" for="ch" forName="Child5Accent4" refType="w" fact="0.0287"/>
                  <dgm:constr type="h" for="ch" forName="Child5Accent4" refType="h" fact="0.0381"/>
                  <dgm:constr type="l" for="ch" forName="Child5Accent5" refType="w" fact="0.304"/>
                  <dgm:constr type="t" for="ch" forName="Child5Accent5" refType="h" fact="0.9619"/>
                  <dgm:constr type="w" for="ch" forName="Child5Accent5" refType="w" fact="0.0287"/>
                  <dgm:constr type="h" for="ch" forName="Child5Accent5" refType="h" fact="0.0381"/>
                  <dgm:constr type="l" for="ch" forName="Child5Accent6" refType="w" fact="0.2426"/>
                  <dgm:constr type="t" for="ch" forName="Child5Accent6" refType="h" fact="0.9619"/>
                  <dgm:constr type="w" for="ch" forName="Child5Accent6" refType="w" fact="0.0287"/>
                  <dgm:constr type="h" for="ch" forName="Child5Accent6" refType="h" fact="0.0381"/>
                  <dgm:constr type="l" for="ch" forName="Child5Accent7" refType="w" fact="0.1813"/>
                  <dgm:constr type="t" for="ch" forName="Child5Accent7" refType="h" fact="0.9619"/>
                  <dgm:constr type="w" for="ch" forName="Child5Accent7" refType="w" fact="0.0287"/>
                  <dgm:constr type="h" for="ch" forName="Child5Accent7" refType="h" fact="0.0381"/>
                  <dgm:constr type="l" for="ch" forName="Child5Accent8" refType="w" fact="0.12"/>
                  <dgm:constr type="t" for="ch" forName="Child5Accent8" refType="h" fact="0.9619"/>
                  <dgm:constr type="w" for="ch" forName="Child5Accent8" refType="w" fact="0.0287"/>
                  <dgm:constr type="h" for="ch" forName="Child5Accent8" refType="h" fact="0.0381"/>
                  <dgm:constr type="l" for="ch" forName="Child5Accent9" refType="w" fact="0.0587"/>
                  <dgm:constr type="t" for="ch" forName="Child5Accent9" refType="h" fact="0.9619"/>
                  <dgm:constr type="w" for="ch" forName="Child5Accent9" refType="w" fact="0.0287"/>
                  <dgm:constr type="h" for="ch" forName="Child5Accent9" refType="h" fact="0.0381"/>
                  <dgm:constr type="l" for="ch" forName="Child5Accent2" refType="w" fact="0.453"/>
                  <dgm:constr type="t" for="ch" forName="Child5Accent2" refType="h" fact="0.8375"/>
                  <dgm:constr type="w" for="ch" forName="Child5Accent2" refType="w" fact="0.0287"/>
                  <dgm:constr type="h" for="ch" forName="Child5Accent2" refType="h" fact="0.0381"/>
                  <dgm:constr type="l" for="ch" forName="Child5Accent3" refType="w" fact="0.4118"/>
                  <dgm:constr type="t" for="ch" forName="Child5Accent3" refType="h" fact="0.8991"/>
                  <dgm:constr type="w" for="ch" forName="Child5Accent3" refType="w" fact="0.0287"/>
                  <dgm:constr type="h" for="ch" forName="Child5Accent3" refType="h" fact="0.0381"/>
                  <dgm:constr type="l" for="ch" forName="Child1Accent2" refType="w" fact="0.4458"/>
                  <dgm:constr type="t" for="ch" forName="Child1Accent2" refType="h" fact="0.2004"/>
                  <dgm:constr type="w" for="ch" forName="Child1Accent2" refType="w" fact="0.0287"/>
                  <dgm:constr type="h" for="ch" forName="Child1Accent2" refType="h" fact="0.0381"/>
                  <dgm:constr type="l" for="ch" forName="Child1Accent3" refType="w" fact="0.4054"/>
                  <dgm:constr type="t" for="ch" forName="Child1Accent3" refType="h" fact="0.1445"/>
                  <dgm:constr type="w" for="ch" forName="Child1Accent3" refType="w" fact="0.0287"/>
                  <dgm:constr type="h" for="ch" forName="Child1Accent3" refType="h" fact="0.0381"/>
                  <dgm:constr type="l" for="ch" forName="Child5" refType="w" fact="0.0581"/>
                  <dgm:constr type="t" for="ch" forName="Child5" refType="h" fact="0.8635"/>
                  <dgm:constr type="w" for="ch" forName="Child5" refType="w" fact="0.3364"/>
                  <dgm:constr type="h" for="ch" forName="Child5" refType="h" fact="0.0981"/>
                  <dgm:constr type="l" for="ch" forName="Child4" refType="w" fact="0"/>
                  <dgm:constr type="t" for="ch" forName="Child4" refType="h" fact="0.6701"/>
                  <dgm:constr type="w" for="ch" forName="Child4" refType="w" fact="0.3364"/>
                  <dgm:constr type="h" for="ch" forName="Child4" refType="h" fact="0.0981"/>
                  <dgm:constr type="l" for="ch" forName="Child3" refType="w" fact="0"/>
                  <dgm:constr type="t" for="ch" forName="Child3" refType="h" fact="0.4276"/>
                  <dgm:constr type="w" for="ch" forName="Child3" refType="w" fact="0.2544"/>
                  <dgm:constr type="h" for="ch" forName="Child3" refType="h" fact="0.0981"/>
                  <dgm:constr type="l" for="ch" forName="Child2" refType="w" fact="0"/>
                  <dgm:constr type="t" for="ch" forName="Child2" refType="h" fact="0.1798"/>
                  <dgm:constr type="w" for="ch" forName="Child2" refType="w" fact="0.3364"/>
                  <dgm:constr type="h" for="ch" forName="Child2" refType="h" fact="0.0981"/>
                  <dgm:constr type="l" for="ch" forName="Child1" refType="w" fact="0.0581"/>
                  <dgm:constr type="t" for="ch" forName="Child1" refType="h" fact="0"/>
                  <dgm:constr type="w" for="ch" forName="Child1" refType="w" fact="0.3364"/>
                  <dgm:constr type="h" for="ch" forName="Child1" refType="h" fact="0.0981"/>
                  <dgm:constr type="l" for="ch" forName="Parent" refType="w" fact="0.3653"/>
                  <dgm:constr type="t" for="ch" forName="Parent" refType="h" fact="0.3513"/>
                  <dgm:constr type="w" for="ch" forName="Parent" refType="w" fact="0.2906"/>
                  <dgm:constr type="h" for="ch" forName="Parent" refType="h" fact="0.3859"/>
                </dgm:constrLst>
              </dgm:else>
            </dgm:choose>
          </dgm:if>
          <dgm:else name="Name13">
            <dgm:choose name="Name14">
              <dgm:if name="Name15" axis="ch" ptType="node" func="cnt" op="equ" val="0">
                <dgm:alg type="composite">
                  <dgm:param type="ar" val="2.1059"/>
                </dgm:alg>
                <dgm:constrLst>
                  <dgm:constr type="r" for="ch" forName="Parent" refType="w"/>
                  <dgm:constr type="t" for="ch" forName="Parent" refType="h" fact="0"/>
                  <dgm:constr type="w" for="ch" forName="Parent" refType="w" fact="0.4749"/>
                  <dgm:constr type="h" for="ch" forName="Parent" refType="h"/>
                  <dgm:constr type="r" for="ch" forName="ParentAccent1" refType="w" fact="0.0469"/>
                  <dgm:constr type="t" for="ch" forName="ParentAccent1" refType="h" fact="0.4506"/>
                  <dgm:constr type="w" for="ch" forName="ParentAccent1" refType="w" fact="0.0469"/>
                  <dgm:constr type="h" for="ch" forName="ParentAccent1" refType="h" fact="0.0988"/>
                  <dgm:constr type="r" for="ch" forName="ParentAccent2" refType="w" fact="0.1266"/>
                  <dgm:constr type="t" for="ch" forName="ParentAccent2" refType="h" fact="0.4506"/>
                  <dgm:constr type="w" for="ch" forName="ParentAccent2" refType="w" fact="0.0469"/>
                  <dgm:constr type="h" for="ch" forName="ParentAccent2" refType="h" fact="0.0988"/>
                  <dgm:constr type="r" for="ch" forName="ParentAccent3" refType="w" fact="0.2063"/>
                  <dgm:constr type="t" for="ch" forName="ParentAccent3" refType="h" fact="0.4506"/>
                  <dgm:constr type="w" for="ch" forName="ParentAccent3" refType="w" fact="0.0469"/>
                  <dgm:constr type="h" for="ch" forName="ParentAccent3" refType="h" fact="0.0988"/>
                  <dgm:constr type="r" for="ch" forName="ParentAccent4" refType="w" fact="0.286"/>
                  <dgm:constr type="t" for="ch" forName="ParentAccent4" refType="h" fact="0.4506"/>
                  <dgm:constr type="w" for="ch" forName="ParentAccent4" refType="w" fact="0.0469"/>
                  <dgm:constr type="h" for="ch" forName="ParentAccent4" refType="h" fact="0.0988"/>
                  <dgm:constr type="r" for="ch" forName="ParentAccent5" refType="w" fact="0.3657"/>
                  <dgm:constr type="t" for="ch" forName="ParentAccent5" refType="h" fact="0.4506"/>
                  <dgm:constr type="w" for="ch" forName="ParentAccent5" refType="w" fact="0.0469"/>
                  <dgm:constr type="h" for="ch" forName="ParentAccent5" refType="h" fact="0.0988"/>
                  <dgm:constr type="r" for="ch" forName="ParentAccent6" refType="w" fact="0.4924"/>
                  <dgm:constr type="t" for="ch" forName="ParentAccent6" refType="h" fact="0.4012"/>
                  <dgm:constr type="w" for="ch" forName="ParentAccent6" refType="w" fact="0.0939"/>
                  <dgm:constr type="h" for="ch" forName="ParentAccent6" refType="h" fact="0.1976"/>
                  <dgm:constr type="r" for="ch" forName="ParentAccent7" refType="w" fact="0.1234"/>
                  <dgm:constr type="t" for="ch" forName="ParentAccent7" refType="h" fact="0.2465"/>
                  <dgm:constr type="w" for="ch" forName="ParentAccent7" refType="w" fact="0.0469"/>
                  <dgm:constr type="h" for="ch" forName="ParentAccent7" refType="h" fact="0.0988"/>
                  <dgm:constr type="r" for="ch" forName="ParentAccent8" refType="w" fact="0.1234"/>
                  <dgm:constr type="t" for="ch" forName="ParentAccent8" refType="h" fact="0.6562"/>
                  <dgm:constr type="w" for="ch" forName="ParentAccent8" refType="w" fact="0.0469"/>
                  <dgm:constr type="h" for="ch" forName="ParentAccent8" refType="h" fact="0.0988"/>
                  <dgm:constr type="r" for="ch" forName="ParentAccent9" refType="w" fact="0.0815"/>
                  <dgm:constr type="t" for="ch" forName="ParentAccent9" refType="h" fact="0.3353"/>
                  <dgm:constr type="w" for="ch" forName="ParentAccent9" refType="w" fact="0.0469"/>
                  <dgm:constr type="h" for="ch" forName="ParentAccent9" refType="h" fact="0.0988"/>
                  <dgm:constr type="r" for="ch" forName="ParentAccent10" refType="w" fact="0.0787"/>
                  <dgm:constr type="t" for="ch" forName="ParentAccent10" refType="h" fact="0.5679"/>
                  <dgm:constr type="w" for="ch" forName="ParentAccent10" refType="w" fact="0.0469"/>
                  <dgm:constr type="h" for="ch" forName="ParentAccent10" refType="h" fact="0.0988"/>
                </dgm:constrLst>
              </dgm:if>
              <dgm:if name="Name16" axis="ch" ptType="node" func="cnt" op="equ" val="1">
                <dgm:alg type="composite">
                  <dgm:param type="ar" val="3.4411"/>
                </dgm:alg>
                <dgm:constrLst>
                  <dgm:constr type="primFontSz" for="des" forName="Child1" val="65"/>
                  <dgm:constr type="primFontSz" for="des" forName="Child1" refType="primFontSz" refFor="des" refForName="Parent" op="lte"/>
                  <dgm:constr type="r" for="ch" forName="Child1Accent1" refType="w" fact="0.716"/>
                  <dgm:constr type="t" for="ch" forName="Child1Accent1" refType="h" fact="0.4012"/>
                  <dgm:constr type="w" for="ch" forName="Child1Accent1" refType="w" fact="0.0574"/>
                  <dgm:constr type="h" for="ch" forName="Child1Accent1" refType="h" fact="0.1976"/>
                  <dgm:constr type="r" for="ch" forName="Child1Accent2" refType="w" fact="0.7728"/>
                  <dgm:constr type="t" for="ch" forName="Child1Accent2" refType="h" fact="0.4506"/>
                  <dgm:constr type="w" for="ch" forName="Child1Accent2" refType="w" fact="0.0287"/>
                  <dgm:constr type="h" for="ch" forName="Child1Accent2" refType="h" fact="0.0988"/>
                  <dgm:constr type="r" for="ch" forName="Child1Accent3" refType="w" fact="0.8295"/>
                  <dgm:constr type="t" for="ch" forName="Child1Accent3" refType="h" fact="0.4506"/>
                  <dgm:constr type="w" for="ch" forName="Child1Accent3" refType="w" fact="0.0287"/>
                  <dgm:constr type="h" for="ch" forName="Child1Accent3" refType="h" fact="0.0988"/>
                  <dgm:constr type="r" for="ch" forName="Child1Accent4" refType="w" fact="0.8863"/>
                  <dgm:constr type="t" for="ch" forName="Child1Accent4" refType="h" fact="0.4506"/>
                  <dgm:constr type="w" for="ch" forName="Child1Accent4" refType="w" fact="0.0287"/>
                  <dgm:constr type="h" for="ch" forName="Child1Accent4" refType="h" fact="0.0988"/>
                  <dgm:constr type="r" for="ch" forName="Child1Accent5" refType="w" fact="0.943"/>
                  <dgm:constr type="t" for="ch" forName="Child1Accent5" refType="h" fact="0.4506"/>
                  <dgm:constr type="w" for="ch" forName="Child1Accent5" refType="w" fact="0.0287"/>
                  <dgm:constr type="h" for="ch" forName="Child1Accent5" refType="h" fact="0.0988"/>
                  <dgm:constr type="r" for="ch" forName="Child1Accent6" refType="w" fact="0.9998"/>
                  <dgm:constr type="t" for="ch" forName="Child1Accent6" refType="h" fact="0.4506"/>
                  <dgm:constr type="w" for="ch" forName="Child1Accent6" refType="w" fact="0.0287"/>
                  <dgm:constr type="h" for="ch" forName="Child1Accent6" refType="h" fact="0.0988"/>
                  <dgm:constr type="l" for="ch" forName="Child1Accent7" refType="w" fact="0"/>
                  <dgm:constr type="t" for="ch" forName="Child1Accent7" refType="h" fact="0"/>
                  <dgm:constr type="w" for="ch" forName="Child1Accent7" refType="w" fact="0"/>
                  <dgm:constr type="h" for="ch" forName="Child1Accent7" refType="h" fact="0"/>
                  <dgm:constr type="l" for="ch" forName="Child1Accent8" refType="w" fact="0"/>
                  <dgm:constr type="t" for="ch" forName="Child1Accent8" refType="h" fact="0"/>
                  <dgm:constr type="w" for="ch" forName="Child1Accent8" refType="w" fact="0"/>
                  <dgm:constr type="h" for="ch" forName="Child1Accent8" refType="h" fact="0"/>
                  <dgm:constr type="l" for="ch" forName="Child1Accent9" refType="w" fact="0"/>
                  <dgm:constr type="t" for="ch" forName="Child1Accent9" refType="h" fact="0"/>
                  <dgm:constr type="w" for="ch" forName="Child1Accent9" refType="w" fact="0"/>
                  <dgm:constr type="h" for="ch" forName="Child1Accent9" refType="h" fact="0"/>
                  <dgm:constr type="r" for="ch" forName="ParentAccent1" refType="w" fact="0.0287"/>
                  <dgm:constr type="t" for="ch" forName="ParentAccent1" refType="h" fact="0.4506"/>
                  <dgm:constr type="w" for="ch" forName="ParentAccent1" refType="w" fact="0.0287"/>
                  <dgm:constr type="h" for="ch" forName="ParentAccent1" refType="h" fact="0.0988"/>
                  <dgm:constr type="r" for="ch" forName="ParentAccent2" refType="w" fact="0.0813"/>
                  <dgm:constr type="t" for="ch" forName="ParentAccent2" refType="h" fact="0.4506"/>
                  <dgm:constr type="w" for="ch" forName="ParentAccent2" refType="w" fact="0.0287"/>
                  <dgm:constr type="h" for="ch" forName="ParentAccent2" refType="h" fact="0.0988"/>
                  <dgm:constr type="r" for="ch" forName="ParentAccent3" refType="w" fact="0.1339"/>
                  <dgm:constr type="t" for="ch" forName="ParentAccent3" refType="h" fact="0.4506"/>
                  <dgm:constr type="w" for="ch" forName="ParentAccent3" refType="w" fact="0.0287"/>
                  <dgm:constr type="h" for="ch" forName="ParentAccent3" refType="h" fact="0.0988"/>
                  <dgm:constr type="r" for="ch" forName="ParentAccent4" refType="w" fact="0.1864"/>
                  <dgm:constr type="t" for="ch" forName="ParentAccent4" refType="h" fact="0.4506"/>
                  <dgm:constr type="w" for="ch" forName="ParentAccent4" refType="w" fact="0.0287"/>
                  <dgm:constr type="h" for="ch" forName="ParentAccent4" refType="h" fact="0.0988"/>
                  <dgm:constr type="r" for="ch" forName="ParentAccent5" refType="w" fact="0.239"/>
                  <dgm:constr type="t" for="ch" forName="ParentAccent5" refType="h" fact="0.4506"/>
                  <dgm:constr type="w" for="ch" forName="ParentAccent5" refType="w" fact="0.0287"/>
                  <dgm:constr type="h" for="ch" forName="ParentAccent5" refType="h" fact="0.0988"/>
                  <dgm:constr type="r" for="ch" forName="ParentAccent6" refType="w" fact="0.3203"/>
                  <dgm:constr type="t" for="ch" forName="ParentAccent6" refType="h" fact="0.4012"/>
                  <dgm:constr type="w" for="ch" forName="ParentAccent6" refType="w" fact="0.0574"/>
                  <dgm:constr type="h" for="ch" forName="ParentAccent6" refType="h" fact="0.1976"/>
                  <dgm:constr type="r" for="ch" forName="ParentAccent7" refType="w" fact="0.0755"/>
                  <dgm:constr type="t" for="ch" forName="ParentAccent7" refType="h" fact="0.2465"/>
                  <dgm:constr type="w" for="ch" forName="ParentAccent7" refType="w" fact="0.0287"/>
                  <dgm:constr type="h" for="ch" forName="ParentAccent7" refType="h" fact="0.0988"/>
                  <dgm:constr type="r" for="ch" forName="ParentAccent8" refType="w" fact="0.0755"/>
                  <dgm:constr type="t" for="ch" forName="ParentAccent8" refType="h" fact="0.6562"/>
                  <dgm:constr type="w" for="ch" forName="ParentAccent8" refType="w" fact="0.0287"/>
                  <dgm:constr type="h" for="ch" forName="ParentAccent8" refType="h" fact="0.0988"/>
                  <dgm:constr type="r" for="ch" forName="ParentAccent9" refType="w" fact="0.0499"/>
                  <dgm:constr type="t" for="ch" forName="ParentAccent9" refType="h" fact="0.3353"/>
                  <dgm:constr type="w" for="ch" forName="ParentAccent9" refType="w" fact="0.0287"/>
                  <dgm:constr type="h" for="ch" forName="ParentAccent9" refType="h" fact="0.0988"/>
                  <dgm:constr type="r" for="ch" forName="ParentAccent10" refType="w" fact="0.0482"/>
                  <dgm:constr type="t" for="ch" forName="ParentAccent10" refType="h" fact="0.5679"/>
                  <dgm:constr type="w" for="ch" forName="ParentAccent10" refType="w" fact="0.0287"/>
                  <dgm:constr type="h" for="ch" forName="ParentAccent10" refType="h" fact="0.0988"/>
                  <dgm:constr type="r" for="ch" forName="Child1" refType="w"/>
                  <dgm:constr type="t" for="ch" forName="Child1" refType="h" fact="0.1978"/>
                  <dgm:constr type="w" for="ch" forName="Child1" refType="w" fact="0.2544"/>
                  <dgm:constr type="h" for="ch" forName="Child1" refType="h" fact="0.2541"/>
                  <dgm:constr type="r" for="ch" forName="Parent" refType="w" fact="0.6347"/>
                  <dgm:constr type="t" for="ch" forName="Parent" refType="h" fact="0"/>
                  <dgm:constr type="w" for="ch" forName="Parent" refType="w" fact="0.2906"/>
                  <dgm:constr type="h" for="ch" forName="Parent" refType="h"/>
                </dgm:constrLst>
              </dgm:if>
              <dgm:if name="Name17" axis="ch" ptType="node" func="cnt" op="equ" val="2">
                <dgm:alg type="composite">
                  <dgm:param type="ar" val="2.1185"/>
                </dgm:alg>
                <dgm:constrLst>
                  <dgm:constr type="primFontSz" for="des" forName="Child1" val="65"/>
                  <dgm:constr type="primFontSz" for="des" forName="Child1" refType="primFontSz" refFor="des" refForName="Parent" op="lte"/>
                  <dgm:constr type="primFontSz" for="des" forName="Child2" refType="primFontSz" refFor="des" refForName="Parent" op="lte"/>
                  <dgm:constr type="primFontSz" for="des" forName="Child2" refType="primFontSz" refFor="des" refForName="Child1" op="equ"/>
                  <dgm:constr type="r" for="ch" forName="Child1Accent1" refType="w" fact="0.6564"/>
                  <dgm:constr type="t" for="ch" forName="Child1Accent1" refType="h" fact="0.2211"/>
                  <dgm:constr type="w" for="ch" forName="Child1Accent1" refType="w" fact="0.0574"/>
                  <dgm:constr type="h" for="ch" forName="Child1Accent1" refType="h" fact="0.1217"/>
                  <dgm:constr type="r" for="ch" forName="Child1Accent2" refType="w" fact="0.6932"/>
                  <dgm:constr type="t" for="ch" forName="Child1Accent2" refType="h" fact="0.1569"/>
                  <dgm:constr type="w" for="ch" forName="Child1Accent2" refType="w" fact="0.0287"/>
                  <dgm:constr type="h" for="ch" forName="Child1Accent2" refType="h" fact="0.0608"/>
                  <dgm:constr type="r" for="ch" forName="Child1Accent3" refType="w" fact="0.7545"/>
                  <dgm:constr type="t" for="ch" forName="Child1Accent3" refType="h" fact="0.1569"/>
                  <dgm:constr type="w" for="ch" forName="Child1Accent3" refType="w" fact="0.0287"/>
                  <dgm:constr type="h" for="ch" forName="Child1Accent3" refType="h" fact="0.0608"/>
                  <dgm:constr type="r" for="ch" forName="Child1Accent4" refType="w" fact="0.8158"/>
                  <dgm:constr type="t" for="ch" forName="Child1Accent4" refType="h" fact="0.1569"/>
                  <dgm:constr type="w" for="ch" forName="Child1Accent4" refType="w" fact="0.0287"/>
                  <dgm:constr type="h" for="ch" forName="Child1Accent4" refType="h" fact="0.0608"/>
                  <dgm:constr type="r" for="ch" forName="Child1Accent5" refType="w" fact="0.8771"/>
                  <dgm:constr type="t" for="ch" forName="Child1Accent5" refType="h" fact="0.1569"/>
                  <dgm:constr type="w" for="ch" forName="Child1Accent5" refType="w" fact="0.0287"/>
                  <dgm:constr type="h" for="ch" forName="Child1Accent5" refType="h" fact="0.0608"/>
                  <dgm:constr type="r" for="ch" forName="Child1Accent6" refType="w" fact="0.9385"/>
                  <dgm:constr type="t" for="ch" forName="Child1Accent6" refType="h" fact="0.1569"/>
                  <dgm:constr type="w" for="ch" forName="Child1Accent6" refType="w" fact="0.0287"/>
                  <dgm:constr type="h" for="ch" forName="Child1Accent6" refType="h" fact="0.0608"/>
                  <dgm:constr type="r" for="ch" forName="Child1Accent7" refType="w" fact="0.9998"/>
                  <dgm:constr type="t" for="ch" forName="Child1Accent7" refType="h" fact="0.1569"/>
                  <dgm:constr type="w" for="ch" forName="Child1Accent7" refType="w" fact="0.0287"/>
                  <dgm:constr type="h" for="ch" forName="Child1Accent7" refType="h" fact="0.0608"/>
                  <dgm:constr type="l" for="ch" forName="Child1Accent8" refType="w" fact="0"/>
                  <dgm:constr type="t" for="ch" forName="Child1Accent8" refType="h" fact="0"/>
                  <dgm:constr type="w" for="ch" forName="Child1Accent8" refType="w" fact="0"/>
                  <dgm:constr type="h" for="ch" forName="Child1Accent8" refType="h" fact="0"/>
                  <dgm:constr type="l" for="ch" forName="Child1Accent9" refType="w" fact="0"/>
                  <dgm:constr type="t" for="ch" forName="Child1Accent9" refType="h" fact="0"/>
                  <dgm:constr type="w" for="ch" forName="Child1Accent9" refType="w" fact="0"/>
                  <dgm:constr type="h" for="ch" forName="Child1Accent9" refType="h" fact="0"/>
                  <dgm:constr type="r" for="ch" forName="Child2Accent1" refType="w" fact="0.6564"/>
                  <dgm:constr type="t" for="ch" forName="Child2Accent1" refType="h" fact="0.8153"/>
                  <dgm:constr type="w" for="ch" forName="Child2Accent1" refType="w" fact="0.0574"/>
                  <dgm:constr type="h" for="ch" forName="Child2Accent1" refType="h" fact="0.1217"/>
                  <dgm:constr type="r" for="ch" forName="Child2Accent2" refType="w" fact="0.6932"/>
                  <dgm:constr type="t" for="ch" forName="Child2Accent2" refType="h" fact="0.9392"/>
                  <dgm:constr type="w" for="ch" forName="Child2Accent2" refType="w" fact="0.0287"/>
                  <dgm:constr type="h" for="ch" forName="Child2Accent2" refType="h" fact="0.0608"/>
                  <dgm:constr type="r" for="ch" forName="Child2Accent3" refType="w" fact="0.7545"/>
                  <dgm:constr type="t" for="ch" forName="Child2Accent3" refType="h" fact="0.9392"/>
                  <dgm:constr type="w" for="ch" forName="Child2Accent3" refType="w" fact="0.0287"/>
                  <dgm:constr type="h" for="ch" forName="Child2Accent3" refType="h" fact="0.0608"/>
                  <dgm:constr type="r" for="ch" forName="Child2Accent4" refType="w" fact="0.8158"/>
                  <dgm:constr type="t" for="ch" forName="Child2Accent4" refType="h" fact="0.9392"/>
                  <dgm:constr type="w" for="ch" forName="Child2Accent4" refType="w" fact="0.0287"/>
                  <dgm:constr type="h" for="ch" forName="Child2Accent4" refType="h" fact="0.0608"/>
                  <dgm:constr type="r" for="ch" forName="Child2Accent5" refType="w" fact="0.8771"/>
                  <dgm:constr type="t" for="ch" forName="Child2Accent5" refType="h" fact="0.9392"/>
                  <dgm:constr type="w" for="ch" forName="Child2Accent5" refType="w" fact="0.0287"/>
                  <dgm:constr type="h" for="ch" forName="Child2Accent5" refType="h" fact="0.0608"/>
                  <dgm:constr type="r" for="ch" forName="Child2Accent6" refType="w" fact="0.9385"/>
                  <dgm:constr type="t" for="ch" forName="Child2Accent6" refType="h" fact="0.9392"/>
                  <dgm:constr type="w" for="ch" forName="Child2Accent6" refType="w" fact="0.0287"/>
                  <dgm:constr type="h" for="ch" forName="Child2Accent6" refType="h" fact="0.0608"/>
                  <dgm:constr type="r" for="ch" forName="Child2Accent7" refType="w" fact="0.9998"/>
                  <dgm:constr type="t" for="ch" forName="Child2Accent7" refType="h" fact="0.9392"/>
                  <dgm:constr type="w" for="ch" forName="Child2Accent7" refType="w" fact="0.0287"/>
                  <dgm:constr type="h" for="ch" forName="Child2Accent7" refType="h" fact="0.0608"/>
                  <dgm:constr type="r" for="ch" forName="ParentAccent1" refType="w" fact="0.0287"/>
                  <dgm:constr type="t" for="ch" forName="ParentAccent1" refType="h" fact="0.5511"/>
                  <dgm:constr type="w" for="ch" forName="ParentAccent1" refType="w" fact="0.0287"/>
                  <dgm:constr type="h" for="ch" forName="ParentAccent1" refType="h" fact="0.0608"/>
                  <dgm:constr type="r" for="ch" forName="ParentAccent2" refType="w" fact="0.0813"/>
                  <dgm:constr type="t" for="ch" forName="ParentAccent2" refType="h" fact="0.5511"/>
                  <dgm:constr type="w" for="ch" forName="ParentAccent2" refType="w" fact="0.0287"/>
                  <dgm:constr type="h" for="ch" forName="ParentAccent2" refType="h" fact="0.0608"/>
                  <dgm:constr type="r" for="ch" forName="ParentAccent3" refType="w" fact="0.1339"/>
                  <dgm:constr type="t" for="ch" forName="ParentAccent3" refType="h" fact="0.5511"/>
                  <dgm:constr type="w" for="ch" forName="ParentAccent3" refType="w" fact="0.0287"/>
                  <dgm:constr type="h" for="ch" forName="ParentAccent3" refType="h" fact="0.0608"/>
                  <dgm:constr type="r" for="ch" forName="ParentAccent4" refType="w" fact="0.1864"/>
                  <dgm:constr type="t" for="ch" forName="ParentAccent4" refType="h" fact="0.5511"/>
                  <dgm:constr type="w" for="ch" forName="ParentAccent4" refType="w" fact="0.0287"/>
                  <dgm:constr type="h" for="ch" forName="ParentAccent4" refType="h" fact="0.0608"/>
                  <dgm:constr type="r" for="ch" forName="ParentAccent5" refType="w" fact="0.239"/>
                  <dgm:constr type="t" for="ch" forName="ParentAccent5" refType="h" fact="0.5511"/>
                  <dgm:constr type="w" for="ch" forName="ParentAccent5" refType="w" fact="0.0287"/>
                  <dgm:constr type="h" for="ch" forName="ParentAccent5" refType="h" fact="0.0608"/>
                  <dgm:constr type="r" for="ch" forName="ParentAccent6" refType="w" fact="0.3203"/>
                  <dgm:constr type="t" for="ch" forName="ParentAccent6" refType="h" fact="0.5207"/>
                  <dgm:constr type="w" for="ch" forName="ParentAccent6" refType="w" fact="0.0574"/>
                  <dgm:constr type="h" for="ch" forName="ParentAccent6" refType="h" fact="0.1217"/>
                  <dgm:constr type="r" for="ch" forName="ParentAccent7" refType="w" fact="0.0755"/>
                  <dgm:constr type="t" for="ch" forName="ParentAccent7" refType="h" fact="0.4255"/>
                  <dgm:constr type="w" for="ch" forName="ParentAccent7" refType="w" fact="0.0287"/>
                  <dgm:constr type="h" for="ch" forName="ParentAccent7" refType="h" fact="0.0608"/>
                  <dgm:constr type="r" for="ch" forName="ParentAccent8" refType="w" fact="0.0755"/>
                  <dgm:constr type="t" for="ch" forName="ParentAccent8" refType="h" fact="0.6776"/>
                  <dgm:constr type="w" for="ch" forName="ParentAccent8" refType="w" fact="0.0287"/>
                  <dgm:constr type="h" for="ch" forName="ParentAccent8" refType="h" fact="0.0608"/>
                  <dgm:constr type="r" for="ch" forName="ParentAccent9" refType="w" fact="0.0499"/>
                  <dgm:constr type="t" for="ch" forName="ParentAccent9" refType="h" fact="0.4801"/>
                  <dgm:constr type="w" for="ch" forName="ParentAccent9" refType="w" fact="0.0287"/>
                  <dgm:constr type="h" for="ch" forName="ParentAccent9" refType="h" fact="0.0608"/>
                  <dgm:constr type="r" for="ch" forName="ParentAccent10" refType="w" fact="0.0482"/>
                  <dgm:constr type="t" for="ch" forName="ParentAccent10" refType="h" fact="0.6233"/>
                  <dgm:constr type="w" for="ch" forName="ParentAccent10" refType="w" fact="0.0287"/>
                  <dgm:constr type="h" for="ch" forName="ParentAccent10" refType="h" fact="0.0608"/>
                  <dgm:constr type="r" for="ch" forName="Child2" refType="w"/>
                  <dgm:constr type="t" for="ch" forName="Child2" refType="h" fact="0.7822"/>
                  <dgm:constr type="w" for="ch" forName="Child2" refType="w" fact="0.3364"/>
                  <dgm:constr type="h" for="ch" forName="Child2" refType="h" fact="0.1564"/>
                  <dgm:constr type="r" for="ch" forName="Child1" refType="w"/>
                  <dgm:constr type="t" for="ch" forName="Child1" refType="h" fact="0"/>
                  <dgm:constr type="w" for="ch" forName="Child1" refType="w" fact="0.3364"/>
                  <dgm:constr type="h" for="ch" forName="Child1" refType="h" fact="0.1564"/>
                  <dgm:constr type="r" for="ch" forName="Parent" refType="w" fact="0.6347"/>
                  <dgm:constr type="t" for="ch" forName="Parent" refType="h" fact="0.2737"/>
                  <dgm:constr type="w" for="ch" forName="Parent" refType="w" fact="0.2906"/>
                  <dgm:constr type="h" for="ch" forName="Parent" refType="h" fact="0.6157"/>
                </dgm:constrLst>
              </dgm:if>
              <dgm:if name="Name18" axis="ch" ptType="node" func="cnt" op="equ" val="3">
                <dgm:alg type="composite">
                  <dgm:param type="ar" val="2.1185"/>
                </dgm:alg>
                <dgm:constrLst>
                  <dgm:constr type="primFontSz" for="des" forName="Child1" val="65"/>
                  <dgm:constr type="primFontSz" for="des" forName="Child1" refType="primFontSz" refFor="des" refForName="Parent" op="lte"/>
                  <dgm:constr type="primFontSz" for="des" forName="Child2" refType="primFontSz" refFor="des" refForName="Parent" op="lte"/>
                  <dgm:constr type="primFontSz" for="des" forName="Child3" refType="primFontSz" refFor="des" refForName="Parent" op="lte"/>
                  <dgm:constr type="primFontSz" for="des" forName="Child2" refType="primFontSz" refFor="des" refForName="Child1" op="equ"/>
                  <dgm:constr type="primFontSz" for="des" forName="Child3" refType="primFontSz" refFor="des" refForName="Child1" op="equ"/>
                  <dgm:constr type="r" for="ch" forName="Child1Accent1" refType="w" fact="0.6564"/>
                  <dgm:constr type="t" for="ch" forName="Child1Accent1" refType="h" fact="0.2211"/>
                  <dgm:constr type="w" for="ch" forName="Child1Accent1" refType="w" fact="0.0574"/>
                  <dgm:constr type="h" for="ch" forName="Child1Accent1" refType="h" fact="0.1217"/>
                  <dgm:constr type="r" for="ch" forName="Child1Accent2" refType="w" fact="0.6932"/>
                  <dgm:constr type="t" for="ch" forName="Child1Accent2" refType="h" fact="0.1569"/>
                  <dgm:constr type="w" for="ch" forName="Child1Accent2" refType="w" fact="0.0287"/>
                  <dgm:constr type="h" for="ch" forName="Child1Accent2" refType="h" fact="0.0608"/>
                  <dgm:constr type="r" for="ch" forName="Child1Accent3" refType="w" fact="0.7545"/>
                  <dgm:constr type="t" for="ch" forName="Child1Accent3" refType="h" fact="0.1569"/>
                  <dgm:constr type="w" for="ch" forName="Child1Accent3" refType="w" fact="0.0287"/>
                  <dgm:constr type="h" for="ch" forName="Child1Accent3" refType="h" fact="0.0608"/>
                  <dgm:constr type="r" for="ch" forName="Child1Accent4" refType="w" fact="0.8158"/>
                  <dgm:constr type="t" for="ch" forName="Child1Accent4" refType="h" fact="0.1569"/>
                  <dgm:constr type="w" for="ch" forName="Child1Accent4" refType="w" fact="0.0287"/>
                  <dgm:constr type="h" for="ch" forName="Child1Accent4" refType="h" fact="0.0608"/>
                  <dgm:constr type="r" for="ch" forName="Child1Accent5" refType="w" fact="0.8771"/>
                  <dgm:constr type="t" for="ch" forName="Child1Accent5" refType="h" fact="0.1569"/>
                  <dgm:constr type="w" for="ch" forName="Child1Accent5" refType="w" fact="0.0287"/>
                  <dgm:constr type="h" for="ch" forName="Child1Accent5" refType="h" fact="0.0608"/>
                  <dgm:constr type="r" for="ch" forName="Child1Accent6" refType="w" fact="0.9385"/>
                  <dgm:constr type="t" for="ch" forName="Child1Accent6" refType="h" fact="0.1569"/>
                  <dgm:constr type="w" for="ch" forName="Child1Accent6" refType="w" fact="0.0287"/>
                  <dgm:constr type="h" for="ch" forName="Child1Accent6" refType="h" fact="0.0608"/>
                  <dgm:constr type="r" for="ch" forName="Child1Accent7" refType="w" fact="0.9998"/>
                  <dgm:constr type="t" for="ch" forName="Child1Accent7" refType="h" fact="0.1569"/>
                  <dgm:constr type="w" for="ch" forName="Child1Accent7" refType="w" fact="0.0287"/>
                  <dgm:constr type="h" for="ch" forName="Child1Accent7" refType="h" fact="0.0608"/>
                  <dgm:constr type="r" for="ch" forName="Child1Accent8" refType="w" fact="0"/>
                  <dgm:constr type="t" for="ch" forName="Child1Accent8" refType="h" fact="0"/>
                  <dgm:constr type="w" for="ch" forName="Child1Accent8" refType="w" fact="0"/>
                  <dgm:constr type="h" for="ch" forName="Child1Accent8" refType="h" fact="0"/>
                  <dgm:constr type="r" for="ch" forName="Child1Accent9" refType="w" fact="0"/>
                  <dgm:constr type="t" for="ch" forName="Child1Accent9" refType="h" fact="0"/>
                  <dgm:constr type="w" for="ch" forName="Child1Accent9" refType="w" fact="0"/>
                  <dgm:constr type="h" for="ch" forName="Child1Accent9" refType="h" fact="0"/>
                  <dgm:constr type="r" for="ch" forName="Child2Accent1" refType="w" fact="0.716"/>
                  <dgm:constr type="t" for="ch" forName="Child2Accent1" refType="h" fact="0.5207"/>
                  <dgm:constr type="w" for="ch" forName="Child2Accent1" refType="w" fact="0.0574"/>
                  <dgm:constr type="h" for="ch" forName="Child2Accent1" refType="h" fact="0.1217"/>
                  <dgm:constr type="r" for="ch" forName="Child2Accent2" refType="w" fact="0.7728"/>
                  <dgm:constr type="t" for="ch" forName="Child2Accent2" refType="h" fact="0.5511"/>
                  <dgm:constr type="w" for="ch" forName="Child2Accent2" refType="w" fact="0.0287"/>
                  <dgm:constr type="h" for="ch" forName="Child2Accent2" refType="h" fact="0.0608"/>
                  <dgm:constr type="r" for="ch" forName="Child2Accent3" refType="w" fact="0.8295"/>
                  <dgm:constr type="t" for="ch" forName="Child2Accent3" refType="h" fact="0.5511"/>
                  <dgm:constr type="w" for="ch" forName="Child2Accent3" refType="w" fact="0.0287"/>
                  <dgm:constr type="h" for="ch" forName="Child2Accent3" refType="h" fact="0.0608"/>
                  <dgm:constr type="r" for="ch" forName="Child2Accent4" refType="w" fact="0.8863"/>
                  <dgm:constr type="t" for="ch" forName="Child2Accent4" refType="h" fact="0.5511"/>
                  <dgm:constr type="w" for="ch" forName="Child2Accent4" refType="w" fact="0.0287"/>
                  <dgm:constr type="h" for="ch" forName="Child2Accent4" refType="h" fact="0.0608"/>
                  <dgm:constr type="r" for="ch" forName="Child2Accent5" refType="w" fact="0.943"/>
                  <dgm:constr type="t" for="ch" forName="Child2Accent5" refType="h" fact="0.5511"/>
                  <dgm:constr type="w" for="ch" forName="Child2Accent5" refType="w" fact="0.0287"/>
                  <dgm:constr type="h" for="ch" forName="Child2Accent5" refType="h" fact="0.0608"/>
                  <dgm:constr type="r" for="ch" forName="Child2Accent6" refType="w" fact="0.9998"/>
                  <dgm:constr type="t" for="ch" forName="Child2Accent6" refType="h" fact="0.5511"/>
                  <dgm:constr type="w" for="ch" forName="Child2Accent6" refType="w" fact="0.0287"/>
                  <dgm:constr type="h" for="ch" forName="Child2Accent6" refType="h" fact="0.0608"/>
                  <dgm:constr type="r" for="ch" forName="Child2Accent7" refType="w" fact="0"/>
                  <dgm:constr type="t" for="ch" forName="Child2Accent7" refType="h" fact="0"/>
                  <dgm:constr type="w" for="ch" forName="Child2Accent7" refType="w" fact="0"/>
                  <dgm:constr type="h" for="ch" forName="Child2Accent7" refType="h" fact="0"/>
                  <dgm:constr type="r" for="ch" forName="Child3Accent1" refType="w" fact="0.6564"/>
                  <dgm:constr type="t" for="ch" forName="Child3Accent1" refType="h" fact="0.8153"/>
                  <dgm:constr type="w" for="ch" forName="Child3Accent1" refType="w" fact="0.0574"/>
                  <dgm:constr type="h" for="ch" forName="Child3Accent1" refType="h" fact="0.1217"/>
                  <dgm:constr type="r" for="ch" forName="Child3Accent2" refType="w" fact="0.6932"/>
                  <dgm:constr type="t" for="ch" forName="Child3Accent2" refType="h" fact="0.9392"/>
                  <dgm:constr type="w" for="ch" forName="Child3Accent2" refType="w" fact="0.0287"/>
                  <dgm:constr type="h" for="ch" forName="Child3Accent2" refType="h" fact="0.0608"/>
                  <dgm:constr type="r" for="ch" forName="Child3Accent3" refType="w" fact="0.7545"/>
                  <dgm:constr type="t" for="ch" forName="Child3Accent3" refType="h" fact="0.9392"/>
                  <dgm:constr type="w" for="ch" forName="Child3Accent3" refType="w" fact="0.0287"/>
                  <dgm:constr type="h" for="ch" forName="Child3Accent3" refType="h" fact="0.0608"/>
                  <dgm:constr type="r" for="ch" forName="Child3Accent4" refType="w" fact="0.8158"/>
                  <dgm:constr type="t" for="ch" forName="Child3Accent4" refType="h" fact="0.9392"/>
                  <dgm:constr type="w" for="ch" forName="Child3Accent4" refType="w" fact="0.0287"/>
                  <dgm:constr type="h" for="ch" forName="Child3Accent4" refType="h" fact="0.0608"/>
                  <dgm:constr type="r" for="ch" forName="Child3Accent5" refType="w" fact="0.8771"/>
                  <dgm:constr type="t" for="ch" forName="Child3Accent5" refType="h" fact="0.9392"/>
                  <dgm:constr type="w" for="ch" forName="Child3Accent5" refType="w" fact="0.0287"/>
                  <dgm:constr type="h" for="ch" forName="Child3Accent5" refType="h" fact="0.0608"/>
                  <dgm:constr type="r" for="ch" forName="Child3Accent6" refType="w" fact="0.9385"/>
                  <dgm:constr type="t" for="ch" forName="Child3Accent6" refType="h" fact="0.9392"/>
                  <dgm:constr type="w" for="ch" forName="Child3Accent6" refType="w" fact="0.0287"/>
                  <dgm:constr type="h" for="ch" forName="Child3Accent6" refType="h" fact="0.0608"/>
                  <dgm:constr type="r" for="ch" forName="Child3Accent7" refType="w" fact="0.9998"/>
                  <dgm:constr type="t" for="ch" forName="Child3Accent7" refType="h" fact="0.9392"/>
                  <dgm:constr type="w" for="ch" forName="Child3Accent7" refType="w" fact="0.0287"/>
                  <dgm:constr type="h" for="ch" forName="Child3Accent7" refType="h" fact="0.0608"/>
                  <dgm:constr type="r" for="ch" forName="ParentAccent1" refType="w" fact="0.0287"/>
                  <dgm:constr type="t" for="ch" forName="ParentAccent1" refType="h" fact="0.5511"/>
                  <dgm:constr type="w" for="ch" forName="ParentAccent1" refType="w" fact="0.0287"/>
                  <dgm:constr type="h" for="ch" forName="ParentAccent1" refType="h" fact="0.0608"/>
                  <dgm:constr type="r" for="ch" forName="ParentAccent2" refType="w" fact="0.0813"/>
                  <dgm:constr type="t" for="ch" forName="ParentAccent2" refType="h" fact="0.5511"/>
                  <dgm:constr type="w" for="ch" forName="ParentAccent2" refType="w" fact="0.0287"/>
                  <dgm:constr type="h" for="ch" forName="ParentAccent2" refType="h" fact="0.0608"/>
                  <dgm:constr type="r" for="ch" forName="ParentAccent3" refType="w" fact="0.1339"/>
                  <dgm:constr type="t" for="ch" forName="ParentAccent3" refType="h" fact="0.5511"/>
                  <dgm:constr type="w" for="ch" forName="ParentAccent3" refType="w" fact="0.0287"/>
                  <dgm:constr type="h" for="ch" forName="ParentAccent3" refType="h" fact="0.0608"/>
                  <dgm:constr type="r" for="ch" forName="ParentAccent4" refType="w" fact="0.1864"/>
                  <dgm:constr type="t" for="ch" forName="ParentAccent4" refType="h" fact="0.5511"/>
                  <dgm:constr type="w" for="ch" forName="ParentAccent4" refType="w" fact="0.0287"/>
                  <dgm:constr type="h" for="ch" forName="ParentAccent4" refType="h" fact="0.0608"/>
                  <dgm:constr type="r" for="ch" forName="ParentAccent5" refType="w" fact="0.239"/>
                  <dgm:constr type="t" for="ch" forName="ParentAccent5" refType="h" fact="0.5511"/>
                  <dgm:constr type="w" for="ch" forName="ParentAccent5" refType="w" fact="0.0287"/>
                  <dgm:constr type="h" for="ch" forName="ParentAccent5" refType="h" fact="0.0608"/>
                  <dgm:constr type="r" for="ch" forName="ParentAccent6" refType="w" fact="0.3203"/>
                  <dgm:constr type="t" for="ch" forName="ParentAccent6" refType="h" fact="0.5207"/>
                  <dgm:constr type="w" for="ch" forName="ParentAccent6" refType="w" fact="0.0574"/>
                  <dgm:constr type="h" for="ch" forName="ParentAccent6" refType="h" fact="0.1217"/>
                  <dgm:constr type="r" for="ch" forName="ParentAccent7" refType="w" fact="0.0755"/>
                  <dgm:constr type="t" for="ch" forName="ParentAccent7" refType="h" fact="0.4255"/>
                  <dgm:constr type="w" for="ch" forName="ParentAccent7" refType="w" fact="0.0287"/>
                  <dgm:constr type="h" for="ch" forName="ParentAccent7" refType="h" fact="0.0608"/>
                  <dgm:constr type="r" for="ch" forName="ParentAccent8" refType="w" fact="0.0755"/>
                  <dgm:constr type="t" for="ch" forName="ParentAccent8" refType="h" fact="0.6776"/>
                  <dgm:constr type="w" for="ch" forName="ParentAccent8" refType="w" fact="0.0287"/>
                  <dgm:constr type="h" for="ch" forName="ParentAccent8" refType="h" fact="0.0608"/>
                  <dgm:constr type="r" for="ch" forName="ParentAccent9" refType="w" fact="0.0499"/>
                  <dgm:constr type="t" for="ch" forName="ParentAccent9" refType="h" fact="0.4801"/>
                  <dgm:constr type="w" for="ch" forName="ParentAccent9" refType="w" fact="0.0287"/>
                  <dgm:constr type="h" for="ch" forName="ParentAccent9" refType="h" fact="0.0608"/>
                  <dgm:constr type="r" for="ch" forName="ParentAccent10" refType="w" fact="0.0482"/>
                  <dgm:constr type="t" for="ch" forName="ParentAccent10" refType="h" fact="0.6233"/>
                  <dgm:constr type="w" for="ch" forName="ParentAccent10" refType="w" fact="0.0287"/>
                  <dgm:constr type="h" for="ch" forName="ParentAccent10" refType="h" fact="0.0608"/>
                  <dgm:constr type="r" for="ch" forName="Child3" refType="w"/>
                  <dgm:constr type="t" for="ch" forName="Child3" refType="h" fact="0.7822"/>
                  <dgm:constr type="w" for="ch" forName="Child3" refType="w" fact="0.3364"/>
                  <dgm:constr type="h" for="ch" forName="Child3" refType="h" fact="0.1564"/>
                  <dgm:constr type="r" for="ch" forName="Child2" refType="w"/>
                  <dgm:constr type="t" for="ch" forName="Child2" refType="h" fact="0.3955"/>
                  <dgm:constr type="w" for="ch" forName="Child2" refType="w" fact="0.2544"/>
                  <dgm:constr type="h" for="ch" forName="Child2" refType="h" fact="0.1564"/>
                  <dgm:constr type="r" for="ch" forName="Child1" refType="w"/>
                  <dgm:constr type="t" for="ch" forName="Child1" refType="h" fact="0"/>
                  <dgm:constr type="w" for="ch" forName="Child1" refType="w" fact="0.3364"/>
                  <dgm:constr type="h" for="ch" forName="Child1" refType="h" fact="0.1564"/>
                  <dgm:constr type="r" for="ch" forName="Parent" refType="w" fact="0.6347"/>
                  <dgm:constr type="t" for="ch" forName="Parent" refType="h" fact="0.2737"/>
                  <dgm:constr type="w" for="ch" forName="Parent" refType="w" fact="0.2906"/>
                  <dgm:constr type="h" for="ch" forName="Parent" refType="h" fact="0.6157"/>
                </dgm:constrLst>
              </dgm:if>
              <dgm:if name="Name19" axis="ch" ptType="node" func="cnt" op="equ" val="4">
                <dgm:alg type="composite">
                  <dgm:param type="ar" val="1.8304"/>
                </dgm:alg>
                <dgm:constrLst>
                  <dgm:constr type="primFontSz" for="des" forName="Child1" val="65"/>
                  <dgm:constr type="primFontSz" for="des" forName="Child1" refType="primFontSz" refFor="des" refForName="Parent" op="lte"/>
                  <dgm:constr type="primFontSz" for="des" forName="Child2" refType="primFontSz" refFor="des" refForName="Parent" op="lte"/>
                  <dgm:constr type="primFontSz" for="des" forName="Child3" refType="primFontSz" refFor="des" refForName="Parent" op="lte"/>
                  <dgm:constr type="primFontSz" for="des" forName="Child4" refType="primFontSz" refFor="des" refForName="Parent" op="lte"/>
                  <dgm:constr type="primFontSz" for="des" forName="Child2" refType="primFontSz" refFor="des" refForName="Child1" op="equ"/>
                  <dgm:constr type="primFontSz" for="des" forName="Child3" refType="primFontSz" refFor="des" refForName="Child1" op="equ"/>
                  <dgm:constr type="primFontSz" for="des" forName="Child4" refType="primFontSz" refFor="des" refForName="Child1" op="equ"/>
                  <dgm:constr type="r" for="ch" forName="Parent" refType="w" fact="0.6229"/>
                  <dgm:constr type="t" for="ch" forName="Parent" refType="h" fact="0.2946"/>
                  <dgm:constr type="w" for="ch" forName="Parent" refType="w" fact="0.2862"/>
                  <dgm:constr type="h" for="ch" forName="Parent" refType="h" fact="0.5239"/>
                  <dgm:constr type="r" for="ch" forName="Child1Accent1" refType="w" fact="0.6096"/>
                  <dgm:constr type="t" for="ch" forName="Child1Accent1" refType="h" fact="0.2104"/>
                  <dgm:constr type="w" for="ch" forName="Child1Accent1" refType="w" fact="0.0566"/>
                  <dgm:constr type="h" for="ch" forName="Child1Accent1" refType="h" fact="0.1035"/>
                  <dgm:constr type="r" for="ch" forName="Child1Accent3" refType="w" fact="0.6999"/>
                  <dgm:constr type="t" for="ch" forName="Child1Accent3" refType="h" fact="0.128"/>
                  <dgm:constr type="w" for="ch" forName="Child1Accent3" refType="w" fact="0.0283"/>
                  <dgm:constr type="h" for="ch" forName="Child1Accent3" refType="h" fact="0.0518"/>
                  <dgm:constr type="r" for="ch" forName="Child1Accent4" refType="w" fact="0.7582"/>
                  <dgm:constr type="t" for="ch" forName="Child1Accent4" refType="h" fact="0.128"/>
                  <dgm:constr type="w" for="ch" forName="Child1Accent4" refType="w" fact="0.0283"/>
                  <dgm:constr type="h" for="ch" forName="Child1Accent4" refType="h" fact="0.0518"/>
                  <dgm:constr type="r" for="ch" forName="Child1Accent5" refType="w" fact="0.8165"/>
                  <dgm:constr type="t" for="ch" forName="Child1Accent5" refType="h" fact="0.128"/>
                  <dgm:constr type="w" for="ch" forName="Child1Accent5" refType="w" fact="0.0283"/>
                  <dgm:constr type="h" for="ch" forName="Child1Accent5" refType="h" fact="0.0518"/>
                  <dgm:constr type="r" for="ch" forName="Child1Accent6" refType="w" fact="0.8748"/>
                  <dgm:constr type="t" for="ch" forName="Child1Accent6" refType="h" fact="0.128"/>
                  <dgm:constr type="w" for="ch" forName="Child1Accent6" refType="w" fact="0.0283"/>
                  <dgm:constr type="h" for="ch" forName="Child1Accent6" refType="h" fact="0.0518"/>
                  <dgm:constr type="r" for="ch" forName="Child3Accent1" refType="w" fact="0.6842"/>
                  <dgm:constr type="t" for="ch" forName="Child3Accent1" refType="h" fact="0.6212"/>
                  <dgm:constr type="w" for="ch" forName="Child3Accent1" refType="w" fact="0.0566"/>
                  <dgm:constr type="h" for="ch" forName="Child3Accent1" refType="h" fact="0.1035"/>
                  <dgm:constr type="r" for="ch" forName="Child3Accent2" refType="w" fact="0.7311"/>
                  <dgm:constr type="t" for="ch" forName="Child3Accent2" refType="h" fact="0.6828"/>
                  <dgm:constr type="w" for="ch" forName="Child3Accent2" refType="w" fact="0.0283"/>
                  <dgm:constr type="h" for="ch" forName="Child3Accent2" refType="h" fact="0.0518"/>
                  <dgm:constr type="r" for="ch" forName="Child3Accent4" refType="w" fact="0.8386"/>
                  <dgm:constr type="t" for="ch" forName="Child3Accent4" refType="h" fact="0.6828"/>
                  <dgm:constr type="w" for="ch" forName="Child3Accent4" refType="w" fact="0.0283"/>
                  <dgm:constr type="h" for="ch" forName="Child3Accent4" refType="h" fact="0.0518"/>
                  <dgm:constr type="r" for="ch" forName="Child3Accent5" refType="w" fact="0.8923"/>
                  <dgm:constr type="t" for="ch" forName="Child3Accent5" refType="h" fact="0.6828"/>
                  <dgm:constr type="w" for="ch" forName="Child3Accent5" refType="w" fact="0.0283"/>
                  <dgm:constr type="h" for="ch" forName="Child3Accent5" refType="h" fact="0.0518"/>
                  <dgm:constr type="r" for="ch" forName="Child1Accent7" refType="w" fact="0.9332"/>
                  <dgm:constr type="t" for="ch" forName="Child1Accent7" refType="h" fact="0.128"/>
                  <dgm:constr type="w" for="ch" forName="Child1Accent7" refType="w" fact="0.0283"/>
                  <dgm:constr type="h" for="ch" forName="Child1Accent7" refType="h" fact="0.0518"/>
                  <dgm:constr type="r" for="ch" forName="Child3Accent6" refType="w" fact="0.9461"/>
                  <dgm:constr type="t" for="ch" forName="Child3Accent6" refType="h" fact="0.6828"/>
                  <dgm:constr type="w" for="ch" forName="Child3Accent6" refType="w" fact="0.0283"/>
                  <dgm:constr type="h" for="ch" forName="Child3Accent6" refType="h" fact="0.0518"/>
                  <dgm:constr type="r" for="ch" forName="Child1Accent8" refType="w" fact="0.9915"/>
                  <dgm:constr type="t" for="ch" forName="Child1Accent8" refType="h" fact="0.128"/>
                  <dgm:constr type="w" for="ch" forName="Child1Accent8" refType="w" fact="0.0283"/>
                  <dgm:constr type="h" for="ch" forName="Child1Accent8" refType="h" fact="0.0518"/>
                  <dgm:constr type="r" for="ch" forName="Child1Accent9" refType="w" fact="0"/>
                  <dgm:constr type="t" for="ch" forName="Child1Accent9" refType="h" fact="0"/>
                  <dgm:constr type="w" for="ch" forName="Child1Accent9" refType="w" fact="0"/>
                  <dgm:constr type="h" for="ch" forName="Child1Accent9" refType="h" fact="0"/>
                  <dgm:constr type="r" for="ch" forName="Child3Accent7" refType="w" fact="0.9998"/>
                  <dgm:constr type="t" for="ch" forName="Child3Accent7" refType="h" fact="0.6828"/>
                  <dgm:constr type="w" for="ch" forName="Child3Accent7" refType="w" fact="0.0283"/>
                  <dgm:constr type="h" for="ch" forName="Child3Accent7" refType="h" fact="0.0518"/>
                  <dgm:constr type="r" for="ch" forName="Child4Accent1" refType="w" fact="0.6096"/>
                  <dgm:constr type="t" for="ch" forName="Child4Accent1" refType="h" fact="0.8"/>
                  <dgm:constr type="w" for="ch" forName="Child4Accent1" refType="w" fact="0.0566"/>
                  <dgm:constr type="h" for="ch" forName="Child4Accent1" refType="h" fact="0.1035"/>
                  <dgm:constr type="r" for="ch" forName="Child4Accent3" refType="w" fact="0.7002"/>
                  <dgm:constr type="t" for="ch" forName="Child4Accent3" refType="h" fact="0.9482"/>
                  <dgm:constr type="w" for="ch" forName="Child4Accent3" refType="w" fact="0.0283"/>
                  <dgm:constr type="h" for="ch" forName="Child4Accent3" refType="h" fact="0.0518"/>
                  <dgm:constr type="r" for="ch" forName="Child4Accent4" refType="w" fact="0.7585"/>
                  <dgm:constr type="t" for="ch" forName="Child4Accent4" refType="h" fact="0.9482"/>
                  <dgm:constr type="w" for="ch" forName="Child4Accent4" refType="w" fact="0.0283"/>
                  <dgm:constr type="h" for="ch" forName="Child4Accent4" refType="h" fact="0.0518"/>
                  <dgm:constr type="r" for="ch" forName="Child4Accent5" refType="w" fact="0.8167"/>
                  <dgm:constr type="t" for="ch" forName="Child4Accent5" refType="h" fact="0.9482"/>
                  <dgm:constr type="w" for="ch" forName="Child4Accent5" refType="w" fact="0.0283"/>
                  <dgm:constr type="h" for="ch" forName="Child4Accent5" refType="h" fact="0.0518"/>
                  <dgm:constr type="r" for="ch" forName="Child4Accent6" refType="w" fact="0.8749"/>
                  <dgm:constr type="t" for="ch" forName="Child4Accent6" refType="h" fact="0.9482"/>
                  <dgm:constr type="w" for="ch" forName="Child4Accent6" refType="w" fact="0.0283"/>
                  <dgm:constr type="h" for="ch" forName="Child4Accent6" refType="h" fact="0.0518"/>
                  <dgm:constr type="r" for="ch" forName="Child4Accent7" refType="w" fact="0.9332"/>
                  <dgm:constr type="t" for="ch" forName="Child4Accent7" refType="h" fact="0.9482"/>
                  <dgm:constr type="w" for="ch" forName="Child4Accent7" refType="w" fact="0.0283"/>
                  <dgm:constr type="h" for="ch" forName="Child4Accent7" refType="h" fact="0.0518"/>
                  <dgm:constr type="r" for="ch" forName="Child4Accent8" refType="w" fact="0.9914"/>
                  <dgm:constr type="t" for="ch" forName="Child4Accent8" refType="h" fact="0.9482"/>
                  <dgm:constr type="w" for="ch" forName="Child4Accent8" refType="w" fact="0.0283"/>
                  <dgm:constr type="h" for="ch" forName="Child4Accent8" refType="h" fact="0.0518"/>
                  <dgm:constr type="r" for="ch" forName="Child2Accent1" refType="w" fact="0.6842"/>
                  <dgm:constr type="t" for="ch" forName="Child2Accent1" refType="h" fact="0.3725"/>
                  <dgm:constr type="w" for="ch" forName="Child2Accent1" refType="w" fact="0.0566"/>
                  <dgm:constr type="h" for="ch" forName="Child2Accent1" refType="h" fact="0.1035"/>
                  <dgm:constr type="r" for="ch" forName="Child4Accent2" refType="w" fact="0.642"/>
                  <dgm:constr type="t" for="ch" forName="Child4Accent2" refType="h" fact="0.8993"/>
                  <dgm:constr type="w" for="ch" forName="Child4Accent2" refType="w" fact="0.0283"/>
                  <dgm:constr type="h" for="ch" forName="Child4Accent2" refType="h" fact="0.0518"/>
                  <dgm:constr type="r" for="ch" forName="Child1Accent2" refType="w" fact="0.6415"/>
                  <dgm:constr type="t" for="ch" forName="Child1Accent2" refType="h" fact="0.162"/>
                  <dgm:constr type="w" for="ch" forName="Child1Accent2" refType="w" fact="0.0283"/>
                  <dgm:constr type="h" for="ch" forName="Child1Accent2" refType="h" fact="0.0518"/>
                  <dgm:constr type="r" for="ch" forName="Child3Accent3" refType="w" fact="0.7849"/>
                  <dgm:constr type="t" for="ch" forName="Child3Accent3" refType="h" fact="0.6828"/>
                  <dgm:constr type="w" for="ch" forName="Child3Accent3" refType="w" fact="0.0283"/>
                  <dgm:constr type="h" for="ch" forName="Child3Accent3" refType="h" fact="0.0518"/>
                  <dgm:constr type="r" for="ch" forName="Child2Accent2" refType="w" fact="0.7311"/>
                  <dgm:constr type="t" for="ch" forName="Child2Accent2" refType="h" fact="0.3937"/>
                  <dgm:constr type="w" for="ch" forName="Child2Accent2" refType="w" fact="0.0283"/>
                  <dgm:constr type="h" for="ch" forName="Child2Accent2" refType="h" fact="0.0518"/>
                  <dgm:constr type="r" for="ch" forName="Child2Accent4" refType="w" fact="0.8386"/>
                  <dgm:constr type="t" for="ch" forName="Child2Accent4" refType="h" fact="0.3937"/>
                  <dgm:constr type="w" for="ch" forName="Child2Accent4" refType="w" fact="0.0283"/>
                  <dgm:constr type="h" for="ch" forName="Child2Accent4" refType="h" fact="0.0518"/>
                  <dgm:constr type="r" for="ch" forName="Child2Accent5" refType="w" fact="0.8923"/>
                  <dgm:constr type="t" for="ch" forName="Child2Accent5" refType="h" fact="0.3937"/>
                  <dgm:constr type="w" for="ch" forName="Child2Accent5" refType="w" fact="0.0283"/>
                  <dgm:constr type="h" for="ch" forName="Child2Accent5" refType="h" fact="0.0518"/>
                  <dgm:constr type="r" for="ch" forName="Child2Accent6" refType="w" fact="0.9461"/>
                  <dgm:constr type="t" for="ch" forName="Child2Accent6" refType="h" fact="0.3937"/>
                  <dgm:constr type="w" for="ch" forName="Child2Accent6" refType="w" fact="0.0283"/>
                  <dgm:constr type="h" for="ch" forName="Child2Accent6" refType="h" fact="0.0518"/>
                  <dgm:constr type="r" for="ch" forName="Child2Accent7" refType="w" fact="0.9998"/>
                  <dgm:constr type="t" for="ch" forName="Child2Accent7" refType="h" fact="0.3937"/>
                  <dgm:constr type="w" for="ch" forName="Child2Accent7" refType="w" fact="0.0283"/>
                  <dgm:constr type="h" for="ch" forName="Child2Accent7" refType="h" fact="0.0518"/>
                  <dgm:constr type="r" for="ch" forName="Child2Accent3" refType="w" fact="0.7849"/>
                  <dgm:constr type="t" for="ch" forName="Child2Accent3" refType="h" fact="0.3937"/>
                  <dgm:constr type="w" for="ch" forName="Child2Accent3" refType="w" fact="0.0283"/>
                  <dgm:constr type="h" for="ch" forName="Child2Accent3" refType="h" fact="0.0518"/>
                  <dgm:constr type="r" for="ch" forName="ParentAccent1" refType="w" fact="0.0283"/>
                  <dgm:constr type="t" for="ch" forName="ParentAccent1" refType="h" fact="0.5316"/>
                  <dgm:constr type="w" for="ch" forName="ParentAccent1" refType="w" fact="0.0283"/>
                  <dgm:constr type="h" for="ch" forName="ParentAccent1" refType="h" fact="0.0518"/>
                  <dgm:constr type="r" for="ch" forName="ParentAccent2" refType="w" fact="0.0801"/>
                  <dgm:constr type="t" for="ch" forName="ParentAccent2" refType="h" fact="0.5316"/>
                  <dgm:constr type="w" for="ch" forName="ParentAccent2" refType="w" fact="0.0283"/>
                  <dgm:constr type="h" for="ch" forName="ParentAccent2" refType="h" fact="0.0518"/>
                  <dgm:constr type="r" for="ch" forName="ParentAccent3" refType="w" fact="0.1318"/>
                  <dgm:constr type="t" for="ch" forName="ParentAccent3" refType="h" fact="0.5316"/>
                  <dgm:constr type="w" for="ch" forName="ParentAccent3" refType="w" fact="0.0283"/>
                  <dgm:constr type="h" for="ch" forName="ParentAccent3" refType="h" fact="0.0518"/>
                  <dgm:constr type="r" for="ch" forName="ParentAccent4" refType="w" fact="0.1836"/>
                  <dgm:constr type="t" for="ch" forName="ParentAccent4" refType="h" fact="0.5316"/>
                  <dgm:constr type="w" for="ch" forName="ParentAccent4" refType="w" fact="0.0283"/>
                  <dgm:constr type="h" for="ch" forName="ParentAccent4" refType="h" fact="0.0518"/>
                  <dgm:constr type="r" for="ch" forName="ParentAccent5" refType="w" fact="0.2354"/>
                  <dgm:constr type="t" for="ch" forName="ParentAccent5" refType="h" fact="0.5316"/>
                  <dgm:constr type="w" for="ch" forName="ParentAccent5" refType="w" fact="0.0283"/>
                  <dgm:constr type="h" for="ch" forName="ParentAccent5" refType="h" fact="0.0518"/>
                  <dgm:constr type="r" for="ch" forName="ParentAccent6" refType="w" fact="0.3154"/>
                  <dgm:constr type="t" for="ch" forName="ParentAccent6" refType="h" fact="0.5057"/>
                  <dgm:constr type="w" for="ch" forName="ParentAccent6" refType="w" fact="0.0566"/>
                  <dgm:constr type="h" for="ch" forName="ParentAccent6" refType="h" fact="0.1035"/>
                  <dgm:constr type="r" for="ch" forName="ParentAccent7" refType="w" fact="0.0744"/>
                  <dgm:constr type="t" for="ch" forName="ParentAccent7" refType="h" fact="0.4247"/>
                  <dgm:constr type="w" for="ch" forName="ParentAccent7" refType="w" fact="0.0283"/>
                  <dgm:constr type="h" for="ch" forName="ParentAccent7" refType="h" fact="0.0518"/>
                  <dgm:constr type="r" for="ch" forName="ParentAccent8" refType="w" fact="0.0744"/>
                  <dgm:constr type="t" for="ch" forName="ParentAccent8" refType="h" fact="0.6392"/>
                  <dgm:constr type="w" for="ch" forName="ParentAccent8" refType="w" fact="0.0283"/>
                  <dgm:constr type="h" for="ch" forName="ParentAccent8" refType="h" fact="0.0518"/>
                  <dgm:constr type="r" for="ch" forName="ParentAccent9" refType="w" fact="0.0491"/>
                  <dgm:constr type="t" for="ch" forName="ParentAccent9" refType="h" fact="0.4712"/>
                  <dgm:constr type="w" for="ch" forName="ParentAccent9" refType="w" fact="0.0283"/>
                  <dgm:constr type="h" for="ch" forName="ParentAccent9" refType="h" fact="0.0518"/>
                  <dgm:constr type="r" for="ch" forName="ParentAccent10" refType="w" fact="0.0475"/>
                  <dgm:constr type="t" for="ch" forName="ParentAccent10" refType="h" fact="0.593"/>
                  <dgm:constr type="w" for="ch" forName="ParentAccent10" refType="w" fact="0.0283"/>
                  <dgm:constr type="h" for="ch" forName="ParentAccent10" refType="h" fact="0.0518"/>
                  <dgm:constr type="r" for="ch" forName="Child4" refType="w" fact="0.9919"/>
                  <dgm:constr type="t" for="ch" forName="Child4" refType="h" fact="0.8184"/>
                  <dgm:constr type="w" for="ch" forName="Child4" refType="w" fact="0.3192"/>
                  <dgm:constr type="h" for="ch" forName="Child4" refType="h" fact="0.1294"/>
                  <dgm:constr type="r" for="ch" forName="Child3" refType="w"/>
                  <dgm:constr type="t" for="ch" forName="Child3" refType="h" fact="0.5547"/>
                  <dgm:constr type="w" for="ch" forName="Child3" refType="w" fact="0.297"/>
                  <dgm:constr type="h" for="ch" forName="Child3" refType="h" fact="0.1294"/>
                  <dgm:constr type="r" for="ch" forName="Child2" refType="w"/>
                  <dgm:constr type="t" for="ch" forName="Child2" refType="h" fact="0.2662"/>
                  <dgm:constr type="w" for="ch" forName="Child2" refType="w" fact="0.297"/>
                  <dgm:constr type="h" for="ch" forName="Child2" refType="h" fact="0.1294"/>
                  <dgm:constr type="r" for="ch" forName="Child1" refType="w" fact="0.9919"/>
                  <dgm:constr type="t" for="ch" forName="Child1" refType="h" fact="0"/>
                  <dgm:constr type="w" for="ch" forName="Child1" refType="w" fact="0.3192"/>
                  <dgm:constr type="h" for="ch" forName="Child1" refType="h" fact="0.1294"/>
                </dgm:constrLst>
              </dgm:if>
              <dgm:else name="Name20">
                <dgm:alg type="composite">
                  <dgm:param type="ar" val="1.3278"/>
                </dgm:alg>
                <dgm:constrLst>
                  <dgm:constr type="primFontSz" for="des" forName="Child1" val="65"/>
                  <dgm:constr type="primFontSz" for="des" forName="Child1" refType="primFontSz" refFor="des" refForName="Parent" op="lte"/>
                  <dgm:constr type="primFontSz" for="des" forName="Child2" refType="primFontSz" refFor="des" refForName="Parent" op="lte"/>
                  <dgm:constr type="primFontSz" for="des" forName="Child3" refType="primFontSz" refFor="des" refForName="Parent" op="lte"/>
                  <dgm:constr type="primFontSz" for="des" forName="Child4" refType="primFontSz" refFor="des" refForName="Parent" op="lte"/>
                  <dgm:constr type="primFontSz" for="des" forName="Child5" refType="primFontSz" refFor="des" refForName="Parent" op="lte"/>
                  <dgm:constr type="primFontSz" for="des" forName="Child2" refType="primFontSz" refFor="des" refForName="Child1" op="equ"/>
                  <dgm:constr type="primFontSz" for="des" forName="Child3" refType="primFontSz" refFor="des" refForName="Child1" op="equ"/>
                  <dgm:constr type="primFontSz" for="des" forName="Child4" refType="primFontSz" refFor="des" refForName="Child1" op="equ"/>
                  <dgm:constr type="primFontSz" for="des" forName="Child5" refType="primFontSz" refFor="des" refForName="Child1" op="equ"/>
                  <dgm:constr type="r" for="ch" forName="Child2Accent1" refType="w" fact="0.6564"/>
                  <dgm:constr type="t" for="ch" forName="Child2Accent1" refType="h" fact="0.3184"/>
                  <dgm:constr type="w" for="ch" forName="Child2Accent1" refType="w" fact="0.0574"/>
                  <dgm:constr type="h" for="ch" forName="Child2Accent1" refType="h" fact="0.0763"/>
                  <dgm:constr type="r" for="ch" forName="Child2Accent2" refType="w" fact="0.6932"/>
                  <dgm:constr type="t" for="ch" forName="Child2Accent2" refType="h" fact="0.2781"/>
                  <dgm:constr type="w" for="ch" forName="Child2Accent2" refType="w" fact="0.0287"/>
                  <dgm:constr type="h" for="ch" forName="Child2Accent2" refType="h" fact="0.0381"/>
                  <dgm:constr type="r" for="ch" forName="Child2Accent3" refType="w" fact="0.7545"/>
                  <dgm:constr type="t" for="ch" forName="Child2Accent3" refType="h" fact="0.2781"/>
                  <dgm:constr type="w" for="ch" forName="Child2Accent3" refType="w" fact="0.0287"/>
                  <dgm:constr type="h" for="ch" forName="Child2Accent3" refType="h" fact="0.0381"/>
                  <dgm:constr type="r" for="ch" forName="Child2Accent4" refType="w" fact="0.8158"/>
                  <dgm:constr type="t" for="ch" forName="Child2Accent4" refType="h" fact="0.2781"/>
                  <dgm:constr type="w" for="ch" forName="Child2Accent4" refType="w" fact="0.0287"/>
                  <dgm:constr type="h" for="ch" forName="Child2Accent4" refType="h" fact="0.0381"/>
                  <dgm:constr type="r" for="ch" forName="Child2Accent5" refType="w" fact="0.8771"/>
                  <dgm:constr type="t" for="ch" forName="Child2Accent5" refType="h" fact="0.2781"/>
                  <dgm:constr type="w" for="ch" forName="Child2Accent5" refType="w" fact="0.0287"/>
                  <dgm:constr type="h" for="ch" forName="Child2Accent5" refType="h" fact="0.0381"/>
                  <dgm:constr type="r" for="ch" forName="Child2Accent6" refType="w" fact="0.9385"/>
                  <dgm:constr type="t" for="ch" forName="Child2Accent6" refType="h" fact="0.2781"/>
                  <dgm:constr type="w" for="ch" forName="Child2Accent6" refType="w" fact="0.0287"/>
                  <dgm:constr type="h" for="ch" forName="Child2Accent6" refType="h" fact="0.0381"/>
                  <dgm:constr type="r" for="ch" forName="Child2Accent7" refType="w" fact="0.9998"/>
                  <dgm:constr type="t" for="ch" forName="Child2Accent7" refType="h" fact="0.2781"/>
                  <dgm:constr type="w" for="ch" forName="Child2Accent7" refType="w" fact="0.0287"/>
                  <dgm:constr type="h" for="ch" forName="Child2Accent7" refType="h" fact="0.0381"/>
                  <dgm:constr type="r" for="ch" forName="Child3Accent1" refType="w" fact="0.716"/>
                  <dgm:constr type="t" for="ch" forName="Child3Accent1" refType="h" fact="0.5061"/>
                  <dgm:constr type="w" for="ch" forName="Child3Accent1" refType="w" fact="0.0574"/>
                  <dgm:constr type="h" for="ch" forName="Child3Accent1" refType="h" fact="0.0763"/>
                  <dgm:constr type="r" for="ch" forName="Child3Accent2" refType="w" fact="0.7728"/>
                  <dgm:constr type="t" for="ch" forName="Child3Accent2" refType="h" fact="0.5252"/>
                  <dgm:constr type="w" for="ch" forName="Child3Accent2" refType="w" fact="0.0287"/>
                  <dgm:constr type="h" for="ch" forName="Child3Accent2" refType="h" fact="0.0381"/>
                  <dgm:constr type="r" for="ch" forName="Child3Accent3" refType="w" fact="0.8295"/>
                  <dgm:constr type="t" for="ch" forName="Child3Accent3" refType="h" fact="0.5252"/>
                  <dgm:constr type="w" for="ch" forName="Child3Accent3" refType="w" fact="0.0287"/>
                  <dgm:constr type="h" for="ch" forName="Child3Accent3" refType="h" fact="0.0381"/>
                  <dgm:constr type="r" for="ch" forName="Child3Accent4" refType="w" fact="0.8863"/>
                  <dgm:constr type="t" for="ch" forName="Child3Accent4" refType="h" fact="0.5252"/>
                  <dgm:constr type="w" for="ch" forName="Child3Accent4" refType="w" fact="0.0287"/>
                  <dgm:constr type="h" for="ch" forName="Child3Accent4" refType="h" fact="0.0381"/>
                  <dgm:constr type="r" for="ch" forName="Child3Accent5" refType="w" fact="0.943"/>
                  <dgm:constr type="t" for="ch" forName="Child3Accent5" refType="h" fact="0.5252"/>
                  <dgm:constr type="w" for="ch" forName="Child3Accent5" refType="w" fact="0.0287"/>
                  <dgm:constr type="h" for="ch" forName="Child3Accent5" refType="h" fact="0.0381"/>
                  <dgm:constr type="r" for="ch" forName="Child3Accent6" refType="w" fact="0.9998"/>
                  <dgm:constr type="t" for="ch" forName="Child3Accent6" refType="h" fact="0.5252"/>
                  <dgm:constr type="w" for="ch" forName="Child3Accent6" refType="w" fact="0.0287"/>
                  <dgm:constr type="h" for="ch" forName="Child3Accent6" refType="h" fact="0.0381"/>
                  <dgm:constr type="r" for="ch" forName="Child3Accent7" refType="w" fact="0"/>
                  <dgm:constr type="t" for="ch" forName="Child3Accent7" refType="h" fact="0"/>
                  <dgm:constr type="w" for="ch" forName="Child3Accent7" refType="w" fact="0"/>
                  <dgm:constr type="h" for="ch" forName="Child3Accent7" refType="h" fact="0"/>
                  <dgm:constr type="r" for="ch" forName="Child4Accent1" refType="w" fact="0.6564"/>
                  <dgm:constr type="t" for="ch" forName="Child4Accent1" refType="h" fact="0.6908"/>
                  <dgm:constr type="w" for="ch" forName="Child4Accent1" refType="w" fact="0.0574"/>
                  <dgm:constr type="h" for="ch" forName="Child4Accent1" refType="h" fact="0.0763"/>
                  <dgm:constr type="r" for="ch" forName="Child4Accent2" refType="w" fact="0.6932"/>
                  <dgm:constr type="t" for="ch" forName="Child4Accent2" refType="h" fact="0.7684"/>
                  <dgm:constr type="w" for="ch" forName="Child4Accent2" refType="w" fact="0.0287"/>
                  <dgm:constr type="h" for="ch" forName="Child4Accent2" refType="h" fact="0.0381"/>
                  <dgm:constr type="r" for="ch" forName="Child4Accent3" refType="w" fact="0.7545"/>
                  <dgm:constr type="t" for="ch" forName="Child4Accent3" refType="h" fact="0.7684"/>
                  <dgm:constr type="w" for="ch" forName="Child4Accent3" refType="w" fact="0.0287"/>
                  <dgm:constr type="h" for="ch" forName="Child4Accent3" refType="h" fact="0.0381"/>
                  <dgm:constr type="r" for="ch" forName="Child4Accent4" refType="w" fact="0.8158"/>
                  <dgm:constr type="t" for="ch" forName="Child4Accent4" refType="h" fact="0.7684"/>
                  <dgm:constr type="w" for="ch" forName="Child4Accent4" refType="w" fact="0.0287"/>
                  <dgm:constr type="h" for="ch" forName="Child4Accent4" refType="h" fact="0.0381"/>
                  <dgm:constr type="r" for="ch" forName="Child4Accent5" refType="w" fact="0.8771"/>
                  <dgm:constr type="t" for="ch" forName="Child4Accent5" refType="h" fact="0.7684"/>
                  <dgm:constr type="w" for="ch" forName="Child4Accent5" refType="w" fact="0.0287"/>
                  <dgm:constr type="h" for="ch" forName="Child4Accent5" refType="h" fact="0.0381"/>
                  <dgm:constr type="r" for="ch" forName="Child4Accent6" refType="w" fact="0.9385"/>
                  <dgm:constr type="t" for="ch" forName="Child4Accent6" refType="h" fact="0.7684"/>
                  <dgm:constr type="w" for="ch" forName="Child4Accent6" refType="w" fact="0.0287"/>
                  <dgm:constr type="h" for="ch" forName="Child4Accent6" refType="h" fact="0.0381"/>
                  <dgm:constr type="r" for="ch" forName="Child4Accent7" refType="w" fact="0.9998"/>
                  <dgm:constr type="t" for="ch" forName="Child4Accent7" refType="h" fact="0.7684"/>
                  <dgm:constr type="w" for="ch" forName="Child4Accent7" refType="w" fact="0.0287"/>
                  <dgm:constr type="h" for="ch" forName="Child4Accent7" refType="h" fact="0.0381"/>
                  <dgm:constr type="r" for="ch" forName="Child4Accent8" refType="w" fact="0"/>
                  <dgm:constr type="t" for="ch" forName="Child4Accent8" refType="h" fact="0"/>
                  <dgm:constr type="w" for="ch" forName="Child4Accent8" refType="w" fact="0"/>
                  <dgm:constr type="h" for="ch" forName="Child4Accent8" refType="h" fact="0"/>
                  <dgm:constr type="r" for="ch" forName="ParentAccent1" refType="w" fact="0.0287"/>
                  <dgm:constr type="t" for="ch" forName="ParentAccent1" refType="h" fact="0.5252"/>
                  <dgm:constr type="w" for="ch" forName="ParentAccent1" refType="w" fact="0.0287"/>
                  <dgm:constr type="h" for="ch" forName="ParentAccent1" refType="h" fact="0.0381"/>
                  <dgm:constr type="r" for="ch" forName="ParentAccent2" refType="w" fact="0.0813"/>
                  <dgm:constr type="t" for="ch" forName="ParentAccent2" refType="h" fact="0.5252"/>
                  <dgm:constr type="w" for="ch" forName="ParentAccent2" refType="w" fact="0.0287"/>
                  <dgm:constr type="h" for="ch" forName="ParentAccent2" refType="h" fact="0.0381"/>
                  <dgm:constr type="r" for="ch" forName="ParentAccent3" refType="w" fact="0.1339"/>
                  <dgm:constr type="t" for="ch" forName="ParentAccent3" refType="h" fact="0.5252"/>
                  <dgm:constr type="w" for="ch" forName="ParentAccent3" refType="w" fact="0.0287"/>
                  <dgm:constr type="h" for="ch" forName="ParentAccent3" refType="h" fact="0.0381"/>
                  <dgm:constr type="r" for="ch" forName="ParentAccent4" refType="w" fact="0.1864"/>
                  <dgm:constr type="t" for="ch" forName="ParentAccent4" refType="h" fact="0.5252"/>
                  <dgm:constr type="w" for="ch" forName="ParentAccent4" refType="w" fact="0.0287"/>
                  <dgm:constr type="h" for="ch" forName="ParentAccent4" refType="h" fact="0.0381"/>
                  <dgm:constr type="r" for="ch" forName="ParentAccent5" refType="w" fact="0.239"/>
                  <dgm:constr type="t" for="ch" forName="ParentAccent5" refType="h" fact="0.5252"/>
                  <dgm:constr type="w" for="ch" forName="ParentAccent5" refType="w" fact="0.0287"/>
                  <dgm:constr type="h" for="ch" forName="ParentAccent5" refType="h" fact="0.0381"/>
                  <dgm:constr type="r" for="ch" forName="ParentAccent6" refType="w" fact="0.3203"/>
                  <dgm:constr type="t" for="ch" forName="ParentAccent6" refType="h" fact="0.5061"/>
                  <dgm:constr type="w" for="ch" forName="ParentAccent6" refType="w" fact="0.0574"/>
                  <dgm:constr type="h" for="ch" forName="ParentAccent6" refType="h" fact="0.0763"/>
                  <dgm:constr type="r" for="ch" forName="ParentAccent7" refType="w" fact="0.0755"/>
                  <dgm:constr type="t" for="ch" forName="ParentAccent7" refType="h" fact="0.4464"/>
                  <dgm:constr type="w" for="ch" forName="ParentAccent7" refType="w" fact="0.0287"/>
                  <dgm:constr type="h" for="ch" forName="ParentAccent7" refType="h" fact="0.0381"/>
                  <dgm:constr type="r" for="ch" forName="ParentAccent8" refType="w" fact="0.0755"/>
                  <dgm:constr type="t" for="ch" forName="ParentAccent8" refType="h" fact="0.6045"/>
                  <dgm:constr type="w" for="ch" forName="ParentAccent8" refType="w" fact="0.0287"/>
                  <dgm:constr type="h" for="ch" forName="ParentAccent8" refType="h" fact="0.0381"/>
                  <dgm:constr type="r" for="ch" forName="ParentAccent9" refType="w" fact="0.0499"/>
                  <dgm:constr type="t" for="ch" forName="ParentAccent9" refType="h" fact="0.4807"/>
                  <dgm:constr type="w" for="ch" forName="ParentAccent9" refType="w" fact="0.0287"/>
                  <dgm:constr type="h" for="ch" forName="ParentAccent9" refType="h" fact="0.0381"/>
                  <dgm:constr type="r" for="ch" forName="ParentAccent10" refType="w" fact="0.0482"/>
                  <dgm:constr type="t" for="ch" forName="ParentAccent10" refType="h" fact="0.5705"/>
                  <dgm:constr type="w" for="ch" forName="ParentAccent10" refType="w" fact="0.0287"/>
                  <dgm:constr type="h" for="ch" forName="ParentAccent10" refType="h" fact="0.0381"/>
                  <dgm:constr type="r" for="ch" forName="Child1Accent1" refType="w" fact="0.5181"/>
                  <dgm:constr type="t" for="ch" forName="Child1Accent1" refType="h" fact="0.2457"/>
                  <dgm:constr type="w" for="ch" forName="Child1Accent1" refType="w" fact="0.0574"/>
                  <dgm:constr type="h" for="ch" forName="Child1Accent1" refType="h" fact="0.0763"/>
                  <dgm:constr type="r" for="ch" forName="Child1Accent2" refType="w" fact="0.5542"/>
                  <dgm:constr type="t" for="ch" forName="Child1Accent2" refType="h" fact="0.2004"/>
                  <dgm:constr type="w" for="ch" forName="Child1Accent2" refType="w" fact="0.0287"/>
                  <dgm:constr type="h" for="ch" forName="Child1Accent2" refType="h" fact="0.0381"/>
                  <dgm:constr type="r" for="ch" forName="Child1Accent3" refType="w" fact="0.5946"/>
                  <dgm:constr type="t" for="ch" forName="Child1Accent3" refType="h" fact="0.1445"/>
                  <dgm:constr type="w" for="ch" forName="Child1Accent3" refType="w" fact="0.0287"/>
                  <dgm:constr type="h" for="ch" forName="Child1Accent3" refType="h" fact="0.0381"/>
                  <dgm:constr type="r" for="ch" forName="Child1Accent4" refType="w" fact="0.6347"/>
                  <dgm:constr type="t" for="ch" forName="Child1Accent4" refType="h" fact="0.097"/>
                  <dgm:constr type="w" for="ch" forName="Child1Accent4" refType="w" fact="0.0287"/>
                  <dgm:constr type="h" for="ch" forName="Child1Accent4" refType="h" fact="0.0381"/>
                  <dgm:constr type="r" for="ch" forName="Child1Accent5" refType="w" fact="0.696"/>
                  <dgm:constr type="t" for="ch" forName="Child1Accent5" refType="h" fact="0.097"/>
                  <dgm:constr type="w" for="ch" forName="Child1Accent5" refType="w" fact="0.0287"/>
                  <dgm:constr type="h" for="ch" forName="Child1Accent5" refType="h" fact="0.0381"/>
                  <dgm:constr type="r" for="ch" forName="Child1Accent6" refType="w" fact="0.7574"/>
                  <dgm:constr type="t" for="ch" forName="Child1Accent6" refType="h" fact="0.097"/>
                  <dgm:constr type="w" for="ch" forName="Child1Accent6" refType="w" fact="0.0287"/>
                  <dgm:constr type="h" for="ch" forName="Child1Accent6" refType="h" fact="0.0381"/>
                  <dgm:constr type="r" for="ch" forName="Child1Accent7" refType="w" fact="0.8187"/>
                  <dgm:constr type="t" for="ch" forName="Child1Accent7" refType="h" fact="0.097"/>
                  <dgm:constr type="w" for="ch" forName="Child1Accent7" refType="w" fact="0.0287"/>
                  <dgm:constr type="h" for="ch" forName="Child1Accent7" refType="h" fact="0.0381"/>
                  <dgm:constr type="r" for="ch" forName="Child1Accent8" refType="w" fact="0.88"/>
                  <dgm:constr type="t" for="ch" forName="Child1Accent8" refType="h" fact="0.097"/>
                  <dgm:constr type="w" for="ch" forName="Child1Accent8" refType="w" fact="0.0287"/>
                  <dgm:constr type="h" for="ch" forName="Child1Accent8" refType="h" fact="0.0381"/>
                  <dgm:constr type="r" for="ch" forName="Child1Accent9" refType="w" fact="0.9413"/>
                  <dgm:constr type="t" for="ch" forName="Child1Accent9" refType="h" fact="0.097"/>
                  <dgm:constr type="w" for="ch" forName="Child1Accent9" refType="w" fact="0.0287"/>
                  <dgm:constr type="h" for="ch" forName="Child1Accent9" refType="h" fact="0.0381"/>
                  <dgm:constr type="r" for="ch" forName="Child5Accent1" refType="w" fact="0.5181"/>
                  <dgm:constr type="t" for="ch" forName="Child5Accent1" refType="h" fact="0.7601"/>
                  <dgm:constr type="w" for="ch" forName="Child5Accent1" refType="w" fact="0.0574"/>
                  <dgm:constr type="h" for="ch" forName="Child5Accent1" refType="h" fact="0.0763"/>
                  <dgm:constr type="r" for="ch" forName="Child5Accent2" refType="w" fact="0.547"/>
                  <dgm:constr type="t" for="ch" forName="Child5Accent2" refType="h" fact="0.8375"/>
                  <dgm:constr type="w" for="ch" forName="Child5Accent2" refType="w" fact="0.0287"/>
                  <dgm:constr type="h" for="ch" forName="Child5Accent2" refType="h" fact="0.0381"/>
                  <dgm:constr type="r" for="ch" forName="Child5Accent3" refType="w" fact="0.5882"/>
                  <dgm:constr type="t" for="ch" forName="Child5Accent3" refType="h" fact="0.8991"/>
                  <dgm:constr type="w" for="ch" forName="Child5Accent3" refType="w" fact="0.0287"/>
                  <dgm:constr type="h" for="ch" forName="Child5Accent3" refType="h" fact="0.0381"/>
                  <dgm:constr type="r" for="ch" forName="Child5Accent4" refType="w" fact="0.6347"/>
                  <dgm:constr type="t" for="ch" forName="Child5Accent4" refType="h" fact="0.9619"/>
                  <dgm:constr type="w" for="ch" forName="Child5Accent4" refType="w" fact="0.0287"/>
                  <dgm:constr type="h" for="ch" forName="Child5Accent4" refType="h" fact="0.0381"/>
                  <dgm:constr type="r" for="ch" forName="Child5Accent5" refType="w" fact="0.696"/>
                  <dgm:constr type="t" for="ch" forName="Child5Accent5" refType="h" fact="0.9619"/>
                  <dgm:constr type="w" for="ch" forName="Child5Accent5" refType="w" fact="0.0287"/>
                  <dgm:constr type="h" for="ch" forName="Child5Accent5" refType="h" fact="0.0381"/>
                  <dgm:constr type="r" for="ch" forName="Child5Accent6" refType="w" fact="0.7574"/>
                  <dgm:constr type="t" for="ch" forName="Child5Accent6" refType="h" fact="0.9619"/>
                  <dgm:constr type="w" for="ch" forName="Child5Accent6" refType="w" fact="0.0287"/>
                  <dgm:constr type="h" for="ch" forName="Child5Accent6" refType="h" fact="0.0381"/>
                  <dgm:constr type="r" for="ch" forName="Child5Accent7" refType="w" fact="0.8187"/>
                  <dgm:constr type="t" for="ch" forName="Child5Accent7" refType="h" fact="0.9619"/>
                  <dgm:constr type="w" for="ch" forName="Child5Accent7" refType="w" fact="0.0287"/>
                  <dgm:constr type="h" for="ch" forName="Child5Accent7" refType="h" fact="0.0381"/>
                  <dgm:constr type="r" for="ch" forName="Child5Accent8" refType="w" fact="0.88"/>
                  <dgm:constr type="t" for="ch" forName="Child5Accent8" refType="h" fact="0.9619"/>
                  <dgm:constr type="w" for="ch" forName="Child5Accent8" refType="w" fact="0.0287"/>
                  <dgm:constr type="h" for="ch" forName="Child5Accent8" refType="h" fact="0.0381"/>
                  <dgm:constr type="r" for="ch" forName="Child5Accent9" refType="w" fact="0.9423"/>
                  <dgm:constr type="t" for="ch" forName="Child5Accent9" refType="h" fact="0.9619"/>
                  <dgm:constr type="w" for="ch" forName="Child5Accent9" refType="w" fact="0.0287"/>
                  <dgm:constr type="h" for="ch" forName="Child5Accent9" refType="h" fact="0.0381"/>
                  <dgm:constr type="r" for="ch" forName="Child5" refType="w" fact="0.9419"/>
                  <dgm:constr type="t" for="ch" forName="Child5" refType="h" fact="0.8635"/>
                  <dgm:constr type="w" for="ch" forName="Child5" refType="w" fact="0.3364"/>
                  <dgm:constr type="h" for="ch" forName="Child5" refType="h" fact="0.0981"/>
                  <dgm:constr type="r" for="ch" forName="Child4" refType="w"/>
                  <dgm:constr type="t" for="ch" forName="Child4" refType="h" fact="0.6701"/>
                  <dgm:constr type="w" for="ch" forName="Child4" refType="w" fact="0.3364"/>
                  <dgm:constr type="h" for="ch" forName="Child4" refType="h" fact="0.0981"/>
                  <dgm:constr type="r" for="ch" forName="Child3" refType="w"/>
                  <dgm:constr type="t" for="ch" forName="Child3" refType="h" fact="0.4276"/>
                  <dgm:constr type="w" for="ch" forName="Child3" refType="w" fact="0.2544"/>
                  <dgm:constr type="h" for="ch" forName="Child3" refType="h" fact="0.0981"/>
                  <dgm:constr type="r" for="ch" forName="Child2" refType="w"/>
                  <dgm:constr type="t" for="ch" forName="Child2" refType="h" fact="0.1798"/>
                  <dgm:constr type="w" for="ch" forName="Child2" refType="w" fact="0.3364"/>
                  <dgm:constr type="h" for="ch" forName="Child2" refType="h" fact="0.0981"/>
                  <dgm:constr type="r" for="ch" forName="Child1" refType="w" fact="0.9419"/>
                  <dgm:constr type="t" for="ch" forName="Child1" refType="h" fact="0"/>
                  <dgm:constr type="w" for="ch" forName="Child1" refType="w" fact="0.3364"/>
                  <dgm:constr type="h" for="ch" forName="Child1" refType="h" fact="0.0981"/>
                  <dgm:constr type="r" for="ch" forName="Parent" refType="w" fact="0.6347"/>
                  <dgm:constr type="t" for="ch" forName="Parent" refType="h" fact="0.3513"/>
                  <dgm:constr type="w" for="ch" forName="Parent" refType="w" fact="0.2906"/>
                  <dgm:constr type="h" for="ch" forName="Parent" refType="h" fact="0.3859"/>
                </dgm:constrLst>
              </dgm:else>
            </dgm:choose>
          </dgm:else>
        </dgm:choose>
        <dgm:layoutNode name="ParentAccent1" styleLbl="alignNode1">
          <dgm:alg type="sp"/>
          <dgm:shape xmlns:r="http://schemas.openxmlformats.org/officeDocument/2006/relationships" type="ellipse" r:blip="">
            <dgm:adjLst/>
          </dgm:shape>
          <dgm:presOf/>
        </dgm:layoutNode>
        <dgm:layoutNode name="ParentAccent2" styleLbl="alignNode1">
          <dgm:alg type="sp"/>
          <dgm:shape xmlns:r="http://schemas.openxmlformats.org/officeDocument/2006/relationships" type="ellipse" r:blip="">
            <dgm:adjLst/>
          </dgm:shape>
          <dgm:presOf/>
        </dgm:layoutNode>
        <dgm:layoutNode name="ParentAccent3" styleLbl="alignNode1">
          <dgm:alg type="sp"/>
          <dgm:shape xmlns:r="http://schemas.openxmlformats.org/officeDocument/2006/relationships" type="ellipse" r:blip="">
            <dgm:adjLst/>
          </dgm:shape>
          <dgm:presOf/>
        </dgm:layoutNode>
        <dgm:layoutNode name="ParentAccent4" styleLbl="alignNode1">
          <dgm:alg type="sp"/>
          <dgm:shape xmlns:r="http://schemas.openxmlformats.org/officeDocument/2006/relationships" type="ellipse" r:blip="">
            <dgm:adjLst/>
          </dgm:shape>
          <dgm:presOf/>
        </dgm:layoutNode>
        <dgm:layoutNode name="ParentAccent5" styleLbl="alignNode1">
          <dgm:alg type="sp"/>
          <dgm:shape xmlns:r="http://schemas.openxmlformats.org/officeDocument/2006/relationships" type="ellipse" r:blip="">
            <dgm:adjLst/>
          </dgm:shape>
          <dgm:presOf/>
        </dgm:layoutNode>
        <dgm:layoutNode name="ParentAccent6" styleLbl="alignNode1">
          <dgm:alg type="sp"/>
          <dgm:shape xmlns:r="http://schemas.openxmlformats.org/officeDocument/2006/relationships" type="ellipse" r:blip="">
            <dgm:adjLst/>
          </dgm:shape>
          <dgm:presOf/>
        </dgm:layoutNode>
        <dgm:layoutNode name="ParentAccent7" styleLbl="alignNode1">
          <dgm:alg type="sp"/>
          <dgm:shape xmlns:r="http://schemas.openxmlformats.org/officeDocument/2006/relationships" type="ellipse" r:blip="">
            <dgm:adjLst/>
          </dgm:shape>
          <dgm:presOf/>
        </dgm:layoutNode>
        <dgm:layoutNode name="ParentAccent8" styleLbl="alignNode1">
          <dgm:alg type="sp"/>
          <dgm:shape xmlns:r="http://schemas.openxmlformats.org/officeDocument/2006/relationships" type="ellipse" r:blip="">
            <dgm:adjLst/>
          </dgm:shape>
          <dgm:presOf/>
        </dgm:layoutNode>
        <dgm:layoutNode name="ParentAccent9" styleLbl="alignNode1">
          <dgm:alg type="sp"/>
          <dgm:shape xmlns:r="http://schemas.openxmlformats.org/officeDocument/2006/relationships" type="ellipse" r:blip="">
            <dgm:adjLst/>
          </dgm:shape>
          <dgm:presOf/>
        </dgm:layoutNode>
        <dgm:layoutNode name="ParentAccent10" styleLbl="alignNode1">
          <dgm:alg type="sp"/>
          <dgm:shape xmlns:r="http://schemas.openxmlformats.org/officeDocument/2006/relationships" type="ellipse" r:blip="">
            <dgm:adjLst/>
          </dgm:shape>
          <dgm:presOf/>
        </dgm:layoutNode>
        <dgm:layoutNode name="Parent" styleLbl="alignNode1">
          <dgm:varLst>
            <dgm:chMax val="5"/>
            <dgm:chPref val="3"/>
            <dgm:bulletEnabled val="1"/>
          </dgm:varLst>
          <dgm:alg type="tx"/>
          <dgm:shape xmlns:r="http://schemas.openxmlformats.org/officeDocument/2006/relationships" type="ellipse" r:blip="">
            <dgm:adjLst/>
          </dgm:shape>
          <dgm:presOf axis="self" ptType="node"/>
          <dgm:constrLst>
            <dgm:constr type="lMarg" refType="primFontSz" fact="0.1"/>
            <dgm:constr type="rMarg" refType="primFontSz" fact="0.1"/>
            <dgm:constr type="tMarg" refType="primFontSz" fact="0.1"/>
            <dgm:constr type="bMarg" refType="primFontSz" fact="0.1"/>
          </dgm:constrLst>
          <dgm:ruleLst>
            <dgm:rule type="primFontSz" val="5" fact="NaN" max="NaN"/>
          </dgm:ruleLst>
        </dgm:layoutNode>
        <dgm:forEach name="Name21" axis="ch" ptType="node" cnt="1">
          <dgm:layoutNode name="Child1Accent1" styleLbl="alignNode1">
            <dgm:alg type="sp"/>
            <dgm:shape xmlns:r="http://schemas.openxmlformats.org/officeDocument/2006/relationships" type="ellipse" r:blip="">
              <dgm:adjLst/>
            </dgm:shape>
            <dgm:presOf/>
          </dgm:layoutNode>
          <dgm:layoutNode name="Child1Accent2" styleLbl="alignNode1">
            <dgm:alg type="sp"/>
            <dgm:shape xmlns:r="http://schemas.openxmlformats.org/officeDocument/2006/relationships" type="ellipse" r:blip="">
              <dgm:adjLst/>
            </dgm:shape>
            <dgm:presOf/>
          </dgm:layoutNode>
          <dgm:layoutNode name="Child1Accent3" styleLbl="alignNode1">
            <dgm:alg type="sp"/>
            <dgm:shape xmlns:r="http://schemas.openxmlformats.org/officeDocument/2006/relationships" type="ellipse" r:blip="">
              <dgm:adjLst/>
            </dgm:shape>
            <dgm:presOf/>
          </dgm:layoutNode>
          <dgm:layoutNode name="Child1Accent4" styleLbl="alignNode1">
            <dgm:alg type="sp"/>
            <dgm:shape xmlns:r="http://schemas.openxmlformats.org/officeDocument/2006/relationships" type="ellipse" r:blip="">
              <dgm:adjLst/>
            </dgm:shape>
            <dgm:presOf/>
          </dgm:layoutNode>
          <dgm:layoutNode name="Child1Accent5" styleLbl="alignNode1">
            <dgm:alg type="sp"/>
            <dgm:shape xmlns:r="http://schemas.openxmlformats.org/officeDocument/2006/relationships" type="ellipse" r:blip="">
              <dgm:adjLst/>
            </dgm:shape>
            <dgm:presOf/>
          </dgm:layoutNode>
          <dgm:layoutNode name="Child1Accent6" styleLbl="alignNode1">
            <dgm:alg type="sp"/>
            <dgm:shape xmlns:r="http://schemas.openxmlformats.org/officeDocument/2006/relationships" type="ellipse" r:blip="">
              <dgm:adjLst/>
            </dgm:shape>
            <dgm:presOf/>
          </dgm:layoutNode>
          <dgm:layoutNode name="Child1Accent7" styleLbl="alignNode1">
            <dgm:alg type="sp"/>
            <dgm:shape xmlns:r="http://schemas.openxmlformats.org/officeDocument/2006/relationships" type="ellipse" r:blip="">
              <dgm:adjLst/>
            </dgm:shape>
            <dgm:presOf/>
          </dgm:layoutNode>
          <dgm:layoutNode name="Child1Accent8" styleLbl="alignNode1">
            <dgm:alg type="sp"/>
            <dgm:shape xmlns:r="http://schemas.openxmlformats.org/officeDocument/2006/relationships" type="ellipse" r:blip="">
              <dgm:adjLst/>
            </dgm:shape>
            <dgm:presOf/>
          </dgm:layoutNode>
          <dgm:layoutNode name="Child1Accent9" styleLbl="alignNode1">
            <dgm:alg type="sp"/>
            <dgm:shape xmlns:r="http://schemas.openxmlformats.org/officeDocument/2006/relationships" type="ellipse" r:blip="">
              <dgm:adjLst/>
            </dgm:shape>
            <dgm:presOf/>
          </dgm:layoutNode>
          <dgm:layoutNode name="Child1" styleLbl="revTx">
            <dgm:varLst>
              <dgm:chMax/>
              <dgm:chPref val="0"/>
              <dgm:bulletEnabled val="1"/>
            </dgm:varLst>
            <dgm:alg type="tx">
              <dgm:param type="parTxLTRAlign" val="l"/>
              <dgm:param type="txAnchorVert" val="b"/>
              <dgm:param type="txAnchorVertCh" val="b"/>
            </dgm:alg>
            <dgm:shape xmlns:r="http://schemas.openxmlformats.org/officeDocument/2006/relationships" type="rect" r:blip="">
              <dgm:adjLst/>
            </dgm:shape>
            <dgm:presOf axis="desOrSelf" ptType="node"/>
            <dgm:constrLst>
              <dgm:constr type="lMarg" refType="primFontSz" fact="0"/>
              <dgm:constr type="rMarg" refType="primFontSz" fact="0"/>
              <dgm:constr type="tMarg" refType="primFontSz" fact="0"/>
              <dgm:constr type="bMarg" refType="primFontSz" fact="0"/>
            </dgm:constrLst>
            <dgm:ruleLst>
              <dgm:rule type="primFontSz" val="5" fact="NaN" max="NaN"/>
            </dgm:ruleLst>
          </dgm:layoutNode>
        </dgm:forEach>
        <dgm:forEach name="Name22" axis="ch" ptType="node" st="2" cnt="1">
          <dgm:layoutNode name="Child2Accent1" styleLbl="alignNode1">
            <dgm:alg type="sp"/>
            <dgm:shape xmlns:r="http://schemas.openxmlformats.org/officeDocument/2006/relationships" type="ellipse" r:blip="">
              <dgm:adjLst/>
            </dgm:shape>
            <dgm:presOf/>
          </dgm:layoutNode>
          <dgm:layoutNode name="Child2Accent2" styleLbl="alignNode1">
            <dgm:alg type="sp"/>
            <dgm:shape xmlns:r="http://schemas.openxmlformats.org/officeDocument/2006/relationships" type="ellipse" r:blip="">
              <dgm:adjLst/>
            </dgm:shape>
            <dgm:presOf/>
          </dgm:layoutNode>
          <dgm:layoutNode name="Child2Accent3" styleLbl="alignNode1">
            <dgm:alg type="sp"/>
            <dgm:shape xmlns:r="http://schemas.openxmlformats.org/officeDocument/2006/relationships" type="ellipse" r:blip="">
              <dgm:adjLst/>
            </dgm:shape>
            <dgm:presOf/>
          </dgm:layoutNode>
          <dgm:layoutNode name="Child2Accent4" styleLbl="alignNode1">
            <dgm:alg type="sp"/>
            <dgm:shape xmlns:r="http://schemas.openxmlformats.org/officeDocument/2006/relationships" type="ellipse" r:blip="">
              <dgm:adjLst/>
            </dgm:shape>
            <dgm:presOf/>
          </dgm:layoutNode>
          <dgm:layoutNode name="Child2Accent5" styleLbl="alignNode1">
            <dgm:alg type="sp"/>
            <dgm:shape xmlns:r="http://schemas.openxmlformats.org/officeDocument/2006/relationships" type="ellipse" r:blip="">
              <dgm:adjLst/>
            </dgm:shape>
            <dgm:presOf/>
          </dgm:layoutNode>
          <dgm:layoutNode name="Child2Accent6" styleLbl="alignNode1">
            <dgm:alg type="sp"/>
            <dgm:shape xmlns:r="http://schemas.openxmlformats.org/officeDocument/2006/relationships" type="ellipse" r:blip="">
              <dgm:adjLst/>
            </dgm:shape>
            <dgm:presOf/>
          </dgm:layoutNode>
          <dgm:layoutNode name="Child2Accent7" styleLbl="alignNode1">
            <dgm:alg type="sp"/>
            <dgm:shape xmlns:r="http://schemas.openxmlformats.org/officeDocument/2006/relationships" type="ellipse" r:blip="">
              <dgm:adjLst/>
            </dgm:shape>
            <dgm:presOf/>
          </dgm:layoutNode>
          <dgm:layoutNode name="Child2" styleLbl="revTx">
            <dgm:varLst>
              <dgm:chMax/>
              <dgm:chPref val="0"/>
              <dgm:bulletEnabled val="1"/>
            </dgm:varLst>
            <dgm:alg type="tx">
              <dgm:param type="parTxLTRAlign" val="l"/>
              <dgm:param type="txAnchorVert" val="b"/>
              <dgm:param type="txAnchorVertCh" val="b"/>
            </dgm:alg>
            <dgm:shape xmlns:r="http://schemas.openxmlformats.org/officeDocument/2006/relationships" type="rect" r:blip="">
              <dgm:adjLst/>
            </dgm:shape>
            <dgm:presOf axis="desOrSelf" ptType="node"/>
            <dgm:constrLst>
              <dgm:constr type="lMarg" refType="primFontSz" fact="0"/>
              <dgm:constr type="rMarg" refType="primFontSz" fact="0"/>
              <dgm:constr type="tMarg" refType="primFontSz" fact="0"/>
              <dgm:constr type="bMarg" refType="primFontSz" fact="0"/>
            </dgm:constrLst>
            <dgm:ruleLst>
              <dgm:rule type="primFontSz" val="5" fact="NaN" max="NaN"/>
            </dgm:ruleLst>
          </dgm:layoutNode>
        </dgm:forEach>
        <dgm:forEach name="Name23" axis="ch" ptType="node" st="3" cnt="1">
          <dgm:layoutNode name="Child3Accent1" styleLbl="alignNode1">
            <dgm:alg type="sp"/>
            <dgm:shape xmlns:r="http://schemas.openxmlformats.org/officeDocument/2006/relationships" type="ellipse" r:blip="">
              <dgm:adjLst/>
            </dgm:shape>
            <dgm:presOf/>
          </dgm:layoutNode>
          <dgm:layoutNode name="Child3Accent2" styleLbl="alignNode1">
            <dgm:alg type="sp"/>
            <dgm:shape xmlns:r="http://schemas.openxmlformats.org/officeDocument/2006/relationships" type="ellipse" r:blip="">
              <dgm:adjLst/>
            </dgm:shape>
            <dgm:presOf/>
          </dgm:layoutNode>
          <dgm:layoutNode name="Child3Accent3" styleLbl="alignNode1">
            <dgm:alg type="sp"/>
            <dgm:shape xmlns:r="http://schemas.openxmlformats.org/officeDocument/2006/relationships" type="ellipse" r:blip="">
              <dgm:adjLst/>
            </dgm:shape>
            <dgm:presOf/>
          </dgm:layoutNode>
          <dgm:layoutNode name="Child3Accent4" styleLbl="alignNode1">
            <dgm:alg type="sp"/>
            <dgm:shape xmlns:r="http://schemas.openxmlformats.org/officeDocument/2006/relationships" type="ellipse" r:blip="">
              <dgm:adjLst/>
            </dgm:shape>
            <dgm:presOf/>
          </dgm:layoutNode>
          <dgm:layoutNode name="Child3Accent5" styleLbl="alignNode1">
            <dgm:alg type="sp"/>
            <dgm:shape xmlns:r="http://schemas.openxmlformats.org/officeDocument/2006/relationships" type="ellipse" r:blip="">
              <dgm:adjLst/>
            </dgm:shape>
            <dgm:presOf/>
          </dgm:layoutNode>
          <dgm:layoutNode name="Child3Accent6" styleLbl="alignNode1">
            <dgm:alg type="sp"/>
            <dgm:shape xmlns:r="http://schemas.openxmlformats.org/officeDocument/2006/relationships" type="ellipse" r:blip="">
              <dgm:adjLst/>
            </dgm:shape>
            <dgm:presOf/>
          </dgm:layoutNode>
          <dgm:layoutNode name="Child3Accent7" styleLbl="alignNode1">
            <dgm:alg type="sp"/>
            <dgm:shape xmlns:r="http://schemas.openxmlformats.org/officeDocument/2006/relationships" type="ellipse" r:blip="">
              <dgm:adjLst/>
            </dgm:shape>
            <dgm:presOf/>
          </dgm:layoutNode>
          <dgm:layoutNode name="Child3" styleLbl="revTx">
            <dgm:varLst>
              <dgm:chMax/>
              <dgm:chPref val="0"/>
              <dgm:bulletEnabled val="1"/>
            </dgm:varLst>
            <dgm:alg type="tx">
              <dgm:param type="parTxLTRAlign" val="l"/>
              <dgm:param type="txAnchorVert" val="b"/>
              <dgm:param type="txAnchorVertCh" val="b"/>
            </dgm:alg>
            <dgm:shape xmlns:r="http://schemas.openxmlformats.org/officeDocument/2006/relationships" type="rect" r:blip="">
              <dgm:adjLst/>
            </dgm:shape>
            <dgm:presOf axis="desOrSelf" ptType="node"/>
            <dgm:constrLst>
              <dgm:constr type="lMarg" refType="primFontSz" fact="0"/>
              <dgm:constr type="rMarg" refType="primFontSz" fact="0"/>
              <dgm:constr type="tMarg" refType="primFontSz" fact="0"/>
              <dgm:constr type="bMarg" refType="primFontSz" fact="0"/>
            </dgm:constrLst>
            <dgm:ruleLst>
              <dgm:rule type="primFontSz" val="5" fact="NaN" max="NaN"/>
            </dgm:ruleLst>
          </dgm:layoutNode>
        </dgm:forEach>
        <dgm:forEach name="Name24" axis="ch" ptType="node" st="4" cnt="1">
          <dgm:layoutNode name="Child4Accent1" styleLbl="alignNode1">
            <dgm:alg type="sp"/>
            <dgm:shape xmlns:r="http://schemas.openxmlformats.org/officeDocument/2006/relationships" type="ellipse" r:blip="">
              <dgm:adjLst/>
            </dgm:shape>
            <dgm:presOf/>
          </dgm:layoutNode>
          <dgm:layoutNode name="Child4Accent2" styleLbl="alignNode1">
            <dgm:alg type="sp"/>
            <dgm:shape xmlns:r="http://schemas.openxmlformats.org/officeDocument/2006/relationships" type="ellipse" r:blip="">
              <dgm:adjLst/>
            </dgm:shape>
            <dgm:presOf/>
          </dgm:layoutNode>
          <dgm:layoutNode name="Child4Accent3" styleLbl="alignNode1">
            <dgm:alg type="sp"/>
            <dgm:shape xmlns:r="http://schemas.openxmlformats.org/officeDocument/2006/relationships" type="ellipse" r:blip="">
              <dgm:adjLst/>
            </dgm:shape>
            <dgm:presOf/>
          </dgm:layoutNode>
          <dgm:layoutNode name="Child4Accent4" styleLbl="alignNode1">
            <dgm:alg type="sp"/>
            <dgm:shape xmlns:r="http://schemas.openxmlformats.org/officeDocument/2006/relationships" type="ellipse" r:blip="">
              <dgm:adjLst/>
            </dgm:shape>
            <dgm:presOf/>
          </dgm:layoutNode>
          <dgm:layoutNode name="Child4Accent5" styleLbl="alignNode1">
            <dgm:alg type="sp"/>
            <dgm:shape xmlns:r="http://schemas.openxmlformats.org/officeDocument/2006/relationships" type="ellipse" r:blip="">
              <dgm:adjLst/>
            </dgm:shape>
            <dgm:presOf/>
          </dgm:layoutNode>
          <dgm:layoutNode name="Child4Accent6" styleLbl="alignNode1">
            <dgm:alg type="sp"/>
            <dgm:shape xmlns:r="http://schemas.openxmlformats.org/officeDocument/2006/relationships" type="ellipse" r:blip="">
              <dgm:adjLst/>
            </dgm:shape>
            <dgm:presOf/>
          </dgm:layoutNode>
          <dgm:layoutNode name="Child4Accent7" styleLbl="alignNode1">
            <dgm:alg type="sp"/>
            <dgm:shape xmlns:r="http://schemas.openxmlformats.org/officeDocument/2006/relationships" type="ellipse" r:blip="">
              <dgm:adjLst/>
            </dgm:shape>
            <dgm:presOf/>
          </dgm:layoutNode>
          <dgm:layoutNode name="Child4Accent8" styleLbl="alignNode1">
            <dgm:alg type="sp"/>
            <dgm:shape xmlns:r="http://schemas.openxmlformats.org/officeDocument/2006/relationships" type="ellipse" r:blip="">
              <dgm:adjLst/>
            </dgm:shape>
            <dgm:presOf/>
          </dgm:layoutNode>
          <dgm:layoutNode name="Child4" styleLbl="revTx">
            <dgm:varLst>
              <dgm:chMax/>
              <dgm:chPref val="0"/>
              <dgm:bulletEnabled val="1"/>
            </dgm:varLst>
            <dgm:alg type="tx">
              <dgm:param type="parTxLTRAlign" val="l"/>
              <dgm:param type="txAnchorVert" val="b"/>
              <dgm:param type="txAnchorVertCh" val="b"/>
            </dgm:alg>
            <dgm:shape xmlns:r="http://schemas.openxmlformats.org/officeDocument/2006/relationships" type="rect" r:blip="">
              <dgm:adjLst/>
            </dgm:shape>
            <dgm:presOf axis="desOrSelf" ptType="node"/>
            <dgm:constrLst>
              <dgm:constr type="lMarg" refType="primFontSz" fact="0"/>
              <dgm:constr type="rMarg" refType="primFontSz" fact="0"/>
              <dgm:constr type="tMarg" refType="primFontSz" fact="0"/>
              <dgm:constr type="bMarg" refType="primFontSz" fact="0"/>
            </dgm:constrLst>
            <dgm:ruleLst>
              <dgm:rule type="primFontSz" val="5" fact="NaN" max="NaN"/>
            </dgm:ruleLst>
          </dgm:layoutNode>
        </dgm:forEach>
        <dgm:forEach name="Name25" axis="ch" ptType="node" st="5" cnt="1">
          <dgm:layoutNode name="Child5Accent1" styleLbl="alignNode1">
            <dgm:alg type="sp"/>
            <dgm:shape xmlns:r="http://schemas.openxmlformats.org/officeDocument/2006/relationships" type="ellipse" r:blip="">
              <dgm:adjLst/>
            </dgm:shape>
            <dgm:presOf/>
          </dgm:layoutNode>
          <dgm:layoutNode name="Child5Accent2" styleLbl="alignNode1">
            <dgm:alg type="sp"/>
            <dgm:shape xmlns:r="http://schemas.openxmlformats.org/officeDocument/2006/relationships" type="ellipse" r:blip="">
              <dgm:adjLst/>
            </dgm:shape>
            <dgm:presOf/>
          </dgm:layoutNode>
          <dgm:layoutNode name="Child5Accent3" styleLbl="alignNode1">
            <dgm:alg type="sp"/>
            <dgm:shape xmlns:r="http://schemas.openxmlformats.org/officeDocument/2006/relationships" type="ellipse" r:blip="">
              <dgm:adjLst/>
            </dgm:shape>
            <dgm:presOf/>
          </dgm:layoutNode>
          <dgm:layoutNode name="Child5Accent4" styleLbl="alignNode1">
            <dgm:alg type="sp"/>
            <dgm:shape xmlns:r="http://schemas.openxmlformats.org/officeDocument/2006/relationships" type="ellipse" r:blip="">
              <dgm:adjLst/>
            </dgm:shape>
            <dgm:presOf/>
          </dgm:layoutNode>
          <dgm:layoutNode name="Child5Accent5" styleLbl="alignNode1">
            <dgm:alg type="sp"/>
            <dgm:shape xmlns:r="http://schemas.openxmlformats.org/officeDocument/2006/relationships" type="ellipse" r:blip="">
              <dgm:adjLst/>
            </dgm:shape>
            <dgm:presOf/>
          </dgm:layoutNode>
          <dgm:layoutNode name="Child5Accent6" styleLbl="alignNode1">
            <dgm:alg type="sp"/>
            <dgm:shape xmlns:r="http://schemas.openxmlformats.org/officeDocument/2006/relationships" type="ellipse" r:blip="">
              <dgm:adjLst/>
            </dgm:shape>
            <dgm:presOf/>
          </dgm:layoutNode>
          <dgm:layoutNode name="Child5Accent7" styleLbl="alignNode1">
            <dgm:alg type="sp"/>
            <dgm:shape xmlns:r="http://schemas.openxmlformats.org/officeDocument/2006/relationships" type="ellipse" r:blip="">
              <dgm:adjLst/>
            </dgm:shape>
            <dgm:presOf/>
          </dgm:layoutNode>
          <dgm:layoutNode name="Child5Accent8" styleLbl="alignNode1">
            <dgm:alg type="sp"/>
            <dgm:shape xmlns:r="http://schemas.openxmlformats.org/officeDocument/2006/relationships" type="ellipse" r:blip="">
              <dgm:adjLst/>
            </dgm:shape>
            <dgm:presOf/>
          </dgm:layoutNode>
          <dgm:layoutNode name="Child5Accent9" styleLbl="alignNode1">
            <dgm:alg type="sp"/>
            <dgm:shape xmlns:r="http://schemas.openxmlformats.org/officeDocument/2006/relationships" type="ellipse" r:blip="">
              <dgm:adjLst/>
            </dgm:shape>
            <dgm:presOf/>
          </dgm:layoutNode>
          <dgm:layoutNode name="Child5" styleLbl="revTx">
            <dgm:varLst>
              <dgm:chMax/>
              <dgm:chPref val="0"/>
              <dgm:bulletEnabled val="1"/>
            </dgm:varLst>
            <dgm:alg type="tx">
              <dgm:param type="parTxLTRAlign" val="l"/>
              <dgm:param type="txAnchorVert" val="b"/>
              <dgm:param type="txAnchorVertCh" val="b"/>
            </dgm:alg>
            <dgm:shape xmlns:r="http://schemas.openxmlformats.org/officeDocument/2006/relationships" type="rect" r:blip="">
              <dgm:adjLst/>
            </dgm:shape>
            <dgm:presOf axis="desOrSelf" ptType="node"/>
            <dgm:constrLst>
              <dgm:constr type="lMarg" refType="primFontSz" fact="0"/>
              <dgm:constr type="rMarg" refType="primFontSz" fact="0"/>
              <dgm:constr type="tMarg" refType="primFontSz" fact="0"/>
              <dgm:constr type="bMarg" refType="primFontSz" fact="0"/>
            </dgm:constrLst>
            <dgm:ruleLst>
              <dgm:rule type="primFontSz" val="5" fact="NaN" max="NaN"/>
            </dgm:ruleLst>
          </dgm:layoutNode>
        </dgm:forEach>
      </dgm:layoutNode>
      <dgm:forEach name="sibTransForEach" axis="followSib" ptType="sibTrans" cnt="1">
        <dgm:layoutNode name="sibTrans">
          <dgm:alg type="sp"/>
          <dgm:shape xmlns:r="http://schemas.openxmlformats.org/officeDocument/2006/relationships" r:blip="">
            <dgm:adjLst/>
          </dgm:shape>
        </dgm:layoutNode>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target2">
  <dgm:title val=""/>
  <dgm:desc val=""/>
  <dgm:catLst>
    <dgm:cat type="relationship" pri="12000"/>
  </dgm:catLst>
  <dgm:sampData>
    <dgm:dataModel>
      <dgm:ptLst>
        <dgm:pt modelId="0" type="doc"/>
        <dgm:pt modelId="1">
          <dgm:prSet phldr="1"/>
        </dgm:pt>
        <dgm:pt modelId="11">
          <dgm:prSet phldr="1"/>
        </dgm:pt>
        <dgm:pt modelId="12">
          <dgm:prSet phldr="1"/>
        </dgm:pt>
        <dgm:pt modelId="2">
          <dgm:prSet phldr="1"/>
        </dgm:pt>
        <dgm:pt modelId="21">
          <dgm:prSet phldr="1"/>
        </dgm:pt>
        <dgm:pt modelId="22">
          <dgm:prSet phldr="1"/>
        </dgm:pt>
        <dgm:pt modelId="3">
          <dgm:prSet phldr="1"/>
        </dgm:pt>
        <dgm:pt modelId="31">
          <dgm:prSet phldr="1"/>
        </dgm:pt>
        <dgm:pt modelId="32">
          <dgm:prSet phldr="1"/>
        </dgm:pt>
      </dgm:ptLst>
      <dgm:cxnLst>
        <dgm:cxn modelId="4" srcId="0" destId="1" srcOrd="0" destOrd="0"/>
        <dgm:cxn modelId="5" srcId="0" destId="2" srcOrd="1" destOrd="0"/>
        <dgm:cxn modelId="6" srcId="0" destId="3" srcOrd="2" destOrd="0"/>
        <dgm:cxn modelId="13" srcId="1" destId="11" srcOrd="0" destOrd="0"/>
        <dgm:cxn modelId="14" srcId="1" destId="12" srcOrd="1" destOrd="0"/>
        <dgm:cxn modelId="23" srcId="2" destId="21" srcOrd="0" destOrd="0"/>
        <dgm:cxn modelId="24" srcId="2" destId="22" srcOrd="1" destOrd="0"/>
        <dgm:cxn modelId="33" srcId="3" destId="31" srcOrd="0" destOrd="0"/>
        <dgm:cxn modelId="34" srcId="3" destId="32" srcOrd="1" destOrd="0"/>
      </dgm:cxnLst>
      <dgm:bg/>
      <dgm:whole/>
    </dgm:dataModel>
  </dgm:sampData>
  <dgm:styleData>
    <dgm:dataModel>
      <dgm:ptLst>
        <dgm:pt modelId="0" type="doc"/>
        <dgm:pt modelId="1"/>
        <dgm:pt modelId="11"/>
        <dgm:pt modelId="2"/>
        <dgm:pt modelId="21"/>
      </dgm:ptLst>
      <dgm:cxnLst>
        <dgm:cxn modelId="4" srcId="0" destId="1" srcOrd="0" destOrd="0"/>
        <dgm:cxn modelId="5" srcId="0" destId="2" srcOrd="1" destOrd="0"/>
        <dgm:cxn modelId="13" srcId="1" destId="11" srcOrd="0" destOrd="0"/>
        <dgm:cxn modelId="23" srcId="2" destId="21" srcOrd="0" destOrd="0"/>
      </dgm:cxnLst>
      <dgm:bg/>
      <dgm:whole/>
    </dgm:dataModel>
  </dgm:styleData>
  <dgm:clrData>
    <dgm:dataModel>
      <dgm:ptLst>
        <dgm:pt modelId="0" type="doc"/>
        <dgm:pt modelId="1"/>
        <dgm:pt modelId="11"/>
        <dgm:pt modelId="2"/>
        <dgm:pt modelId="21"/>
        <dgm:pt modelId="3"/>
        <dgm:pt modelId="31"/>
        <dgm:pt modelId="4"/>
        <dgm:pt modelId="41"/>
      </dgm:ptLst>
      <dgm:cxnLst>
        <dgm:cxn modelId="5" srcId="0" destId="1" srcOrd="0" destOrd="0"/>
        <dgm:cxn modelId="6" srcId="0" destId="2" srcOrd="1" destOrd="0"/>
        <dgm:cxn modelId="7" srcId="0" destId="3" srcOrd="2" destOrd="0"/>
        <dgm:cxn modelId="8" srcId="0" destId="4" srcOrd="3" destOrd="0"/>
        <dgm:cxn modelId="13" srcId="1" destId="11" srcOrd="0" destOrd="0"/>
        <dgm:cxn modelId="23" srcId="2" destId="21" srcOrd="0" destOrd="0"/>
        <dgm:cxn modelId="33" srcId="3" destId="31" srcOrd="0" destOrd="0"/>
        <dgm:cxn modelId="43" srcId="4" destId="41" srcOrd="0" destOrd="0"/>
      </dgm:cxnLst>
      <dgm:bg/>
      <dgm:whole/>
    </dgm:dataModel>
  </dgm:clrData>
  <dgm:layoutNode name="Name0">
    <dgm:varLst>
      <dgm:chMax val="3"/>
      <dgm:chPref val="1"/>
      <dgm:dir/>
      <dgm:animLvl val="lvl"/>
      <dgm:resizeHandles/>
    </dgm:varLst>
    <dgm:alg type="composite">
      <dgm:param type="horzAlign" val="none"/>
      <dgm:param type="vertAlign" val="none"/>
    </dgm:alg>
    <dgm:shape xmlns:r="http://schemas.openxmlformats.org/officeDocument/2006/relationships" r:blip="">
      <dgm:adjLst/>
    </dgm:shape>
    <dgm:presOf/>
    <dgm:choose name="Name1">
      <dgm:if name="Name2" func="var" arg="dir" op="equ" val="norm">
        <dgm:choose name="Name3">
          <dgm:if name="Name4" axis="ch ch" ptType="node node" st="1 1" cnt="1 0" func="cnt" op="gt" val="0">
            <dgm:choose name="Name5">
              <dgm:if name="Name6" axis="ch ch" ptType="node node" st="2 1" cnt="1 0" func="cnt" op="gt" val="0">
                <dgm:constrLst>
                  <dgm:constr type="primFontSz" for="des" forName="middleBoxParent" val="65"/>
                  <dgm:constr type="primFontSz" for="des" forName="mChild" val="65"/>
                  <dgm:constr type="primFontSz" for="des" forName="outerBoxParent" refType="primFontSz" refFor="des" refForName="middleBoxParent" op="equ"/>
                  <dgm:constr type="primFontSz" for="des" forName="centerBoxParent" refType="primFontSz" refFor="des" refForName="middleBoxParent" op="equ"/>
                  <dgm:constr type="primFontSz" for="des" forName="oChild" refType="primFontSz" refFor="des" refForName="mChild" op="equ"/>
                  <dgm:constr type="primFontSz" for="des" forName="cChild" refType="primFontSz" refFor="des" refForName="mChild" op="equ"/>
                  <dgm:constr type="l" for="ch" forName="outerBox"/>
                  <dgm:constr type="t" for="ch" forName="outerBox"/>
                  <dgm:constr type="w" for="ch" forName="outerBox" refType="w"/>
                  <dgm:constr type="h" for="ch" forName="outerBox" refType="h"/>
                  <dgm:constr type="l" for="ch" forName="middleBox" refType="w" fact="0.2"/>
                  <dgm:constr type="t" for="ch" forName="middleBox" refType="h" fact="0.25"/>
                  <dgm:constr type="w" for="ch" forName="middleBox" refType="w" fact="0.775"/>
                  <dgm:constr type="h" for="ch" forName="middleBox" refType="h" fact="0.7"/>
                  <dgm:constr type="l" for="ch" forName="centerBox" refType="w" fact="0.395"/>
                  <dgm:constr type="t" for="ch" forName="centerBox" refType="h" fact="0.5"/>
                  <dgm:constr type="w" for="ch" forName="centerBox" refType="w" fact="0.555"/>
                  <dgm:constr type="h" for="ch" forName="centerBox" refType="h" fact="0.4"/>
                  <dgm:constr type="userA" for="des" forName="outerSibTrans" refType="w"/>
                  <dgm:constr type="userA" for="des" forName="middleSibTrans" refType="w"/>
                  <dgm:constr type="userA" for="des" forName="centerSibTrans" refType="w"/>
                </dgm:constrLst>
              </dgm:if>
              <dgm:else name="Name7">
                <dgm:constrLst>
                  <dgm:constr type="primFontSz" for="des" forName="middleBoxParent" val="65"/>
                  <dgm:constr type="primFontSz" for="des" forName="mChild" val="65"/>
                  <dgm:constr type="primFontSz" for="des" forName="outerBoxParent" refType="primFontSz" refFor="des" refForName="middleBoxParent" op="equ"/>
                  <dgm:constr type="primFontSz" for="des" forName="centerBoxParent" refType="primFontSz" refFor="des" refForName="middleBoxParent" op="equ"/>
                  <dgm:constr type="primFontSz" for="des" forName="oChild" refType="primFontSz" refFor="des" refForName="mChild" op="equ"/>
                  <dgm:constr type="primFontSz" for="des" forName="cChild" refType="primFontSz" refFor="des" refForName="mChild" op="equ"/>
                  <dgm:constr type="l" for="ch" forName="outerBox"/>
                  <dgm:constr type="t" for="ch" forName="outerBox"/>
                  <dgm:constr type="w" for="ch" forName="outerBox" refType="w"/>
                  <dgm:constr type="h" for="ch" forName="outerBox" refType="h"/>
                  <dgm:constr type="l" for="ch" forName="middleBox" refType="w" fact="0.2"/>
                  <dgm:constr type="t" for="ch" forName="middleBox" refType="h" fact="0.25"/>
                  <dgm:constr type="w" for="ch" forName="middleBox" refType="w" fact="0.775"/>
                  <dgm:constr type="h" for="ch" forName="middleBox" refType="h" fact="0.7"/>
                  <dgm:constr type="l" for="ch" forName="centerBox" refType="w" fact="0.225"/>
                  <dgm:constr type="t" for="ch" forName="centerBox" refType="h" fact="0.5"/>
                  <dgm:constr type="w" for="ch" forName="centerBox" refType="w" fact="0.725"/>
                  <dgm:constr type="h" for="ch" forName="centerBox" refType="h" fact="0.4"/>
                  <dgm:constr type="userA" for="des" forName="outerSibTrans" refType="w"/>
                  <dgm:constr type="userA" for="des" forName="middleSibTrans" refType="w"/>
                  <dgm:constr type="userA" for="des" forName="centerSibTrans" refType="w"/>
                </dgm:constrLst>
              </dgm:else>
            </dgm:choose>
          </dgm:if>
          <dgm:else name="Name8">
            <dgm:choose name="Name9">
              <dgm:if name="Name10" axis="ch ch" ptType="node node" st="2 1" cnt="1 0" func="cnt" op="gt" val="0">
                <dgm:constrLst>
                  <dgm:constr type="primFontSz" for="des" forName="middleBoxParent" val="65"/>
                  <dgm:constr type="primFontSz" for="des" forName="mChild" val="65"/>
                  <dgm:constr type="primFontSz" for="des" forName="outerBoxParent" refType="primFontSz" refFor="des" refForName="middleBoxParent" op="equ"/>
                  <dgm:constr type="primFontSz" for="des" forName="centerBoxParent" refType="primFontSz" refFor="des" refForName="middleBoxParent" op="equ"/>
                  <dgm:constr type="primFontSz" for="des" forName="oChild" refType="primFontSz" refFor="des" refForName="mChild" op="equ"/>
                  <dgm:constr type="primFontSz" for="des" forName="cChild" refType="primFontSz" refFor="des" refForName="mChild" op="equ"/>
                  <dgm:constr type="l" for="ch" forName="outerBox"/>
                  <dgm:constr type="t" for="ch" forName="outerBox"/>
                  <dgm:constr type="w" for="ch" forName="outerBox" refType="w"/>
                  <dgm:constr type="h" for="ch" forName="outerBox" refType="h"/>
                  <dgm:constr type="l" for="ch" forName="middleBox" refType="w" fact="0.025"/>
                  <dgm:constr type="t" for="ch" forName="middleBox" refType="h" fact="0.25"/>
                  <dgm:constr type="w" for="ch" forName="middleBox" refType="w" fact="0.95"/>
                  <dgm:constr type="h" for="ch" forName="middleBox" refType="h" fact="0.7"/>
                  <dgm:constr type="l" for="ch" forName="centerBox" refType="w" fact="0.26"/>
                  <dgm:constr type="t" for="ch" forName="centerBox" refType="h" fact="0.5"/>
                  <dgm:constr type="w" for="ch" forName="centerBox" refType="w" fact="0.69"/>
                  <dgm:constr type="h" for="ch" forName="centerBox" refType="h" fact="0.4"/>
                  <dgm:constr type="userA" for="des" forName="outerSibTrans" refType="w"/>
                  <dgm:constr type="userA" for="des" forName="middleSibTrans" refType="w"/>
                  <dgm:constr type="userA" for="des" forName="centerSibTrans" refType="w"/>
                </dgm:constrLst>
              </dgm:if>
              <dgm:else name="Name11">
                <dgm:constrLst>
                  <dgm:constr type="primFontSz" for="des" forName="middleBoxParent" val="65"/>
                  <dgm:constr type="primFontSz" for="des" forName="mChild" val="65"/>
                  <dgm:constr type="primFontSz" for="des" forName="outerBoxParent" refType="primFontSz" refFor="des" refForName="middleBoxParent" op="equ"/>
                  <dgm:constr type="primFontSz" for="des" forName="centerBoxParent" refType="primFontSz" refFor="des" refForName="middleBoxParent" op="equ"/>
                  <dgm:constr type="primFontSz" for="des" forName="oChild" refType="primFontSz" refFor="des" refForName="mChild" op="equ"/>
                  <dgm:constr type="primFontSz" for="des" forName="cChild" refType="primFontSz" refFor="des" refForName="mChild" op="equ"/>
                  <dgm:constr type="l" for="ch" forName="outerBox"/>
                  <dgm:constr type="t" for="ch" forName="outerBox"/>
                  <dgm:constr type="w" for="ch" forName="outerBox" refType="w"/>
                  <dgm:constr type="h" for="ch" forName="outerBox" refType="h"/>
                  <dgm:constr type="l" for="ch" forName="middleBox" refType="w" fact="0.025"/>
                  <dgm:constr type="t" for="ch" forName="middleBox" refType="h" fact="0.25"/>
                  <dgm:constr type="w" for="ch" forName="middleBox" refType="w" fact="0.95"/>
                  <dgm:constr type="h" for="ch" forName="middleBox" refType="h" fact="0.7"/>
                  <dgm:constr type="l" for="ch" forName="centerBox" refType="w" fact="0.05"/>
                  <dgm:constr type="t" for="ch" forName="centerBox" refType="h" fact="0.5"/>
                  <dgm:constr type="w" for="ch" forName="centerBox" refType="w" fact="0.9"/>
                  <dgm:constr type="h" for="ch" forName="centerBox" refType="h" fact="0.4"/>
                  <dgm:constr type="userA" for="des" forName="outerSibTrans" refType="w"/>
                  <dgm:constr type="userA" for="des" forName="middleSibTrans" refType="w"/>
                  <dgm:constr type="userA" for="des" forName="centerSibTrans" refType="w"/>
                </dgm:constrLst>
              </dgm:else>
            </dgm:choose>
          </dgm:else>
        </dgm:choose>
      </dgm:if>
      <dgm:else name="Name12">
        <dgm:choose name="Name13">
          <dgm:if name="Name14" axis="ch ch" ptType="node node" st="1 1" cnt="1 0" func="cnt" op="gt" val="0">
            <dgm:choose name="Name15">
              <dgm:if name="Name16" axis="ch ch" ptType="node node" st="2 1" cnt="1 0" func="cnt" op="gt" val="0">
                <dgm:constrLst>
                  <dgm:constr type="primFontSz" for="des" forName="middleBoxParent" val="65"/>
                  <dgm:constr type="primFontSz" for="des" forName="mChild" val="65"/>
                  <dgm:constr type="primFontSz" for="des" forName="outerBoxParent" refType="primFontSz" refFor="des" refForName="middleBoxParent" op="equ"/>
                  <dgm:constr type="primFontSz" for="des" forName="centerBoxParent" refType="primFontSz" refFor="des" refForName="middleBoxParent" op="equ"/>
                  <dgm:constr type="primFontSz" for="des" forName="oChild" refType="primFontSz" refFor="des" refForName="mChild" op="equ"/>
                  <dgm:constr type="primFontSz" for="des" forName="cChild" refType="primFontSz" refFor="des" refForName="mChild" op="equ"/>
                  <dgm:constr type="l" for="ch" forName="outerBox"/>
                  <dgm:constr type="t" for="ch" forName="outerBox"/>
                  <dgm:constr type="w" for="ch" forName="outerBox" refType="w"/>
                  <dgm:constr type="h" for="ch" forName="outerBox" refType="h"/>
                  <dgm:constr type="l" for="ch" forName="middleBox" refType="w" fact="0.025"/>
                  <dgm:constr type="t" for="ch" forName="middleBox" refType="h" fact="0.25"/>
                  <dgm:constr type="w" for="ch" forName="middleBox" refType="w" fact="0.775"/>
                  <dgm:constr type="h" for="ch" forName="middleBox" refType="h" fact="0.7"/>
                  <dgm:constr type="l" for="ch" forName="centerBox" refType="w" fact="0.05"/>
                  <dgm:constr type="t" for="ch" forName="centerBox" refType="h" fact="0.5"/>
                  <dgm:constr type="w" for="ch" forName="centerBox" refType="w" fact="0.55"/>
                  <dgm:constr type="h" for="ch" forName="centerBox" refType="h" fact="0.4"/>
                  <dgm:constr type="userA" for="des" forName="outerSibTrans" refType="w"/>
                  <dgm:constr type="userA" for="des" forName="middleSibTrans" refType="w"/>
                  <dgm:constr type="userA" for="des" forName="centerSibTrans" refType="w"/>
                </dgm:constrLst>
              </dgm:if>
              <dgm:else name="Name17">
                <dgm:constrLst>
                  <dgm:constr type="primFontSz" for="des" forName="middleBoxParent" val="65"/>
                  <dgm:constr type="primFontSz" for="des" forName="mChild" val="65"/>
                  <dgm:constr type="primFontSz" for="des" forName="outerBoxParent" refType="primFontSz" refFor="des" refForName="middleBoxParent" op="equ"/>
                  <dgm:constr type="primFontSz" for="des" forName="centerBoxParent" refType="primFontSz" refFor="des" refForName="middleBoxParent" op="equ"/>
                  <dgm:constr type="primFontSz" for="des" forName="oChild" refType="primFontSz" refFor="des" refForName="mChild" op="equ"/>
                  <dgm:constr type="primFontSz" for="des" forName="cChild" refType="primFontSz" refFor="des" refForName="mChild" op="equ"/>
                  <dgm:constr type="l" for="ch" forName="outerBox"/>
                  <dgm:constr type="t" for="ch" forName="outerBox"/>
                  <dgm:constr type="w" for="ch" forName="outerBox" refType="w"/>
                  <dgm:constr type="h" for="ch" forName="outerBox" refType="h"/>
                  <dgm:constr type="l" for="ch" forName="middleBox" refType="w" fact="0.025"/>
                  <dgm:constr type="t" for="ch" forName="middleBox" refType="h" fact="0.25"/>
                  <dgm:constr type="w" for="ch" forName="middleBox" refType="w" fact="0.775"/>
                  <dgm:constr type="h" for="ch" forName="middleBox" refType="h" fact="0.7"/>
                  <dgm:constr type="l" for="ch" forName="centerBox" refType="w" fact="0.05"/>
                  <dgm:constr type="t" for="ch" forName="centerBox" refType="h" fact="0.5"/>
                  <dgm:constr type="w" for="ch" forName="centerBox" refType="w" fact="0.725"/>
                  <dgm:constr type="h" for="ch" forName="centerBox" refType="h" fact="0.4"/>
                  <dgm:constr type="userA" for="des" forName="outerSibTrans" refType="w"/>
                  <dgm:constr type="userA" for="des" forName="middleSibTrans" refType="w"/>
                  <dgm:constr type="userA" for="des" forName="centerSibTrans" refType="w"/>
                </dgm:constrLst>
              </dgm:else>
            </dgm:choose>
          </dgm:if>
          <dgm:else name="Name18">
            <dgm:choose name="Name19">
              <dgm:if name="Name20" axis="ch ch" ptType="node node" st="2 1" cnt="1 0" func="cnt" op="gt" val="0">
                <dgm:constrLst>
                  <dgm:constr type="primFontSz" for="des" forName="middleBoxParent" val="65"/>
                  <dgm:constr type="primFontSz" for="des" forName="mChild" val="65"/>
                  <dgm:constr type="primFontSz" for="des" forName="outerBoxParent" refType="primFontSz" refFor="des" refForName="middleBoxParent" op="equ"/>
                  <dgm:constr type="primFontSz" for="des" forName="centerBoxParent" refType="primFontSz" refFor="des" refForName="middleBoxParent" op="equ"/>
                  <dgm:constr type="primFontSz" for="des" forName="oChild" refType="primFontSz" refFor="des" refForName="mChild" op="equ"/>
                  <dgm:constr type="primFontSz" for="des" forName="cChild" refType="primFontSz" refFor="des" refForName="mChild" op="equ"/>
                  <dgm:constr type="l" for="ch" forName="outerBox"/>
                  <dgm:constr type="t" for="ch" forName="outerBox"/>
                  <dgm:constr type="w" for="ch" forName="outerBox" refType="w"/>
                  <dgm:constr type="h" for="ch" forName="outerBox" refType="h"/>
                  <dgm:constr type="l" for="ch" forName="middleBox" refType="w" fact="0.025"/>
                  <dgm:constr type="t" for="ch" forName="middleBox" refType="h" fact="0.25"/>
                  <dgm:constr type="w" for="ch" forName="middleBox" refType="w" fact="0.95"/>
                  <dgm:constr type="h" for="ch" forName="middleBox" refType="h" fact="0.7"/>
                  <dgm:constr type="l" for="ch" forName="centerBox" refType="w" fact="0.05"/>
                  <dgm:constr type="t" for="ch" forName="centerBox" refType="h" fact="0.5"/>
                  <dgm:constr type="w" for="ch" forName="centerBox" refType="w" fact="0.69"/>
                  <dgm:constr type="h" for="ch" forName="centerBox" refType="h" fact="0.4"/>
                  <dgm:constr type="userA" for="des" forName="outerSibTrans" refType="w"/>
                  <dgm:constr type="userA" for="des" forName="middleSibTrans" refType="w"/>
                  <dgm:constr type="userA" for="des" forName="centerSibTrans" refType="w"/>
                </dgm:constrLst>
              </dgm:if>
              <dgm:else name="Name21">
                <dgm:constrLst>
                  <dgm:constr type="primFontSz" for="des" forName="middleBoxParent" val="65"/>
                  <dgm:constr type="primFontSz" for="des" forName="mChild" val="65"/>
                  <dgm:constr type="primFontSz" for="des" forName="outerBoxParent" refType="primFontSz" refFor="des" refForName="middleBoxParent" op="equ"/>
                  <dgm:constr type="primFontSz" for="des" forName="centerBoxParent" refType="primFontSz" refFor="des" refForName="middleBoxParent" op="equ"/>
                  <dgm:constr type="primFontSz" for="des" forName="oChild" refType="primFontSz" refFor="des" refForName="mChild" op="equ"/>
                  <dgm:constr type="primFontSz" for="des" forName="cChild" refType="primFontSz" refFor="des" refForName="mChild" op="equ"/>
                  <dgm:constr type="l" for="ch" forName="outerBox"/>
                  <dgm:constr type="t" for="ch" forName="outerBox"/>
                  <dgm:constr type="w" for="ch" forName="outerBox" refType="w"/>
                  <dgm:constr type="h" for="ch" forName="outerBox" refType="h"/>
                  <dgm:constr type="l" for="ch" forName="middleBox" refType="w" fact="0.025"/>
                  <dgm:constr type="t" for="ch" forName="middleBox" refType="h" fact="0.25"/>
                  <dgm:constr type="w" for="ch" forName="middleBox" refType="w" fact="0.95"/>
                  <dgm:constr type="h" for="ch" forName="middleBox" refType="h" fact="0.7"/>
                  <dgm:constr type="l" for="ch" forName="centerBox" refType="w" fact="0.05"/>
                  <dgm:constr type="t" for="ch" forName="centerBox" refType="h" fact="0.5"/>
                  <dgm:constr type="w" for="ch" forName="centerBox" refType="w" fact="0.9"/>
                  <dgm:constr type="h" for="ch" forName="centerBox" refType="h" fact="0.4"/>
                  <dgm:constr type="userA" for="des" forName="outerSibTrans" refType="w"/>
                  <dgm:constr type="userA" for="des" forName="middleSibTrans" refType="w"/>
                  <dgm:constr type="userA" for="des" forName="centerSibTrans" refType="w"/>
                </dgm:constrLst>
              </dgm:else>
            </dgm:choose>
          </dgm:else>
        </dgm:choose>
      </dgm:else>
    </dgm:choose>
    <dgm:ruleLst/>
    <dgm:choose name="Name22">
      <dgm:if name="Name23" axis="root ch" ptType="all node" st="1 1" cnt="0 0" func="cnt" op="gte" val="1">
        <dgm:layoutNode name="outerBox" styleLbl="node1">
          <dgm:alg type="composite">
            <dgm:param type="horzAlign" val="none"/>
            <dgm:param type="vertAlign" val="none"/>
          </dgm:alg>
          <dgm:shape xmlns:r="http://schemas.openxmlformats.org/officeDocument/2006/relationships" r:blip="">
            <dgm:adjLst/>
          </dgm:shape>
          <dgm:presOf/>
          <dgm:choose name="Name24">
            <dgm:if name="Name25" axis="root ch" ptType="all node" st="1 1" cnt="0 0" func="cnt" op="gt" val="1">
              <dgm:choose name="Name26">
                <dgm:if name="Name27" func="var" arg="dir" op="equ" val="norm">
                  <dgm:constrLst>
                    <dgm:constr type="l" for="ch" forName="outerBoxParent"/>
                    <dgm:constr type="t" for="ch" forName="outerBoxParent"/>
                    <dgm:constr type="w" for="ch" forName="outerBoxParent" refType="w"/>
                    <dgm:constr type="h" for="ch" forName="outerBoxParent" refType="h"/>
                    <dgm:constr type="bMarg" for="ch" forName="outerBoxParent" refType="h" fact="2.2"/>
                    <dgm:constr type="l" for="ch" forName="outerBoxChildren" refType="w" fact="0.025"/>
                    <dgm:constr type="t" for="ch" forName="outerBoxChildren" refType="h" fact="0.25"/>
                    <dgm:constr type="w" for="ch" forName="outerBoxChildren" refType="w" fact="0.15"/>
                    <dgm:constr type="h" for="ch" forName="outerBoxChildren" refType="h" fact="0.7"/>
                  </dgm:constrLst>
                </dgm:if>
                <dgm:else name="Name28">
                  <dgm:constrLst>
                    <dgm:constr type="l" for="ch" forName="outerBoxParent"/>
                    <dgm:constr type="t" for="ch" forName="outerBoxParent"/>
                    <dgm:constr type="w" for="ch" forName="outerBoxParent" refType="w"/>
                    <dgm:constr type="h" for="ch" forName="outerBoxParent" refType="h"/>
                    <dgm:constr type="bMarg" for="ch" forName="outerBoxParent" refType="h" fact="2.2"/>
                    <dgm:constr type="l" for="ch" forName="outerBoxChildren" refType="w" fact="0.825"/>
                    <dgm:constr type="t" for="ch" forName="outerBoxChildren" refType="h" fact="0.25"/>
                    <dgm:constr type="w" for="ch" forName="outerBoxChildren" refType="w" fact="0.15"/>
                    <dgm:constr type="h" for="ch" forName="outerBoxChildren" refType="h" fact="0.7"/>
                  </dgm:constrLst>
                </dgm:else>
              </dgm:choose>
            </dgm:if>
            <dgm:else name="Name29">
              <dgm:constrLst>
                <dgm:constr type="l" for="ch" forName="outerBoxParent"/>
                <dgm:constr type="t" for="ch" forName="outerBoxParent"/>
                <dgm:constr type="w" for="ch" forName="outerBoxParent" refType="w"/>
                <dgm:constr type="h" for="ch" forName="outerBoxParent" refType="h"/>
                <dgm:constr type="bMarg" for="ch" forName="outerBoxParent" refType="h" fact="1.75"/>
                <dgm:constr type="l" for="ch" forName="outerBoxChildren" refType="w" fact="0.025"/>
                <dgm:constr type="t" for="ch" forName="outerBoxChildren" refType="h" fact="0.45"/>
                <dgm:constr type="w" for="ch" forName="outerBoxChildren" refType="w" fact="0.95"/>
                <dgm:constr type="h" for="ch" forName="outerBoxChildren" refType="h" fact="0.45"/>
              </dgm:constrLst>
            </dgm:else>
          </dgm:choose>
          <dgm:ruleLst/>
          <dgm:layoutNode name="outerBoxParent" styleLbl="node1">
            <dgm:alg type="tx">
              <dgm:param type="txAnchorVert" val="t"/>
              <dgm:param type="parTxLTRAlign" val="l"/>
              <dgm:param type="parTxRTLAlign" val="r"/>
            </dgm:alg>
            <dgm:shape xmlns:r="http://schemas.openxmlformats.org/officeDocument/2006/relationships" type="roundRect" r:blip="">
              <dgm:adjLst>
                <dgm:adj idx="1" val="0.085"/>
              </dgm:adjLst>
            </dgm:shape>
            <dgm:presOf axis="ch" ptType="node" cnt="1"/>
            <dgm:constrLst>
              <dgm:constr type="tMarg" refType="primFontSz" fact="0.3"/>
              <dgm:constr type="lMarg" refType="primFontSz" fact="0.3"/>
              <dgm:constr type="rMarg" refType="primFontSz" fact="0.3"/>
            </dgm:constrLst>
            <dgm:ruleLst>
              <dgm:rule type="primFontSz" val="5" fact="NaN" max="NaN"/>
            </dgm:ruleLst>
          </dgm:layoutNode>
          <dgm:layoutNode name="outerBoxChildren">
            <dgm:choose name="Name30">
              <dgm:if name="Name31" axis="root ch" ptType="all node" st="1 1" cnt="0 0" func="cnt" op="gt" val="1">
                <dgm:alg type="lin">
                  <dgm:param type="linDir" val="fromT"/>
                  <dgm:param type="vertAlign" val="t"/>
                </dgm:alg>
              </dgm:if>
              <dgm:else name="Name32">
                <dgm:choose name="Name33">
                  <dgm:if name="Name34" func="var" arg="dir" op="equ" val="norm">
                    <dgm:alg type="lin">
                      <dgm:param type="horzAlign" val="l"/>
                    </dgm:alg>
                  </dgm:if>
                  <dgm:else name="Name35">
                    <dgm:alg type="lin">
                      <dgm:param type="linDir" val="fromR"/>
                      <dgm:param type="horzAlign" val="r"/>
                    </dgm:alg>
                  </dgm:else>
                </dgm:choose>
              </dgm:else>
            </dgm:choose>
            <dgm:shape xmlns:r="http://schemas.openxmlformats.org/officeDocument/2006/relationships" r:blip="">
              <dgm:adjLst/>
            </dgm:shape>
            <dgm:presOf/>
            <dgm:constrLst>
              <dgm:constr type="w" for="ch" forName="oChild" refType="w"/>
              <dgm:constr type="h" for="ch" forName="oChild" refType="h"/>
            </dgm:constrLst>
            <dgm:ruleLst/>
            <dgm:forEach name="Name36" axis="ch ch" ptType="node node" st="1 1" cnt="1 0">
              <dgm:layoutNode name="oChild" styleLbl="fgAcc1">
                <dgm:varLst>
                  <dgm:bulletEnabled val="1"/>
                </dgm:varLst>
                <dgm:alg type="tx"/>
                <dgm:shape xmlns:r="http://schemas.openxmlformats.org/officeDocument/2006/relationships" type="roundRect" r:blip="">
                  <dgm:adjLst>
                    <dgm:adj idx="1" val="0.105"/>
                  </dgm:adjLst>
                </dgm:shape>
                <dgm:presOf axis="desOrSelf" ptType="node"/>
                <dgm:constrLst>
                  <dgm:constr type="tMarg" refType="primFontSz" fact="0.3"/>
                  <dgm:constr type="bMarg" refType="primFontSz" fact="0.3"/>
                  <dgm:constr type="lMarg" refType="primFontSz" fact="0.3"/>
                  <dgm:constr type="rMarg" refType="primFontSz" fact="0.3"/>
                </dgm:constrLst>
                <dgm:ruleLst>
                  <dgm:rule type="primFontSz" val="5" fact="NaN" max="NaN"/>
                </dgm:ruleLst>
              </dgm:layoutNode>
              <dgm:forEach name="Name37" axis="followSib" ptType="sibTrans" cnt="1">
                <dgm:layoutNode name="outerSibTrans">
                  <dgm:alg type="sp"/>
                  <dgm:shape xmlns:r="http://schemas.openxmlformats.org/officeDocument/2006/relationships" r:blip="">
                    <dgm:adjLst/>
                  </dgm:shape>
                  <dgm:presOf/>
                  <dgm:constrLst>
                    <dgm:constr type="userA"/>
                    <dgm:constr type="w" refType="userA" fact="0.015"/>
                    <dgm:constr type="h" refType="userA" fact="0.015"/>
                  </dgm:constrLst>
                  <dgm:ruleLst/>
                </dgm:layoutNode>
              </dgm:forEach>
            </dgm:forEach>
          </dgm:layoutNode>
        </dgm:layoutNode>
      </dgm:if>
      <dgm:else name="Name38"/>
    </dgm:choose>
    <dgm:choose name="Name39">
      <dgm:if name="Name40" axis="root ch" ptType="all node" st="1 1" cnt="0 0" func="cnt" op="gte" val="2">
        <dgm:layoutNode name="middleBox">
          <dgm:alg type="composite">
            <dgm:param type="horzAlign" val="none"/>
            <dgm:param type="vertAlign" val="none"/>
          </dgm:alg>
          <dgm:shape xmlns:r="http://schemas.openxmlformats.org/officeDocument/2006/relationships" r:blip="">
            <dgm:adjLst/>
          </dgm:shape>
          <dgm:presOf/>
          <dgm:choose name="Name41">
            <dgm:if name="Name42" axis="root ch" ptType="all node" st="1 1" cnt="0 0" func="cnt" op="gt" val="2">
              <dgm:choose name="Name43">
                <dgm:if name="Name44" func="var" arg="dir" op="equ" val="norm">
                  <dgm:constrLst>
                    <dgm:constr type="l" for="ch" forName="middleBoxParent"/>
                    <dgm:constr type="t" for="ch" forName="middleBoxParent"/>
                    <dgm:constr type="w" for="ch" forName="middleBoxParent" refType="w"/>
                    <dgm:constr type="h" for="ch" forName="middleBoxParent" refType="h"/>
                    <dgm:constr type="bMarg" for="ch" forName="middleBoxParent" refType="h" fact="1.8"/>
                    <dgm:constr type="l" for="ch" forName="middleBoxChildren" refType="w" fact="0.025"/>
                    <dgm:constr type="t" for="ch" forName="middleBoxChildren" refType="h" fact="0.35"/>
                    <dgm:constr type="w" for="ch" forName="middleBoxChildren" refType="w" fact="0.2"/>
                    <dgm:constr type="h" for="ch" forName="middleBoxChildren" refType="h" fact="0.575"/>
                  </dgm:constrLst>
                </dgm:if>
                <dgm:else name="Name45">
                  <dgm:constrLst>
                    <dgm:constr type="l" for="ch" forName="middleBoxParent"/>
                    <dgm:constr type="t" for="ch" forName="middleBoxParent"/>
                    <dgm:constr type="w" for="ch" forName="middleBoxParent" refType="w"/>
                    <dgm:constr type="h" for="ch" forName="middleBoxParent" refType="h"/>
                    <dgm:constr type="bMarg" for="ch" forName="middleBoxParent" refType="h" fact="1.8"/>
                    <dgm:constr type="l" for="ch" forName="middleBoxChildren" refType="w" fact="0.775"/>
                    <dgm:constr type="t" for="ch" forName="middleBoxChildren" refType="h" fact="0.35"/>
                    <dgm:constr type="w" for="ch" forName="middleBoxChildren" refType="w" fact="0.2"/>
                    <dgm:constr type="h" for="ch" forName="middleBoxChildren" refType="h" fact="0.575"/>
                  </dgm:constrLst>
                </dgm:else>
              </dgm:choose>
            </dgm:if>
            <dgm:else name="Name46">
              <dgm:constrLst>
                <dgm:constr type="l" for="ch" forName="middleBoxParent"/>
                <dgm:constr type="t" for="ch" forName="middleBoxParent"/>
                <dgm:constr type="w" for="ch" forName="middleBoxParent" refType="w"/>
                <dgm:constr type="h" for="ch" forName="middleBoxParent" refType="h"/>
                <dgm:constr type="bMarg" for="ch" forName="middleBoxParent" refType="h" fact="1.8"/>
                <dgm:constr type="l" for="ch" forName="middleBoxChildren" refType="w" fact="0.025"/>
                <dgm:constr type="t" for="ch" forName="middleBoxChildren" refType="h" fact="0.45"/>
                <dgm:constr type="w" for="ch" forName="middleBoxChildren" refType="w" fact="0.95"/>
                <dgm:constr type="h" for="ch" forName="middleBoxChildren" refType="h" fact="0.45"/>
              </dgm:constrLst>
            </dgm:else>
          </dgm:choose>
          <dgm:ruleLst/>
          <dgm:layoutNode name="middleBoxParent" styleLbl="node1">
            <dgm:alg type="tx">
              <dgm:param type="txAnchorVert" val="t"/>
              <dgm:param type="parTxLTRAlign" val="l"/>
              <dgm:param type="parTxRTLAlign" val="r"/>
            </dgm:alg>
            <dgm:shape xmlns:r="http://schemas.openxmlformats.org/officeDocument/2006/relationships" type="roundRect" r:blip="">
              <dgm:adjLst>
                <dgm:adj idx="1" val="0.105"/>
              </dgm:adjLst>
            </dgm:shape>
            <dgm:presOf axis="ch" ptType="node" st="2" cnt="1"/>
            <dgm:constrLst>
              <dgm:constr type="tMarg" refType="primFontSz" fact="0.3"/>
              <dgm:constr type="lMarg" refType="primFontSz" fact="0.3"/>
              <dgm:constr type="rMarg" refType="primFontSz" fact="0.3"/>
            </dgm:constrLst>
            <dgm:ruleLst>
              <dgm:rule type="primFontSz" val="5" fact="NaN" max="NaN"/>
            </dgm:ruleLst>
          </dgm:layoutNode>
          <dgm:layoutNode name="middleBoxChildren">
            <dgm:choose name="Name47">
              <dgm:if name="Name48" axis="root ch" ptType="all node" st="1 1" cnt="0 0" func="cnt" op="gt" val="2">
                <dgm:alg type="lin">
                  <dgm:param type="linDir" val="fromT"/>
                  <dgm:param type="vertAlign" val="t"/>
                </dgm:alg>
              </dgm:if>
              <dgm:else name="Name49">
                <dgm:choose name="Name50">
                  <dgm:if name="Name51" func="var" arg="dir" op="equ" val="norm">
                    <dgm:alg type="lin">
                      <dgm:param type="horzAlign" val="l"/>
                    </dgm:alg>
                  </dgm:if>
                  <dgm:else name="Name52">
                    <dgm:alg type="lin">
                      <dgm:param type="linDir" val="fromR"/>
                      <dgm:param type="horzAlign" val="r"/>
                    </dgm:alg>
                  </dgm:else>
                </dgm:choose>
              </dgm:else>
            </dgm:choose>
            <dgm:shape xmlns:r="http://schemas.openxmlformats.org/officeDocument/2006/relationships" r:blip="">
              <dgm:adjLst/>
            </dgm:shape>
            <dgm:presOf/>
            <dgm:constrLst>
              <dgm:constr type="w" for="ch" forName="mChild" refType="w"/>
              <dgm:constr type="h" for="ch" forName="mChild" refType="h"/>
            </dgm:constrLst>
            <dgm:ruleLst/>
            <dgm:forEach name="Name53" axis="ch ch" ptType="node node" st="2 1" cnt="1 0">
              <dgm:layoutNode name="mChild" styleLbl="fgAcc1">
                <dgm:varLst>
                  <dgm:bulletEnabled val="1"/>
                </dgm:varLst>
                <dgm:alg type="tx"/>
                <dgm:shape xmlns:r="http://schemas.openxmlformats.org/officeDocument/2006/relationships" type="roundRect" r:blip="">
                  <dgm:adjLst>
                    <dgm:adj idx="1" val="0.105"/>
                  </dgm:adjLst>
                </dgm:shape>
                <dgm:presOf axis="desOrSelf" ptType="node"/>
                <dgm:constrLst>
                  <dgm:constr type="tMarg" refType="primFontSz" fact="0.3"/>
                  <dgm:constr type="bMarg" refType="primFontSz" fact="0.3"/>
                  <dgm:constr type="lMarg" refType="primFontSz" fact="0.3"/>
                  <dgm:constr type="rMarg" refType="primFontSz" fact="0.3"/>
                </dgm:constrLst>
                <dgm:ruleLst>
                  <dgm:rule type="primFontSz" val="5" fact="NaN" max="NaN"/>
                </dgm:ruleLst>
              </dgm:layoutNode>
              <dgm:forEach name="Name54" axis="followSib" ptType="sibTrans" cnt="1">
                <dgm:layoutNode name="middleSibTrans">
                  <dgm:alg type="sp"/>
                  <dgm:shape xmlns:r="http://schemas.openxmlformats.org/officeDocument/2006/relationships" r:blip="">
                    <dgm:adjLst/>
                  </dgm:shape>
                  <dgm:presOf/>
                  <dgm:constrLst>
                    <dgm:constr type="userA"/>
                    <dgm:constr type="w" refType="userA" fact="0.015"/>
                    <dgm:constr type="h" refType="userA" fact="0.015"/>
                  </dgm:constrLst>
                  <dgm:ruleLst/>
                </dgm:layoutNode>
              </dgm:forEach>
            </dgm:forEach>
          </dgm:layoutNode>
        </dgm:layoutNode>
      </dgm:if>
      <dgm:else name="Name55"/>
    </dgm:choose>
    <dgm:choose name="Name56">
      <dgm:if name="Name57" axis="root ch" ptType="all node" st="1 1" cnt="0 0" func="cnt" op="gte" val="3">
        <dgm:layoutNode name="centerBox">
          <dgm:alg type="composite">
            <dgm:param type="horzAlign" val="none"/>
            <dgm:param type="vertAlign" val="none"/>
          </dgm:alg>
          <dgm:shape xmlns:r="http://schemas.openxmlformats.org/officeDocument/2006/relationships" r:blip="">
            <dgm:adjLst/>
          </dgm:shape>
          <dgm:presOf/>
          <dgm:choose name="Name58">
            <dgm:if name="Name59" axis="ch ch" ptType="node node" st="3 1" cnt="1 0" func="cnt" op="gt" val="0">
              <dgm:constrLst>
                <dgm:constr type="l" for="ch" forName="centerBoxParent"/>
                <dgm:constr type="t" for="ch" forName="centerBoxParent"/>
                <dgm:constr type="w" for="ch" forName="centerBoxParent" refType="w"/>
                <dgm:constr type="h" for="ch" forName="centerBoxParent" refType="h"/>
                <dgm:constr type="bMarg" for="ch" forName="centerBoxParent" refType="h" fact="1.6"/>
                <dgm:constr type="l" for="ch" forName="centerBoxChildren" refType="w" fact="0.025"/>
                <dgm:constr type="t" for="ch" forName="centerBoxChildren" refType="h" fact="0.45"/>
                <dgm:constr type="w" for="ch" forName="centerBoxChildren" refType="w" fact="0.95"/>
                <dgm:constr type="h" for="ch" forName="centerBoxChildren" refType="h" fact="0.45"/>
              </dgm:constrLst>
            </dgm:if>
            <dgm:else name="Name60">
              <dgm:constrLst>
                <dgm:constr type="l" for="ch" forName="centerBoxParent"/>
                <dgm:constr type="t" for="ch" forName="centerBoxParent"/>
                <dgm:constr type="w" for="ch" forName="centerBoxParent" refType="w"/>
                <dgm:constr type="h" for="ch" forName="centerBoxParent" refType="h"/>
              </dgm:constrLst>
            </dgm:else>
          </dgm:choose>
          <dgm:ruleLst/>
          <dgm:layoutNode name="centerBoxParent" styleLbl="node1">
            <dgm:alg type="tx">
              <dgm:param type="txAnchorVert" val="t"/>
              <dgm:param type="parTxLTRAlign" val="l"/>
              <dgm:param type="parTxRTLAlign" val="r"/>
            </dgm:alg>
            <dgm:shape xmlns:r="http://schemas.openxmlformats.org/officeDocument/2006/relationships" type="roundRect" r:blip="">
              <dgm:adjLst>
                <dgm:adj idx="1" val="0.105"/>
              </dgm:adjLst>
            </dgm:shape>
            <dgm:presOf axis="ch" ptType="node" st="3" cnt="1"/>
            <dgm:constrLst>
              <dgm:constr type="tMarg" refType="primFontSz" fact="0.3"/>
              <dgm:constr type="lMarg" refType="primFontSz" fact="0.3"/>
              <dgm:constr type="rMarg" refType="primFontSz" fact="0.3"/>
            </dgm:constrLst>
            <dgm:ruleLst>
              <dgm:rule type="primFontSz" val="5" fact="NaN" max="NaN"/>
            </dgm:ruleLst>
          </dgm:layoutNode>
          <dgm:choose name="Name61">
            <dgm:if name="Name62" axis="ch ch" ptType="node node" st="3 1" cnt="1 0" func="cnt" op="gt" val="0">
              <dgm:layoutNode name="centerBoxChildren">
                <dgm:choose name="Name63">
                  <dgm:if name="Name64" func="var" arg="dir" op="equ" val="norm">
                    <dgm:alg type="lin">
                      <dgm:param type="horzAlign" val="l"/>
                    </dgm:alg>
                  </dgm:if>
                  <dgm:else name="Name65">
                    <dgm:alg type="lin">
                      <dgm:param type="linDir" val="fromR"/>
                      <dgm:param type="horzAlign" val="r"/>
                    </dgm:alg>
                  </dgm:else>
                </dgm:choose>
                <dgm:shape xmlns:r="http://schemas.openxmlformats.org/officeDocument/2006/relationships" r:blip="">
                  <dgm:adjLst/>
                </dgm:shape>
                <dgm:presOf/>
                <dgm:constrLst>
                  <dgm:constr type="w" for="ch" forName="cChild" refType="w"/>
                  <dgm:constr type="h" for="ch" forName="cChild" refType="h"/>
                </dgm:constrLst>
                <dgm:ruleLst/>
                <dgm:forEach name="Name66" axis="ch ch" ptType="node node" st="3 1" cnt="1 0">
                  <dgm:layoutNode name="cChild" styleLbl="fgAcc1">
                    <dgm:varLst>
                      <dgm:bulletEnabled val="1"/>
                    </dgm:varLst>
                    <dgm:alg type="tx"/>
                    <dgm:shape xmlns:r="http://schemas.openxmlformats.org/officeDocument/2006/relationships" type="roundRect" r:blip="">
                      <dgm:adjLst>
                        <dgm:adj idx="1" val="0.105"/>
                      </dgm:adjLst>
                    </dgm:shape>
                    <dgm:presOf axis="desOrSelf" ptType="node"/>
                    <dgm:constrLst>
                      <dgm:constr type="tMarg" refType="primFontSz" fact="0.3"/>
                      <dgm:constr type="bMarg" refType="primFontSz" fact="0.3"/>
                      <dgm:constr type="lMarg" refType="primFontSz" fact="0.3"/>
                      <dgm:constr type="rMarg" refType="primFontSz" fact="0.3"/>
                    </dgm:constrLst>
                    <dgm:ruleLst>
                      <dgm:rule type="primFontSz" val="5" fact="NaN" max="NaN"/>
                    </dgm:ruleLst>
                  </dgm:layoutNode>
                  <dgm:forEach name="Name67" axis="followSib" ptType="sibTrans" cnt="1">
                    <dgm:layoutNode name="centerSibTrans">
                      <dgm:alg type="sp"/>
                      <dgm:shape xmlns:r="http://schemas.openxmlformats.org/officeDocument/2006/relationships" r:blip="">
                        <dgm:adjLst/>
                      </dgm:shape>
                      <dgm:presOf/>
                      <dgm:constrLst>
                        <dgm:constr type="userA"/>
                        <dgm:constr type="w" refType="userA" fact="0.015"/>
                        <dgm:constr type="h" refType="userA" fact="0.015"/>
                      </dgm:constrLst>
                      <dgm:ruleLst/>
                    </dgm:layoutNode>
                  </dgm:forEach>
                </dgm:forEach>
              </dgm:layoutNode>
            </dgm:if>
            <dgm:else name="Name68"/>
          </dgm:choose>
        </dgm:layoutNode>
      </dgm:if>
      <dgm:else name="Name69"/>
    </dgm:choose>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 Id="rId5" Type="http://schemas.openxmlformats.org/officeDocument/2006/relationships/image" Target="../media/image7.png"/><Relationship Id="rId4" Type="http://schemas.openxmlformats.org/officeDocument/2006/relationships/image" Target="../media/image6.png"/></Relationships>
</file>

<file path=xl/drawings/_rels/drawing3.xml.rels><?xml version="1.0" encoding="UTF-8" standalone="yes"?>
<Relationships xmlns="http://schemas.openxmlformats.org/package/2006/relationships"><Relationship Id="rId3" Type="http://schemas.openxmlformats.org/officeDocument/2006/relationships/image" Target="../media/image10.png"/><Relationship Id="rId2" Type="http://schemas.openxmlformats.org/officeDocument/2006/relationships/image" Target="../media/image9.png"/><Relationship Id="rId1" Type="http://schemas.openxmlformats.org/officeDocument/2006/relationships/image" Target="../media/image8.png"/><Relationship Id="rId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5" Type="http://schemas.openxmlformats.org/officeDocument/2006/relationships/image" Target="../media/image16.png"/><Relationship Id="rId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8" Type="http://schemas.microsoft.com/office/2007/relationships/diagramDrawing" Target="../diagrams/drawing1.xml"/><Relationship Id="rId13" Type="http://schemas.microsoft.com/office/2007/relationships/diagramDrawing" Target="../diagrams/drawing2.xml"/><Relationship Id="rId18" Type="http://schemas.microsoft.com/office/2007/relationships/diagramDrawing" Target="../diagrams/drawing3.xml"/><Relationship Id="rId26" Type="http://schemas.openxmlformats.org/officeDocument/2006/relationships/image" Target="../media/image28.png"/><Relationship Id="rId3" Type="http://schemas.openxmlformats.org/officeDocument/2006/relationships/image" Target="../media/image20.png"/><Relationship Id="rId21" Type="http://schemas.openxmlformats.org/officeDocument/2006/relationships/image" Target="../media/image23.png"/><Relationship Id="rId7" Type="http://schemas.openxmlformats.org/officeDocument/2006/relationships/diagramColors" Target="../diagrams/colors1.xml"/><Relationship Id="rId12" Type="http://schemas.openxmlformats.org/officeDocument/2006/relationships/diagramColors" Target="../diagrams/colors2.xml"/><Relationship Id="rId17" Type="http://schemas.openxmlformats.org/officeDocument/2006/relationships/diagramColors" Target="../diagrams/colors3.xml"/><Relationship Id="rId25" Type="http://schemas.openxmlformats.org/officeDocument/2006/relationships/image" Target="../media/image27.png"/><Relationship Id="rId2" Type="http://schemas.openxmlformats.org/officeDocument/2006/relationships/image" Target="../media/image19.png"/><Relationship Id="rId16" Type="http://schemas.openxmlformats.org/officeDocument/2006/relationships/diagramQuickStyle" Target="../diagrams/quickStyle3.xml"/><Relationship Id="rId20" Type="http://schemas.openxmlformats.org/officeDocument/2006/relationships/image" Target="../media/image22.png"/><Relationship Id="rId29" Type="http://schemas.openxmlformats.org/officeDocument/2006/relationships/image" Target="../media/image31.png"/><Relationship Id="rId1" Type="http://schemas.openxmlformats.org/officeDocument/2006/relationships/image" Target="../media/image18.jpeg"/><Relationship Id="rId6" Type="http://schemas.openxmlformats.org/officeDocument/2006/relationships/diagramQuickStyle" Target="../diagrams/quickStyle1.xml"/><Relationship Id="rId11" Type="http://schemas.openxmlformats.org/officeDocument/2006/relationships/diagramQuickStyle" Target="../diagrams/quickStyle2.xml"/><Relationship Id="rId24" Type="http://schemas.openxmlformats.org/officeDocument/2006/relationships/image" Target="../media/image26.png"/><Relationship Id="rId5" Type="http://schemas.openxmlformats.org/officeDocument/2006/relationships/diagramLayout" Target="../diagrams/layout1.xml"/><Relationship Id="rId15" Type="http://schemas.openxmlformats.org/officeDocument/2006/relationships/diagramLayout" Target="../diagrams/layout3.xml"/><Relationship Id="rId23" Type="http://schemas.openxmlformats.org/officeDocument/2006/relationships/image" Target="../media/image25.png"/><Relationship Id="rId28" Type="http://schemas.openxmlformats.org/officeDocument/2006/relationships/image" Target="../media/image30.png"/><Relationship Id="rId10" Type="http://schemas.openxmlformats.org/officeDocument/2006/relationships/diagramLayout" Target="../diagrams/layout2.xml"/><Relationship Id="rId19" Type="http://schemas.openxmlformats.org/officeDocument/2006/relationships/image" Target="../media/image21.png"/><Relationship Id="rId4" Type="http://schemas.openxmlformats.org/officeDocument/2006/relationships/diagramData" Target="../diagrams/data1.xml"/><Relationship Id="rId9" Type="http://schemas.openxmlformats.org/officeDocument/2006/relationships/diagramData" Target="../diagrams/data2.xml"/><Relationship Id="rId14" Type="http://schemas.openxmlformats.org/officeDocument/2006/relationships/diagramData" Target="../diagrams/data3.xml"/><Relationship Id="rId22" Type="http://schemas.openxmlformats.org/officeDocument/2006/relationships/image" Target="../media/image24.png"/><Relationship Id="rId27" Type="http://schemas.openxmlformats.org/officeDocument/2006/relationships/image" Target="../media/image29.jpeg"/><Relationship Id="rId30" Type="http://schemas.microsoft.com/office/2007/relationships/hdphoto" Target="../media/hdphoto1.wdp"/></Relationships>
</file>

<file path=xl/drawings/_rels/drawing6.xml.rels><?xml version="1.0" encoding="UTF-8" standalone="yes"?>
<Relationships xmlns="http://schemas.openxmlformats.org/package/2006/relationships"><Relationship Id="rId26" Type="http://schemas.microsoft.com/office/2014/relationships/chartEx" Target="../charts/chartEx7.xml"/><Relationship Id="rId21" Type="http://schemas.openxmlformats.org/officeDocument/2006/relationships/chart" Target="../charts/chart16.xml"/><Relationship Id="rId34" Type="http://schemas.openxmlformats.org/officeDocument/2006/relationships/chart" Target="../charts/chart22.xml"/><Relationship Id="rId42" Type="http://schemas.openxmlformats.org/officeDocument/2006/relationships/image" Target="../media/image41.png"/><Relationship Id="rId47" Type="http://schemas.openxmlformats.org/officeDocument/2006/relationships/image" Target="../media/image44.png"/><Relationship Id="rId50" Type="http://schemas.openxmlformats.org/officeDocument/2006/relationships/chart" Target="../charts/chart27.xml"/><Relationship Id="rId55" Type="http://schemas.openxmlformats.org/officeDocument/2006/relationships/chart" Target="../charts/chart30.xml"/><Relationship Id="rId63" Type="http://schemas.openxmlformats.org/officeDocument/2006/relationships/image" Target="../media/image54.png"/><Relationship Id="rId7" Type="http://schemas.openxmlformats.org/officeDocument/2006/relationships/chart" Target="../charts/chart7.xml"/><Relationship Id="rId2" Type="http://schemas.openxmlformats.org/officeDocument/2006/relationships/chart" Target="../charts/chart2.xml"/><Relationship Id="rId16" Type="http://schemas.microsoft.com/office/2014/relationships/chartEx" Target="../charts/chartEx5.xml"/><Relationship Id="rId29" Type="http://schemas.openxmlformats.org/officeDocument/2006/relationships/chart" Target="../charts/chart21.xml"/><Relationship Id="rId11" Type="http://schemas.microsoft.com/office/2014/relationships/chartEx" Target="../charts/chartEx1.xml"/><Relationship Id="rId24" Type="http://schemas.openxmlformats.org/officeDocument/2006/relationships/chart" Target="../charts/chart19.xml"/><Relationship Id="rId32" Type="http://schemas.openxmlformats.org/officeDocument/2006/relationships/image" Target="../media/image33.png"/><Relationship Id="rId37" Type="http://schemas.openxmlformats.org/officeDocument/2006/relationships/image" Target="../media/image36.png"/><Relationship Id="rId40" Type="http://schemas.openxmlformats.org/officeDocument/2006/relationships/image" Target="../media/image39.png"/><Relationship Id="rId45" Type="http://schemas.openxmlformats.org/officeDocument/2006/relationships/image" Target="../media/image43.png"/><Relationship Id="rId53" Type="http://schemas.openxmlformats.org/officeDocument/2006/relationships/chart" Target="../charts/chart29.xml"/><Relationship Id="rId58" Type="http://schemas.openxmlformats.org/officeDocument/2006/relationships/image" Target="../media/image49.png"/><Relationship Id="rId66" Type="http://schemas.openxmlformats.org/officeDocument/2006/relationships/image" Target="../media/image57.png"/><Relationship Id="rId5" Type="http://schemas.openxmlformats.org/officeDocument/2006/relationships/chart" Target="../charts/chart5.xml"/><Relationship Id="rId61" Type="http://schemas.openxmlformats.org/officeDocument/2006/relationships/image" Target="../media/image52.png"/><Relationship Id="rId19" Type="http://schemas.openxmlformats.org/officeDocument/2006/relationships/chart" Target="../charts/chart14.xml"/><Relationship Id="rId14" Type="http://schemas.microsoft.com/office/2014/relationships/chartEx" Target="../charts/chartEx3.xml"/><Relationship Id="rId22" Type="http://schemas.openxmlformats.org/officeDocument/2006/relationships/chart" Target="../charts/chart17.xml"/><Relationship Id="rId27" Type="http://schemas.microsoft.com/office/2014/relationships/chartEx" Target="../charts/chartEx8.xml"/><Relationship Id="rId30" Type="http://schemas.microsoft.com/office/2014/relationships/chartEx" Target="../charts/chartEx9.xml"/><Relationship Id="rId35" Type="http://schemas.openxmlformats.org/officeDocument/2006/relationships/image" Target="../media/image35.png"/><Relationship Id="rId43" Type="http://schemas.openxmlformats.org/officeDocument/2006/relationships/image" Target="../media/image42.png"/><Relationship Id="rId48" Type="http://schemas.openxmlformats.org/officeDocument/2006/relationships/chart" Target="../charts/chart26.xml"/><Relationship Id="rId56" Type="http://schemas.openxmlformats.org/officeDocument/2006/relationships/chart" Target="../charts/chart31.xml"/><Relationship Id="rId64" Type="http://schemas.openxmlformats.org/officeDocument/2006/relationships/image" Target="../media/image55.png"/><Relationship Id="rId8" Type="http://schemas.openxmlformats.org/officeDocument/2006/relationships/chart" Target="../charts/chart8.xml"/><Relationship Id="rId51" Type="http://schemas.openxmlformats.org/officeDocument/2006/relationships/chart" Target="../charts/chart28.xml"/><Relationship Id="rId3" Type="http://schemas.openxmlformats.org/officeDocument/2006/relationships/chart" Target="../charts/chart3.xml"/><Relationship Id="rId12" Type="http://schemas.microsoft.com/office/2014/relationships/chartEx" Target="../charts/chartEx2.xml"/><Relationship Id="rId17" Type="http://schemas.openxmlformats.org/officeDocument/2006/relationships/chart" Target="../charts/chart12.xml"/><Relationship Id="rId25" Type="http://schemas.microsoft.com/office/2014/relationships/chartEx" Target="../charts/chartEx6.xml"/><Relationship Id="rId33" Type="http://schemas.openxmlformats.org/officeDocument/2006/relationships/image" Target="../media/image34.png"/><Relationship Id="rId38" Type="http://schemas.openxmlformats.org/officeDocument/2006/relationships/image" Target="../media/image37.png"/><Relationship Id="rId46" Type="http://schemas.openxmlformats.org/officeDocument/2006/relationships/chart" Target="../charts/chart25.xml"/><Relationship Id="rId59" Type="http://schemas.openxmlformats.org/officeDocument/2006/relationships/image" Target="../media/image50.png"/><Relationship Id="rId20" Type="http://schemas.openxmlformats.org/officeDocument/2006/relationships/chart" Target="../charts/chart15.xml"/><Relationship Id="rId41" Type="http://schemas.openxmlformats.org/officeDocument/2006/relationships/image" Target="../media/image40.png"/><Relationship Id="rId54" Type="http://schemas.openxmlformats.org/officeDocument/2006/relationships/image" Target="../media/image47.png"/><Relationship Id="rId62" Type="http://schemas.openxmlformats.org/officeDocument/2006/relationships/image" Target="../media/image53.png"/><Relationship Id="rId1" Type="http://schemas.openxmlformats.org/officeDocument/2006/relationships/chart" Target="../charts/chart1.xml"/><Relationship Id="rId6" Type="http://schemas.openxmlformats.org/officeDocument/2006/relationships/chart" Target="../charts/chart6.xml"/><Relationship Id="rId15" Type="http://schemas.microsoft.com/office/2014/relationships/chartEx" Target="../charts/chartEx4.xml"/><Relationship Id="rId23" Type="http://schemas.openxmlformats.org/officeDocument/2006/relationships/chart" Target="../charts/chart18.xml"/><Relationship Id="rId28" Type="http://schemas.openxmlformats.org/officeDocument/2006/relationships/chart" Target="../charts/chart20.xml"/><Relationship Id="rId36" Type="http://schemas.openxmlformats.org/officeDocument/2006/relationships/chart" Target="../charts/chart23.xml"/><Relationship Id="rId49" Type="http://schemas.openxmlformats.org/officeDocument/2006/relationships/image" Target="../media/image45.png"/><Relationship Id="rId57" Type="http://schemas.openxmlformats.org/officeDocument/2006/relationships/image" Target="../media/image48.png"/><Relationship Id="rId10" Type="http://schemas.openxmlformats.org/officeDocument/2006/relationships/chart" Target="../charts/chart10.xml"/><Relationship Id="rId31" Type="http://schemas.openxmlformats.org/officeDocument/2006/relationships/image" Target="../media/image32.png"/><Relationship Id="rId44" Type="http://schemas.openxmlformats.org/officeDocument/2006/relationships/chart" Target="../charts/chart24.xml"/><Relationship Id="rId52" Type="http://schemas.openxmlformats.org/officeDocument/2006/relationships/image" Target="../media/image46.png"/><Relationship Id="rId60" Type="http://schemas.openxmlformats.org/officeDocument/2006/relationships/image" Target="../media/image51.png"/><Relationship Id="rId65" Type="http://schemas.openxmlformats.org/officeDocument/2006/relationships/image" Target="../media/image56.png"/><Relationship Id="rId4" Type="http://schemas.openxmlformats.org/officeDocument/2006/relationships/chart" Target="../charts/chart4.xml"/><Relationship Id="rId9" Type="http://schemas.openxmlformats.org/officeDocument/2006/relationships/chart" Target="../charts/chart9.xml"/><Relationship Id="rId13" Type="http://schemas.openxmlformats.org/officeDocument/2006/relationships/chart" Target="../charts/chart11.xml"/><Relationship Id="rId18" Type="http://schemas.openxmlformats.org/officeDocument/2006/relationships/chart" Target="../charts/chart13.xml"/><Relationship Id="rId39"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537</xdr:row>
      <xdr:rowOff>0</xdr:rowOff>
    </xdr:from>
    <xdr:to>
      <xdr:col>7</xdr:col>
      <xdr:colOff>91440</xdr:colOff>
      <xdr:row>538</xdr:row>
      <xdr:rowOff>91440</xdr:rowOff>
    </xdr:to>
    <xdr:sp macro="" textlink="">
      <xdr:nvSpPr>
        <xdr:cNvPr id="15361" name="AutoShape 1">
          <a:extLst>
            <a:ext uri="{FF2B5EF4-FFF2-40B4-BE49-F238E27FC236}">
              <a16:creationId xmlns:a16="http://schemas.microsoft.com/office/drawing/2014/main" id="{A61C12F1-F28F-487F-DFF6-07AA5BAB169F}"/>
            </a:ext>
          </a:extLst>
        </xdr:cNvPr>
        <xdr:cNvSpPr>
          <a:spLocks noChangeAspect="1" noChangeArrowheads="1"/>
        </xdr:cNvSpPr>
      </xdr:nvSpPr>
      <xdr:spPr bwMode="auto">
        <a:xfrm>
          <a:off x="12893040" y="105186480"/>
          <a:ext cx="266700" cy="2667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598</xdr:row>
      <xdr:rowOff>0</xdr:rowOff>
    </xdr:from>
    <xdr:to>
      <xdr:col>7</xdr:col>
      <xdr:colOff>2531745</xdr:colOff>
      <xdr:row>601</xdr:row>
      <xdr:rowOff>171450</xdr:rowOff>
    </xdr:to>
    <xdr:pic>
      <xdr:nvPicPr>
        <xdr:cNvPr id="4" name="Picture 3" descr="IMPORTCSV formula returning the first two rows with column headers">
          <a:extLst>
            <a:ext uri="{FF2B5EF4-FFF2-40B4-BE49-F238E27FC236}">
              <a16:creationId xmlns:a16="http://schemas.microsoft.com/office/drawing/2014/main" id="{12B89812-CE96-8472-F31A-106D067035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893040" y="125615700"/>
          <a:ext cx="2727960" cy="769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598170</xdr:colOff>
      <xdr:row>94</xdr:row>
      <xdr:rowOff>140971</xdr:rowOff>
    </xdr:from>
    <xdr:to>
      <xdr:col>22</xdr:col>
      <xdr:colOff>246353</xdr:colOff>
      <xdr:row>107</xdr:row>
      <xdr:rowOff>93346</xdr:rowOff>
    </xdr:to>
    <xdr:pic>
      <xdr:nvPicPr>
        <xdr:cNvPr id="5" name="Picture 4">
          <a:extLst>
            <a:ext uri="{FF2B5EF4-FFF2-40B4-BE49-F238E27FC236}">
              <a16:creationId xmlns:a16="http://schemas.microsoft.com/office/drawing/2014/main" id="{0CC70650-D2E9-6C84-9C01-351B48B50109}"/>
            </a:ext>
          </a:extLst>
        </xdr:cNvPr>
        <xdr:cNvPicPr>
          <a:picLocks noChangeAspect="1"/>
        </xdr:cNvPicPr>
      </xdr:nvPicPr>
      <xdr:blipFill>
        <a:blip xmlns:r="http://schemas.openxmlformats.org/officeDocument/2006/relationships" r:embed="rId1"/>
        <a:stretch>
          <a:fillRect/>
        </a:stretch>
      </xdr:blipFill>
      <xdr:spPr>
        <a:xfrm>
          <a:off x="10742295" y="17152621"/>
          <a:ext cx="3321023" cy="2316480"/>
        </a:xfrm>
        <a:prstGeom prst="rect">
          <a:avLst/>
        </a:prstGeom>
      </xdr:spPr>
    </xdr:pic>
    <xdr:clientData/>
  </xdr:twoCellAnchor>
  <xdr:twoCellAnchor editAs="oneCell">
    <xdr:from>
      <xdr:col>16</xdr:col>
      <xdr:colOff>592455</xdr:colOff>
      <xdr:row>129</xdr:row>
      <xdr:rowOff>62865</xdr:rowOff>
    </xdr:from>
    <xdr:to>
      <xdr:col>22</xdr:col>
      <xdr:colOff>457692</xdr:colOff>
      <xdr:row>140</xdr:row>
      <xdr:rowOff>93628</xdr:rowOff>
    </xdr:to>
    <xdr:pic>
      <xdr:nvPicPr>
        <xdr:cNvPr id="6" name="Picture 5">
          <a:extLst>
            <a:ext uri="{FF2B5EF4-FFF2-40B4-BE49-F238E27FC236}">
              <a16:creationId xmlns:a16="http://schemas.microsoft.com/office/drawing/2014/main" id="{16B45739-0174-6FB8-52A3-9F220CF4A6A3}"/>
            </a:ext>
          </a:extLst>
        </xdr:cNvPr>
        <xdr:cNvPicPr>
          <a:picLocks noChangeAspect="1"/>
        </xdr:cNvPicPr>
      </xdr:nvPicPr>
      <xdr:blipFill>
        <a:blip xmlns:r="http://schemas.openxmlformats.org/officeDocument/2006/relationships" r:embed="rId2"/>
        <a:stretch>
          <a:fillRect/>
        </a:stretch>
      </xdr:blipFill>
      <xdr:spPr>
        <a:xfrm>
          <a:off x="10736580" y="21779865"/>
          <a:ext cx="3522837" cy="2032918"/>
        </a:xfrm>
        <a:prstGeom prst="rect">
          <a:avLst/>
        </a:prstGeom>
      </xdr:spPr>
    </xdr:pic>
    <xdr:clientData/>
  </xdr:twoCellAnchor>
  <xdr:twoCellAnchor editAs="oneCell">
    <xdr:from>
      <xdr:col>17</xdr:col>
      <xdr:colOff>9525</xdr:colOff>
      <xdr:row>143</xdr:row>
      <xdr:rowOff>66675</xdr:rowOff>
    </xdr:from>
    <xdr:to>
      <xdr:col>21</xdr:col>
      <xdr:colOff>57496</xdr:colOff>
      <xdr:row>152</xdr:row>
      <xdr:rowOff>95480</xdr:rowOff>
    </xdr:to>
    <xdr:pic>
      <xdr:nvPicPr>
        <xdr:cNvPr id="7" name="Picture 6">
          <a:extLst>
            <a:ext uri="{FF2B5EF4-FFF2-40B4-BE49-F238E27FC236}">
              <a16:creationId xmlns:a16="http://schemas.microsoft.com/office/drawing/2014/main" id="{9B636C43-CDC3-CEA7-ADE5-C0B8187221A5}"/>
            </a:ext>
          </a:extLst>
        </xdr:cNvPr>
        <xdr:cNvPicPr>
          <a:picLocks noChangeAspect="1"/>
        </xdr:cNvPicPr>
      </xdr:nvPicPr>
      <xdr:blipFill>
        <a:blip xmlns:r="http://schemas.openxmlformats.org/officeDocument/2006/relationships" r:embed="rId3"/>
        <a:stretch>
          <a:fillRect/>
        </a:stretch>
      </xdr:blipFill>
      <xdr:spPr>
        <a:xfrm>
          <a:off x="10763250" y="24317325"/>
          <a:ext cx="2476846" cy="1644245"/>
        </a:xfrm>
        <a:prstGeom prst="rect">
          <a:avLst/>
        </a:prstGeom>
      </xdr:spPr>
    </xdr:pic>
    <xdr:clientData/>
  </xdr:twoCellAnchor>
  <xdr:twoCellAnchor editAs="oneCell">
    <xdr:from>
      <xdr:col>21</xdr:col>
      <xdr:colOff>47625</xdr:colOff>
      <xdr:row>143</xdr:row>
      <xdr:rowOff>123825</xdr:rowOff>
    </xdr:from>
    <xdr:to>
      <xdr:col>23</xdr:col>
      <xdr:colOff>188785</xdr:colOff>
      <xdr:row>148</xdr:row>
      <xdr:rowOff>17258</xdr:rowOff>
    </xdr:to>
    <xdr:pic>
      <xdr:nvPicPr>
        <xdr:cNvPr id="8" name="Picture 7">
          <a:extLst>
            <a:ext uri="{FF2B5EF4-FFF2-40B4-BE49-F238E27FC236}">
              <a16:creationId xmlns:a16="http://schemas.microsoft.com/office/drawing/2014/main" id="{51852F33-4A30-B332-EE8D-9AA6986240E2}"/>
            </a:ext>
          </a:extLst>
        </xdr:cNvPr>
        <xdr:cNvPicPr>
          <a:picLocks noChangeAspect="1"/>
        </xdr:cNvPicPr>
      </xdr:nvPicPr>
      <xdr:blipFill>
        <a:blip xmlns:r="http://schemas.openxmlformats.org/officeDocument/2006/relationships" r:embed="rId4"/>
        <a:stretch>
          <a:fillRect/>
        </a:stretch>
      </xdr:blipFill>
      <xdr:spPr>
        <a:xfrm>
          <a:off x="13239750" y="24374475"/>
          <a:ext cx="1360360" cy="811643"/>
        </a:xfrm>
        <a:prstGeom prst="rect">
          <a:avLst/>
        </a:prstGeom>
      </xdr:spPr>
    </xdr:pic>
    <xdr:clientData/>
  </xdr:twoCellAnchor>
  <xdr:twoCellAnchor editAs="oneCell">
    <xdr:from>
      <xdr:col>15</xdr:col>
      <xdr:colOff>590550</xdr:colOff>
      <xdr:row>186</xdr:row>
      <xdr:rowOff>169545</xdr:rowOff>
    </xdr:from>
    <xdr:to>
      <xdr:col>23</xdr:col>
      <xdr:colOff>550545</xdr:colOff>
      <xdr:row>206</xdr:row>
      <xdr:rowOff>22439</xdr:rowOff>
    </xdr:to>
    <xdr:pic>
      <xdr:nvPicPr>
        <xdr:cNvPr id="9" name="Picture 8">
          <a:extLst>
            <a:ext uri="{FF2B5EF4-FFF2-40B4-BE49-F238E27FC236}">
              <a16:creationId xmlns:a16="http://schemas.microsoft.com/office/drawing/2014/main" id="{08576F68-4B89-E5C8-7191-B363953EEEA4}"/>
            </a:ext>
          </a:extLst>
        </xdr:cNvPr>
        <xdr:cNvPicPr>
          <a:picLocks noChangeAspect="1"/>
        </xdr:cNvPicPr>
      </xdr:nvPicPr>
      <xdr:blipFill>
        <a:blip xmlns:r="http://schemas.openxmlformats.org/officeDocument/2006/relationships" r:embed="rId5"/>
        <a:stretch>
          <a:fillRect/>
        </a:stretch>
      </xdr:blipFill>
      <xdr:spPr>
        <a:xfrm>
          <a:off x="10125075" y="32202120"/>
          <a:ext cx="4848225" cy="347810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15</xdr:col>
      <xdr:colOff>83820</xdr:colOff>
      <xdr:row>16</xdr:row>
      <xdr:rowOff>97155</xdr:rowOff>
    </xdr:from>
    <xdr:to>
      <xdr:col>18</xdr:col>
      <xdr:colOff>381296</xdr:colOff>
      <xdr:row>24</xdr:row>
      <xdr:rowOff>97357</xdr:rowOff>
    </xdr:to>
    <xdr:pic>
      <xdr:nvPicPr>
        <xdr:cNvPr id="2" name="Picture 1">
          <a:extLst>
            <a:ext uri="{FF2B5EF4-FFF2-40B4-BE49-F238E27FC236}">
              <a16:creationId xmlns:a16="http://schemas.microsoft.com/office/drawing/2014/main" id="{58BD9B3F-7D77-EDD2-DF0C-3691B73AD6A4}"/>
            </a:ext>
          </a:extLst>
        </xdr:cNvPr>
        <xdr:cNvPicPr>
          <a:picLocks noChangeAspect="1"/>
        </xdr:cNvPicPr>
      </xdr:nvPicPr>
      <xdr:blipFill>
        <a:blip xmlns:r="http://schemas.openxmlformats.org/officeDocument/2006/relationships" r:embed="rId1"/>
        <a:stretch>
          <a:fillRect/>
        </a:stretch>
      </xdr:blipFill>
      <xdr:spPr>
        <a:xfrm>
          <a:off x="9323070" y="2992755"/>
          <a:ext cx="2126276" cy="1451812"/>
        </a:xfrm>
        <a:prstGeom prst="rect">
          <a:avLst/>
        </a:prstGeom>
      </xdr:spPr>
    </xdr:pic>
    <xdr:clientData/>
  </xdr:twoCellAnchor>
  <xdr:twoCellAnchor editAs="oneCell">
    <xdr:from>
      <xdr:col>15</xdr:col>
      <xdr:colOff>131445</xdr:colOff>
      <xdr:row>26</xdr:row>
      <xdr:rowOff>171450</xdr:rowOff>
    </xdr:from>
    <xdr:to>
      <xdr:col>19</xdr:col>
      <xdr:colOff>209901</xdr:colOff>
      <xdr:row>31</xdr:row>
      <xdr:rowOff>133470</xdr:rowOff>
    </xdr:to>
    <xdr:pic>
      <xdr:nvPicPr>
        <xdr:cNvPr id="3" name="Picture 2">
          <a:extLst>
            <a:ext uri="{FF2B5EF4-FFF2-40B4-BE49-F238E27FC236}">
              <a16:creationId xmlns:a16="http://schemas.microsoft.com/office/drawing/2014/main" id="{399745F9-4B56-7255-DA17-AFAD158716CE}"/>
            </a:ext>
          </a:extLst>
        </xdr:cNvPr>
        <xdr:cNvPicPr>
          <a:picLocks noChangeAspect="1"/>
        </xdr:cNvPicPr>
      </xdr:nvPicPr>
      <xdr:blipFill>
        <a:blip xmlns:r="http://schemas.openxmlformats.org/officeDocument/2006/relationships" r:embed="rId2"/>
        <a:stretch>
          <a:fillRect/>
        </a:stretch>
      </xdr:blipFill>
      <xdr:spPr>
        <a:xfrm>
          <a:off x="9370695" y="4876800"/>
          <a:ext cx="2513046" cy="853560"/>
        </a:xfrm>
        <a:prstGeom prst="rect">
          <a:avLst/>
        </a:prstGeom>
      </xdr:spPr>
    </xdr:pic>
    <xdr:clientData/>
  </xdr:twoCellAnchor>
  <xdr:twoCellAnchor editAs="oneCell">
    <xdr:from>
      <xdr:col>19</xdr:col>
      <xdr:colOff>459105</xdr:colOff>
      <xdr:row>27</xdr:row>
      <xdr:rowOff>125730</xdr:rowOff>
    </xdr:from>
    <xdr:to>
      <xdr:col>22</xdr:col>
      <xdr:colOff>36392</xdr:colOff>
      <xdr:row>30</xdr:row>
      <xdr:rowOff>17207</xdr:rowOff>
    </xdr:to>
    <xdr:pic>
      <xdr:nvPicPr>
        <xdr:cNvPr id="4" name="Picture 3">
          <a:extLst>
            <a:ext uri="{FF2B5EF4-FFF2-40B4-BE49-F238E27FC236}">
              <a16:creationId xmlns:a16="http://schemas.microsoft.com/office/drawing/2014/main" id="{CFBCEADE-CD0F-DAD7-65F3-074D2F9DBEE7}"/>
            </a:ext>
          </a:extLst>
        </xdr:cNvPr>
        <xdr:cNvPicPr>
          <a:picLocks noChangeAspect="1"/>
        </xdr:cNvPicPr>
      </xdr:nvPicPr>
      <xdr:blipFill>
        <a:blip xmlns:r="http://schemas.openxmlformats.org/officeDocument/2006/relationships" r:embed="rId3"/>
        <a:stretch>
          <a:fillRect/>
        </a:stretch>
      </xdr:blipFill>
      <xdr:spPr>
        <a:xfrm>
          <a:off x="12136755" y="5012055"/>
          <a:ext cx="1406087" cy="443927"/>
        </a:xfrm>
        <a:prstGeom prst="rect">
          <a:avLst/>
        </a:prstGeom>
      </xdr:spPr>
    </xdr:pic>
    <xdr:clientData/>
  </xdr:twoCellAnchor>
  <xdr:twoCellAnchor editAs="oneCell">
    <xdr:from>
      <xdr:col>15</xdr:col>
      <xdr:colOff>123826</xdr:colOff>
      <xdr:row>33</xdr:row>
      <xdr:rowOff>152400</xdr:rowOff>
    </xdr:from>
    <xdr:to>
      <xdr:col>19</xdr:col>
      <xdr:colOff>428626</xdr:colOff>
      <xdr:row>42</xdr:row>
      <xdr:rowOff>170288</xdr:rowOff>
    </xdr:to>
    <xdr:pic>
      <xdr:nvPicPr>
        <xdr:cNvPr id="5" name="Picture 4">
          <a:extLst>
            <a:ext uri="{FF2B5EF4-FFF2-40B4-BE49-F238E27FC236}">
              <a16:creationId xmlns:a16="http://schemas.microsoft.com/office/drawing/2014/main" id="{A5ECC7C8-9C5A-AA8E-4770-483DADF98E80}"/>
            </a:ext>
          </a:extLst>
        </xdr:cNvPr>
        <xdr:cNvPicPr>
          <a:picLocks noChangeAspect="1"/>
        </xdr:cNvPicPr>
      </xdr:nvPicPr>
      <xdr:blipFill>
        <a:blip xmlns:r="http://schemas.openxmlformats.org/officeDocument/2006/relationships" r:embed="rId4"/>
        <a:stretch>
          <a:fillRect/>
        </a:stretch>
      </xdr:blipFill>
      <xdr:spPr>
        <a:xfrm>
          <a:off x="9363076" y="6124575"/>
          <a:ext cx="2743200" cy="164666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10</xdr:col>
      <xdr:colOff>542925</xdr:colOff>
      <xdr:row>2</xdr:row>
      <xdr:rowOff>114300</xdr:rowOff>
    </xdr:from>
    <xdr:to>
      <xdr:col>14</xdr:col>
      <xdr:colOff>112676</xdr:colOff>
      <xdr:row>10</xdr:row>
      <xdr:rowOff>114507</xdr:rowOff>
    </xdr:to>
    <xdr:pic>
      <xdr:nvPicPr>
        <xdr:cNvPr id="2" name="Picture 1">
          <a:extLst>
            <a:ext uri="{FF2B5EF4-FFF2-40B4-BE49-F238E27FC236}">
              <a16:creationId xmlns:a16="http://schemas.microsoft.com/office/drawing/2014/main" id="{924E4EC5-E454-9F1A-B339-CDF392F97B54}"/>
            </a:ext>
          </a:extLst>
        </xdr:cNvPr>
        <xdr:cNvPicPr>
          <a:picLocks noChangeAspect="1"/>
        </xdr:cNvPicPr>
      </xdr:nvPicPr>
      <xdr:blipFill>
        <a:blip xmlns:r="http://schemas.openxmlformats.org/officeDocument/2006/relationships" r:embed="rId1"/>
        <a:stretch>
          <a:fillRect/>
        </a:stretch>
      </xdr:blipFill>
      <xdr:spPr>
        <a:xfrm>
          <a:off x="6638925" y="476250"/>
          <a:ext cx="2008151" cy="1486107"/>
        </a:xfrm>
        <a:prstGeom prst="rect">
          <a:avLst/>
        </a:prstGeom>
      </xdr:spPr>
    </xdr:pic>
    <xdr:clientData/>
  </xdr:twoCellAnchor>
  <xdr:twoCellAnchor editAs="oneCell">
    <xdr:from>
      <xdr:col>10</xdr:col>
      <xdr:colOff>552450</xdr:colOff>
      <xdr:row>13</xdr:row>
      <xdr:rowOff>9525</xdr:rowOff>
    </xdr:from>
    <xdr:to>
      <xdr:col>14</xdr:col>
      <xdr:colOff>129821</xdr:colOff>
      <xdr:row>15</xdr:row>
      <xdr:rowOff>74355</xdr:rowOff>
    </xdr:to>
    <xdr:pic>
      <xdr:nvPicPr>
        <xdr:cNvPr id="3" name="Picture 2">
          <a:extLst>
            <a:ext uri="{FF2B5EF4-FFF2-40B4-BE49-F238E27FC236}">
              <a16:creationId xmlns:a16="http://schemas.microsoft.com/office/drawing/2014/main" id="{FE4BB306-4DA2-7C24-2486-7038063760BB}"/>
            </a:ext>
          </a:extLst>
        </xdr:cNvPr>
        <xdr:cNvPicPr>
          <a:picLocks noChangeAspect="1"/>
        </xdr:cNvPicPr>
      </xdr:nvPicPr>
      <xdr:blipFill>
        <a:blip xmlns:r="http://schemas.openxmlformats.org/officeDocument/2006/relationships" r:embed="rId2"/>
        <a:stretch>
          <a:fillRect/>
        </a:stretch>
      </xdr:blipFill>
      <xdr:spPr>
        <a:xfrm>
          <a:off x="6648450" y="2400300"/>
          <a:ext cx="2008151" cy="426780"/>
        </a:xfrm>
        <a:prstGeom prst="rect">
          <a:avLst/>
        </a:prstGeom>
      </xdr:spPr>
    </xdr:pic>
    <xdr:clientData/>
  </xdr:twoCellAnchor>
  <xdr:twoCellAnchor editAs="oneCell">
    <xdr:from>
      <xdr:col>11</xdr:col>
      <xdr:colOff>19050</xdr:colOff>
      <xdr:row>18</xdr:row>
      <xdr:rowOff>133350</xdr:rowOff>
    </xdr:from>
    <xdr:to>
      <xdr:col>14</xdr:col>
      <xdr:colOff>57411</xdr:colOff>
      <xdr:row>20</xdr:row>
      <xdr:rowOff>78148</xdr:rowOff>
    </xdr:to>
    <xdr:pic>
      <xdr:nvPicPr>
        <xdr:cNvPr id="4" name="Picture 3">
          <a:extLst>
            <a:ext uri="{FF2B5EF4-FFF2-40B4-BE49-F238E27FC236}">
              <a16:creationId xmlns:a16="http://schemas.microsoft.com/office/drawing/2014/main" id="{D13D66BF-4929-73E6-DA67-C05676FD3952}"/>
            </a:ext>
          </a:extLst>
        </xdr:cNvPr>
        <xdr:cNvPicPr>
          <a:picLocks noChangeAspect="1"/>
        </xdr:cNvPicPr>
      </xdr:nvPicPr>
      <xdr:blipFill>
        <a:blip xmlns:r="http://schemas.openxmlformats.org/officeDocument/2006/relationships" r:embed="rId3"/>
        <a:stretch>
          <a:fillRect/>
        </a:stretch>
      </xdr:blipFill>
      <xdr:spPr>
        <a:xfrm>
          <a:off x="6724650" y="3429000"/>
          <a:ext cx="1867161" cy="306748"/>
        </a:xfrm>
        <a:prstGeom prst="rect">
          <a:avLst/>
        </a:prstGeom>
      </xdr:spPr>
    </xdr:pic>
    <xdr:clientData/>
  </xdr:twoCellAnchor>
  <xdr:twoCellAnchor editAs="oneCell">
    <xdr:from>
      <xdr:col>11</xdr:col>
      <xdr:colOff>0</xdr:colOff>
      <xdr:row>23</xdr:row>
      <xdr:rowOff>85725</xdr:rowOff>
    </xdr:from>
    <xdr:to>
      <xdr:col>14</xdr:col>
      <xdr:colOff>167919</xdr:colOff>
      <xdr:row>29</xdr:row>
      <xdr:rowOff>150656</xdr:rowOff>
    </xdr:to>
    <xdr:pic>
      <xdr:nvPicPr>
        <xdr:cNvPr id="5" name="Picture 4">
          <a:extLst>
            <a:ext uri="{FF2B5EF4-FFF2-40B4-BE49-F238E27FC236}">
              <a16:creationId xmlns:a16="http://schemas.microsoft.com/office/drawing/2014/main" id="{C652FE13-663F-E5A2-1BCE-DB22555FA80A}"/>
            </a:ext>
          </a:extLst>
        </xdr:cNvPr>
        <xdr:cNvPicPr>
          <a:picLocks noChangeAspect="1"/>
        </xdr:cNvPicPr>
      </xdr:nvPicPr>
      <xdr:blipFill>
        <a:blip xmlns:r="http://schemas.openxmlformats.org/officeDocument/2006/relationships" r:embed="rId4"/>
        <a:stretch>
          <a:fillRect/>
        </a:stretch>
      </xdr:blipFill>
      <xdr:spPr>
        <a:xfrm>
          <a:off x="6705600" y="4286250"/>
          <a:ext cx="1996719" cy="1150781"/>
        </a:xfrm>
        <a:prstGeom prst="rect">
          <a:avLst/>
        </a:prstGeom>
      </xdr:spPr>
    </xdr:pic>
    <xdr:clientData/>
  </xdr:twoCellAnchor>
  <xdr:twoCellAnchor editAs="oneCell">
    <xdr:from>
      <xdr:col>11</xdr:col>
      <xdr:colOff>0</xdr:colOff>
      <xdr:row>33</xdr:row>
      <xdr:rowOff>123825</xdr:rowOff>
    </xdr:from>
    <xdr:to>
      <xdr:col>14</xdr:col>
      <xdr:colOff>167919</xdr:colOff>
      <xdr:row>41</xdr:row>
      <xdr:rowOff>93758</xdr:rowOff>
    </xdr:to>
    <xdr:pic>
      <xdr:nvPicPr>
        <xdr:cNvPr id="6" name="Picture 5">
          <a:extLst>
            <a:ext uri="{FF2B5EF4-FFF2-40B4-BE49-F238E27FC236}">
              <a16:creationId xmlns:a16="http://schemas.microsoft.com/office/drawing/2014/main" id="{DD2CF6AA-C953-A9EC-A22F-218958ECD429}"/>
            </a:ext>
          </a:extLst>
        </xdr:cNvPr>
        <xdr:cNvPicPr>
          <a:picLocks noChangeAspect="1"/>
        </xdr:cNvPicPr>
      </xdr:nvPicPr>
      <xdr:blipFill>
        <a:blip xmlns:r="http://schemas.openxmlformats.org/officeDocument/2006/relationships" r:embed="rId5"/>
        <a:stretch>
          <a:fillRect/>
        </a:stretch>
      </xdr:blipFill>
      <xdr:spPr>
        <a:xfrm>
          <a:off x="6705600" y="6134100"/>
          <a:ext cx="1996719" cy="2958878"/>
        </a:xfrm>
        <a:prstGeom prst="rect">
          <a:avLst/>
        </a:prstGeom>
      </xdr:spPr>
    </xdr:pic>
    <xdr:clientData/>
  </xdr:twoCellAnchor>
  <xdr:twoCellAnchor editAs="oneCell">
    <xdr:from>
      <xdr:col>11</xdr:col>
      <xdr:colOff>38100</xdr:colOff>
      <xdr:row>44</xdr:row>
      <xdr:rowOff>133350</xdr:rowOff>
    </xdr:from>
    <xdr:to>
      <xdr:col>14</xdr:col>
      <xdr:colOff>354629</xdr:colOff>
      <xdr:row>50</xdr:row>
      <xdr:rowOff>40143</xdr:rowOff>
    </xdr:to>
    <xdr:pic>
      <xdr:nvPicPr>
        <xdr:cNvPr id="7" name="Picture 6">
          <a:extLst>
            <a:ext uri="{FF2B5EF4-FFF2-40B4-BE49-F238E27FC236}">
              <a16:creationId xmlns:a16="http://schemas.microsoft.com/office/drawing/2014/main" id="{430AF8FB-0D7F-B672-9D45-B5EE0BC4DEDF}"/>
            </a:ext>
          </a:extLst>
        </xdr:cNvPr>
        <xdr:cNvPicPr>
          <a:picLocks noChangeAspect="1"/>
        </xdr:cNvPicPr>
      </xdr:nvPicPr>
      <xdr:blipFill>
        <a:blip xmlns:r="http://schemas.openxmlformats.org/officeDocument/2006/relationships" r:embed="rId6"/>
        <a:stretch>
          <a:fillRect/>
        </a:stretch>
      </xdr:blipFill>
      <xdr:spPr>
        <a:xfrm>
          <a:off x="6953250" y="9667875"/>
          <a:ext cx="2145329" cy="992643"/>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xdr:col>
      <xdr:colOff>17145</xdr:colOff>
      <xdr:row>2</xdr:row>
      <xdr:rowOff>152400</xdr:rowOff>
    </xdr:from>
    <xdr:to>
      <xdr:col>1</xdr:col>
      <xdr:colOff>952500</xdr:colOff>
      <xdr:row>6</xdr:row>
      <xdr:rowOff>36195</xdr:rowOff>
    </xdr:to>
    <xdr:sp macro="" textlink="">
      <xdr:nvSpPr>
        <xdr:cNvPr id="2" name="Rectangle 1">
          <a:extLst>
            <a:ext uri="{FF2B5EF4-FFF2-40B4-BE49-F238E27FC236}">
              <a16:creationId xmlns:a16="http://schemas.microsoft.com/office/drawing/2014/main" id="{5ADFB1D6-E1F8-EDD4-D6D3-C9BBD92E1673}"/>
            </a:ext>
          </a:extLst>
        </xdr:cNvPr>
        <xdr:cNvSpPr/>
      </xdr:nvSpPr>
      <xdr:spPr>
        <a:xfrm>
          <a:off x="626745" y="514350"/>
          <a:ext cx="935355" cy="60769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1274445</xdr:colOff>
      <xdr:row>2</xdr:row>
      <xdr:rowOff>161925</xdr:rowOff>
    </xdr:from>
    <xdr:to>
      <xdr:col>2</xdr:col>
      <xdr:colOff>457200</xdr:colOff>
      <xdr:row>6</xdr:row>
      <xdr:rowOff>74295</xdr:rowOff>
    </xdr:to>
    <xdr:sp macro="" textlink="">
      <xdr:nvSpPr>
        <xdr:cNvPr id="3" name="TextBox 2">
          <a:extLst>
            <a:ext uri="{FF2B5EF4-FFF2-40B4-BE49-F238E27FC236}">
              <a16:creationId xmlns:a16="http://schemas.microsoft.com/office/drawing/2014/main" id="{9F28CBF8-2BE9-FBBD-6D0B-58357E037019}"/>
            </a:ext>
          </a:extLst>
        </xdr:cNvPr>
        <xdr:cNvSpPr txBox="1"/>
      </xdr:nvSpPr>
      <xdr:spPr>
        <a:xfrm>
          <a:off x="1884045" y="523875"/>
          <a:ext cx="925830" cy="63627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a:t>text</a:t>
          </a:r>
        </a:p>
      </xdr:txBody>
    </xdr:sp>
    <xdr:clientData/>
  </xdr:twoCellAnchor>
  <xdr:twoCellAnchor>
    <xdr:from>
      <xdr:col>3</xdr:col>
      <xdr:colOff>205740</xdr:colOff>
      <xdr:row>3</xdr:row>
      <xdr:rowOff>30480</xdr:rowOff>
    </xdr:from>
    <xdr:to>
      <xdr:col>4</xdr:col>
      <xdr:colOff>171450</xdr:colOff>
      <xdr:row>6</xdr:row>
      <xdr:rowOff>57150</xdr:rowOff>
    </xdr:to>
    <xdr:cxnSp macro="">
      <xdr:nvCxnSpPr>
        <xdr:cNvPr id="5" name="Straight Arrow Connector 4">
          <a:extLst>
            <a:ext uri="{FF2B5EF4-FFF2-40B4-BE49-F238E27FC236}">
              <a16:creationId xmlns:a16="http://schemas.microsoft.com/office/drawing/2014/main" id="{9B57B995-7654-EED2-6FB0-3098DBAD6D52}"/>
            </a:ext>
          </a:extLst>
        </xdr:cNvPr>
        <xdr:cNvCxnSpPr/>
      </xdr:nvCxnSpPr>
      <xdr:spPr>
        <a:xfrm>
          <a:off x="3168015" y="573405"/>
          <a:ext cx="575310" cy="56959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editAs="oneCell">
    <xdr:from>
      <xdr:col>4</xdr:col>
      <xdr:colOff>434340</xdr:colOff>
      <xdr:row>2</xdr:row>
      <xdr:rowOff>139065</xdr:rowOff>
    </xdr:from>
    <xdr:to>
      <xdr:col>6</xdr:col>
      <xdr:colOff>588645</xdr:colOff>
      <xdr:row>8</xdr:row>
      <xdr:rowOff>98189</xdr:rowOff>
    </xdr:to>
    <xdr:pic>
      <xdr:nvPicPr>
        <xdr:cNvPr id="7" name="Picture 6" descr="Cats making tail heart">
          <a:extLst>
            <a:ext uri="{FF2B5EF4-FFF2-40B4-BE49-F238E27FC236}">
              <a16:creationId xmlns:a16="http://schemas.microsoft.com/office/drawing/2014/main" id="{9527859E-9D9A-9104-4DAC-D3225934C9C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6215" y="501015"/>
          <a:ext cx="1377315" cy="1048784"/>
        </a:xfrm>
        <a:prstGeom prst="rect">
          <a:avLst/>
        </a:prstGeom>
      </xdr:spPr>
    </xdr:pic>
    <xdr:clientData/>
  </xdr:twoCellAnchor>
  <xdr:twoCellAnchor editAs="oneCell">
    <xdr:from>
      <xdr:col>12</xdr:col>
      <xdr:colOff>571500</xdr:colOff>
      <xdr:row>2</xdr:row>
      <xdr:rowOff>161925</xdr:rowOff>
    </xdr:from>
    <xdr:to>
      <xdr:col>21</xdr:col>
      <xdr:colOff>246467</xdr:colOff>
      <xdr:row>9</xdr:row>
      <xdr:rowOff>131619</xdr:rowOff>
    </xdr:to>
    <xdr:pic>
      <xdr:nvPicPr>
        <xdr:cNvPr id="8" name="Picture 7">
          <a:extLst>
            <a:ext uri="{FF2B5EF4-FFF2-40B4-BE49-F238E27FC236}">
              <a16:creationId xmlns:a16="http://schemas.microsoft.com/office/drawing/2014/main" id="{77DE4B1A-311A-462E-6616-A757A2438829}"/>
            </a:ext>
          </a:extLst>
        </xdr:cNvPr>
        <xdr:cNvPicPr>
          <a:picLocks noChangeAspect="1"/>
        </xdr:cNvPicPr>
      </xdr:nvPicPr>
      <xdr:blipFill>
        <a:blip xmlns:r="http://schemas.openxmlformats.org/officeDocument/2006/relationships" r:embed="rId2"/>
        <a:stretch>
          <a:fillRect/>
        </a:stretch>
      </xdr:blipFill>
      <xdr:spPr>
        <a:xfrm>
          <a:off x="7886700" y="523875"/>
          <a:ext cx="5170892" cy="1249854"/>
        </a:xfrm>
        <a:prstGeom prst="rect">
          <a:avLst/>
        </a:prstGeom>
      </xdr:spPr>
    </xdr:pic>
    <xdr:clientData/>
  </xdr:twoCellAnchor>
  <xdr:twoCellAnchor editAs="oneCell">
    <xdr:from>
      <xdr:col>12</xdr:col>
      <xdr:colOff>561975</xdr:colOff>
      <xdr:row>12</xdr:row>
      <xdr:rowOff>57150</xdr:rowOff>
    </xdr:from>
    <xdr:to>
      <xdr:col>16</xdr:col>
      <xdr:colOff>57419</xdr:colOff>
      <xdr:row>14</xdr:row>
      <xdr:rowOff>148751</xdr:rowOff>
    </xdr:to>
    <xdr:pic>
      <xdr:nvPicPr>
        <xdr:cNvPr id="9" name="Picture 8">
          <a:extLst>
            <a:ext uri="{FF2B5EF4-FFF2-40B4-BE49-F238E27FC236}">
              <a16:creationId xmlns:a16="http://schemas.microsoft.com/office/drawing/2014/main" id="{768204E5-9DCE-9538-C80F-3C9D633B7B9D}"/>
            </a:ext>
          </a:extLst>
        </xdr:cNvPr>
        <xdr:cNvPicPr>
          <a:picLocks noChangeAspect="1"/>
        </xdr:cNvPicPr>
      </xdr:nvPicPr>
      <xdr:blipFill>
        <a:blip xmlns:r="http://schemas.openxmlformats.org/officeDocument/2006/relationships" r:embed="rId3"/>
        <a:stretch>
          <a:fillRect/>
        </a:stretch>
      </xdr:blipFill>
      <xdr:spPr>
        <a:xfrm>
          <a:off x="9010650" y="2228850"/>
          <a:ext cx="1920509" cy="1148876"/>
        </a:xfrm>
        <a:prstGeom prst="rect">
          <a:avLst/>
        </a:prstGeom>
      </xdr:spPr>
    </xdr:pic>
    <xdr:clientData/>
  </xdr:twoCellAnchor>
  <xdr:twoCellAnchor>
    <xdr:from>
      <xdr:col>0</xdr:col>
      <xdr:colOff>143827</xdr:colOff>
      <xdr:row>45</xdr:row>
      <xdr:rowOff>35242</xdr:rowOff>
    </xdr:from>
    <xdr:to>
      <xdr:col>5</xdr:col>
      <xdr:colOff>534352</xdr:colOff>
      <xdr:row>58</xdr:row>
      <xdr:rowOff>65722</xdr:rowOff>
    </xdr:to>
    <xdr:graphicFrame macro="">
      <xdr:nvGraphicFramePr>
        <xdr:cNvPr id="10" name="Diagram 9">
          <a:extLst>
            <a:ext uri="{FF2B5EF4-FFF2-40B4-BE49-F238E27FC236}">
              <a16:creationId xmlns:a16="http://schemas.microsoft.com/office/drawing/2014/main" id="{42C24759-099F-4F1A-A932-2AD844FBE37D}"/>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4" r:lo="rId5" r:qs="rId6" r:cs="rId7"/>
        </a:graphicData>
      </a:graphic>
    </xdr:graphicFrame>
    <xdr:clientData/>
  </xdr:twoCellAnchor>
  <xdr:twoCellAnchor>
    <xdr:from>
      <xdr:col>0</xdr:col>
      <xdr:colOff>86677</xdr:colOff>
      <xdr:row>33</xdr:row>
      <xdr:rowOff>37147</xdr:rowOff>
    </xdr:from>
    <xdr:to>
      <xdr:col>4</xdr:col>
      <xdr:colOff>542925</xdr:colOff>
      <xdr:row>42</xdr:row>
      <xdr:rowOff>47625</xdr:rowOff>
    </xdr:to>
    <xdr:graphicFrame macro="">
      <xdr:nvGraphicFramePr>
        <xdr:cNvPr id="11" name="Diagram 10">
          <a:extLst>
            <a:ext uri="{FF2B5EF4-FFF2-40B4-BE49-F238E27FC236}">
              <a16:creationId xmlns:a16="http://schemas.microsoft.com/office/drawing/2014/main" id="{C1D885F0-9769-4324-BCAC-F82D84289A1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9" r:lo="rId10" r:qs="rId11" r:cs="rId12"/>
        </a:graphicData>
      </a:graphic>
    </xdr:graphicFrame>
    <xdr:clientData/>
  </xdr:twoCellAnchor>
  <xdr:twoCellAnchor>
    <xdr:from>
      <xdr:col>0</xdr:col>
      <xdr:colOff>282892</xdr:colOff>
      <xdr:row>20</xdr:row>
      <xdr:rowOff>136208</xdr:rowOff>
    </xdr:from>
    <xdr:to>
      <xdr:col>5</xdr:col>
      <xdr:colOff>457200</xdr:colOff>
      <xdr:row>31</xdr:row>
      <xdr:rowOff>76201</xdr:rowOff>
    </xdr:to>
    <xdr:graphicFrame macro="">
      <xdr:nvGraphicFramePr>
        <xdr:cNvPr id="12" name="Diagram 11">
          <a:extLst>
            <a:ext uri="{FF2B5EF4-FFF2-40B4-BE49-F238E27FC236}">
              <a16:creationId xmlns:a16="http://schemas.microsoft.com/office/drawing/2014/main" id="{E288E8C9-1B31-481A-8E45-69C844AD7FEE}"/>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4" r:lo="rId15" r:qs="rId16" r:cs="rId17"/>
        </a:graphicData>
      </a:graphic>
    </xdr:graphicFrame>
    <xdr:clientData/>
  </xdr:twoCellAnchor>
  <xdr:twoCellAnchor editAs="oneCell">
    <xdr:from>
      <xdr:col>13</xdr:col>
      <xdr:colOff>9525</xdr:colOff>
      <xdr:row>16</xdr:row>
      <xdr:rowOff>28575</xdr:rowOff>
    </xdr:from>
    <xdr:to>
      <xdr:col>21</xdr:col>
      <xdr:colOff>360776</xdr:colOff>
      <xdr:row>57</xdr:row>
      <xdr:rowOff>41042</xdr:rowOff>
    </xdr:to>
    <xdr:pic>
      <xdr:nvPicPr>
        <xdr:cNvPr id="13" name="Picture 12">
          <a:extLst>
            <a:ext uri="{FF2B5EF4-FFF2-40B4-BE49-F238E27FC236}">
              <a16:creationId xmlns:a16="http://schemas.microsoft.com/office/drawing/2014/main" id="{7BD0657B-954C-252D-BAF2-DA46DFECBE4C}"/>
            </a:ext>
          </a:extLst>
        </xdr:cNvPr>
        <xdr:cNvPicPr>
          <a:picLocks noChangeAspect="1"/>
        </xdr:cNvPicPr>
      </xdr:nvPicPr>
      <xdr:blipFill>
        <a:blip xmlns:r="http://schemas.openxmlformats.org/officeDocument/2006/relationships" r:embed="rId19"/>
        <a:stretch>
          <a:fillRect/>
        </a:stretch>
      </xdr:blipFill>
      <xdr:spPr>
        <a:xfrm>
          <a:off x="9067800" y="3619500"/>
          <a:ext cx="5235671" cy="7432442"/>
        </a:xfrm>
        <a:prstGeom prst="rect">
          <a:avLst/>
        </a:prstGeom>
      </xdr:spPr>
    </xdr:pic>
    <xdr:clientData/>
  </xdr:twoCellAnchor>
  <xdr:twoCellAnchor editAs="oneCell">
    <xdr:from>
      <xdr:col>6</xdr:col>
      <xdr:colOff>120015</xdr:colOff>
      <xdr:row>25</xdr:row>
      <xdr:rowOff>74295</xdr:rowOff>
    </xdr:from>
    <xdr:to>
      <xdr:col>10</xdr:col>
      <xdr:colOff>91775</xdr:colOff>
      <xdr:row>37</xdr:row>
      <xdr:rowOff>40303</xdr:rowOff>
    </xdr:to>
    <xdr:pic>
      <xdr:nvPicPr>
        <xdr:cNvPr id="14" name="Picture 13">
          <a:extLst>
            <a:ext uri="{FF2B5EF4-FFF2-40B4-BE49-F238E27FC236}">
              <a16:creationId xmlns:a16="http://schemas.microsoft.com/office/drawing/2014/main" id="{2C160396-92E4-7974-2B8B-CE31AE76833B}"/>
            </a:ext>
          </a:extLst>
        </xdr:cNvPr>
        <xdr:cNvPicPr>
          <a:picLocks noChangeAspect="1"/>
        </xdr:cNvPicPr>
      </xdr:nvPicPr>
      <xdr:blipFill>
        <a:blip xmlns:r="http://schemas.openxmlformats.org/officeDocument/2006/relationships" r:embed="rId20"/>
        <a:stretch>
          <a:fillRect/>
        </a:stretch>
      </xdr:blipFill>
      <xdr:spPr>
        <a:xfrm>
          <a:off x="4911090" y="5293995"/>
          <a:ext cx="2400635" cy="2137708"/>
        </a:xfrm>
        <a:prstGeom prst="rect">
          <a:avLst/>
        </a:prstGeom>
      </xdr:spPr>
    </xdr:pic>
    <xdr:clientData/>
  </xdr:twoCellAnchor>
  <xdr:oneCellAnchor>
    <xdr:from>
      <xdr:col>1</xdr:col>
      <xdr:colOff>0</xdr:colOff>
      <xdr:row>63</xdr:row>
      <xdr:rowOff>0</xdr:rowOff>
    </xdr:from>
    <xdr:ext cx="2565654" cy="457073"/>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33626AF-5EBA-4B7A-809E-3F99663FA7BC}"/>
                </a:ext>
              </a:extLst>
            </xdr:cNvPr>
            <xdr:cNvSpPr txBox="1"/>
          </xdr:nvSpPr>
          <xdr:spPr>
            <a:xfrm>
              <a:off x="609600" y="12096750"/>
              <a:ext cx="2565654" cy="45707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GB" sz="1100" i="1">
                        <a:latin typeface="Cambria Math" panose="02040503050406030204" pitchFamily="18" charset="0"/>
                      </a:rPr>
                      <m:t>𝑓</m:t>
                    </m:r>
                    <m:d>
                      <m:dPr>
                        <m:ctrlPr>
                          <a:rPr lang="en-GB" sz="1100" i="1">
                            <a:latin typeface="Cambria Math" panose="02040503050406030204" pitchFamily="18" charset="0"/>
                          </a:rPr>
                        </m:ctrlPr>
                      </m:dPr>
                      <m:e>
                        <m:r>
                          <a:rPr lang="en-GB" sz="1100" i="1">
                            <a:latin typeface="Cambria Math" panose="02040503050406030204" pitchFamily="18" charset="0"/>
                          </a:rPr>
                          <m:t>𝑥</m:t>
                        </m:r>
                      </m:e>
                    </m:d>
                    <m:r>
                      <a:rPr lang="en-GB" sz="1100" i="1">
                        <a:latin typeface="Cambria Math" panose="02040503050406030204" pitchFamily="18" charset="0"/>
                      </a:rPr>
                      <m:t>=</m:t>
                    </m:r>
                    <m:sSub>
                      <m:sSubPr>
                        <m:ctrlPr>
                          <a:rPr lang="en-GB" sz="1100" i="1">
                            <a:latin typeface="Cambria Math" panose="02040503050406030204" pitchFamily="18" charset="0"/>
                          </a:rPr>
                        </m:ctrlPr>
                      </m:sSubPr>
                      <m:e>
                        <m:r>
                          <a:rPr lang="en-GB" sz="1100" i="1">
                            <a:latin typeface="Cambria Math" panose="02040503050406030204" pitchFamily="18" charset="0"/>
                          </a:rPr>
                          <m:t>𝑎</m:t>
                        </m:r>
                      </m:e>
                      <m:sub>
                        <m:r>
                          <a:rPr lang="en-GB" sz="1100" i="1">
                            <a:latin typeface="Cambria Math" panose="02040503050406030204" pitchFamily="18" charset="0"/>
                          </a:rPr>
                          <m:t>0</m:t>
                        </m:r>
                      </m:sub>
                    </m:sSub>
                    <m:r>
                      <a:rPr lang="en-GB" sz="1100" i="1">
                        <a:latin typeface="Cambria Math" panose="02040503050406030204" pitchFamily="18" charset="0"/>
                      </a:rPr>
                      <m:t>+</m:t>
                    </m:r>
                    <m:nary>
                      <m:naryPr>
                        <m:chr m:val="∑"/>
                        <m:ctrlPr>
                          <a:rPr lang="en-GB" sz="1100" i="1">
                            <a:latin typeface="Cambria Math" panose="02040503050406030204" pitchFamily="18" charset="0"/>
                          </a:rPr>
                        </m:ctrlPr>
                      </m:naryPr>
                      <m:sub>
                        <m:r>
                          <a:rPr lang="en-GB" sz="1100" i="1">
                            <a:latin typeface="Cambria Math" panose="02040503050406030204" pitchFamily="18" charset="0"/>
                          </a:rPr>
                          <m:t>𝑛</m:t>
                        </m:r>
                        <m:r>
                          <a:rPr lang="en-GB" sz="1100" i="1">
                            <a:latin typeface="Cambria Math" panose="02040503050406030204" pitchFamily="18" charset="0"/>
                          </a:rPr>
                          <m:t>=1</m:t>
                        </m:r>
                      </m:sub>
                      <m:sup>
                        <m:r>
                          <a:rPr lang="en-GB" sz="1100" i="1">
                            <a:latin typeface="Cambria Math" panose="02040503050406030204" pitchFamily="18" charset="0"/>
                          </a:rPr>
                          <m:t>∞</m:t>
                        </m:r>
                      </m:sup>
                      <m:e>
                        <m:d>
                          <m:dPr>
                            <m:ctrlPr>
                              <a:rPr lang="en-GB" sz="1100" i="1">
                                <a:latin typeface="Cambria Math" panose="02040503050406030204" pitchFamily="18" charset="0"/>
                              </a:rPr>
                            </m:ctrlPr>
                          </m:dPr>
                          <m:e>
                            <m:sSub>
                              <m:sSubPr>
                                <m:ctrlPr>
                                  <a:rPr lang="en-GB" sz="1100" i="1">
                                    <a:latin typeface="Cambria Math" panose="02040503050406030204" pitchFamily="18" charset="0"/>
                                  </a:rPr>
                                </m:ctrlPr>
                              </m:sSubPr>
                              <m:e>
                                <m:r>
                                  <a:rPr lang="en-GB" sz="1100" i="1">
                                    <a:latin typeface="Cambria Math" panose="02040503050406030204" pitchFamily="18" charset="0"/>
                                  </a:rPr>
                                  <m:t>𝑎</m:t>
                                </m:r>
                              </m:e>
                              <m:sub>
                                <m:r>
                                  <a:rPr lang="en-GB" sz="1100" i="1">
                                    <a:latin typeface="Cambria Math" panose="02040503050406030204" pitchFamily="18" charset="0"/>
                                  </a:rPr>
                                  <m:t>𝑛</m:t>
                                </m:r>
                              </m:sub>
                            </m:sSub>
                            <m:func>
                              <m:funcPr>
                                <m:ctrlPr>
                                  <a:rPr lang="en-GB" sz="1100" i="1">
                                    <a:latin typeface="Cambria Math" panose="02040503050406030204" pitchFamily="18" charset="0"/>
                                  </a:rPr>
                                </m:ctrlPr>
                              </m:funcPr>
                              <m:fName>
                                <m:r>
                                  <m:rPr>
                                    <m:sty m:val="p"/>
                                  </m:rPr>
                                  <a:rPr lang="en-GB" sz="1100" i="0">
                                    <a:latin typeface="Cambria Math" panose="02040503050406030204" pitchFamily="18" charset="0"/>
                                  </a:rPr>
                                  <m:t>cos</m:t>
                                </m:r>
                              </m:fName>
                              <m:e>
                                <m:f>
                                  <m:fPr>
                                    <m:ctrlPr>
                                      <a:rPr lang="en-GB" sz="1100" i="1">
                                        <a:latin typeface="Cambria Math" panose="02040503050406030204" pitchFamily="18" charset="0"/>
                                      </a:rPr>
                                    </m:ctrlPr>
                                  </m:fPr>
                                  <m:num>
                                    <m:r>
                                      <a:rPr lang="en-GB" sz="1100" i="1">
                                        <a:latin typeface="Cambria Math" panose="02040503050406030204" pitchFamily="18" charset="0"/>
                                      </a:rPr>
                                      <m:t>𝑛</m:t>
                                    </m:r>
                                    <m:r>
                                      <a:rPr lang="el-GR" sz="1100" i="1">
                                        <a:latin typeface="Cambria Math" panose="02040503050406030204" pitchFamily="18" charset="0"/>
                                      </a:rPr>
                                      <m:t>𝜋</m:t>
                                    </m:r>
                                    <m:r>
                                      <a:rPr lang="en-GB" sz="1100" i="1">
                                        <a:latin typeface="Cambria Math" panose="02040503050406030204" pitchFamily="18" charset="0"/>
                                      </a:rPr>
                                      <m:t>𝑥</m:t>
                                    </m:r>
                                  </m:num>
                                  <m:den>
                                    <m:r>
                                      <a:rPr lang="en-GB" sz="1100" i="1">
                                        <a:latin typeface="Cambria Math" panose="02040503050406030204" pitchFamily="18" charset="0"/>
                                      </a:rPr>
                                      <m:t>𝐿</m:t>
                                    </m:r>
                                  </m:den>
                                </m:f>
                              </m:e>
                            </m:func>
                            <m:r>
                              <a:rPr lang="en-GB" sz="1100" i="1">
                                <a:latin typeface="Cambria Math" panose="02040503050406030204" pitchFamily="18" charset="0"/>
                              </a:rPr>
                              <m:t>+</m:t>
                            </m:r>
                            <m:sSub>
                              <m:sSubPr>
                                <m:ctrlPr>
                                  <a:rPr lang="en-GB" sz="1100" i="1">
                                    <a:latin typeface="Cambria Math" panose="02040503050406030204" pitchFamily="18" charset="0"/>
                                  </a:rPr>
                                </m:ctrlPr>
                              </m:sSubPr>
                              <m:e>
                                <m:r>
                                  <a:rPr lang="en-GB" sz="1100" i="1">
                                    <a:latin typeface="Cambria Math" panose="02040503050406030204" pitchFamily="18" charset="0"/>
                                  </a:rPr>
                                  <m:t>𝑏</m:t>
                                </m:r>
                              </m:e>
                              <m:sub>
                                <m:r>
                                  <a:rPr lang="en-GB" sz="1100" i="1">
                                    <a:latin typeface="Cambria Math" panose="02040503050406030204" pitchFamily="18" charset="0"/>
                                  </a:rPr>
                                  <m:t>𝑛</m:t>
                                </m:r>
                              </m:sub>
                            </m:sSub>
                            <m:func>
                              <m:funcPr>
                                <m:ctrlPr>
                                  <a:rPr lang="en-GB" sz="1100" i="1">
                                    <a:latin typeface="Cambria Math" panose="02040503050406030204" pitchFamily="18" charset="0"/>
                                  </a:rPr>
                                </m:ctrlPr>
                              </m:funcPr>
                              <m:fName>
                                <m:r>
                                  <m:rPr>
                                    <m:sty m:val="p"/>
                                  </m:rPr>
                                  <a:rPr lang="en-GB" sz="1100" i="0">
                                    <a:latin typeface="Cambria Math" panose="02040503050406030204" pitchFamily="18" charset="0"/>
                                  </a:rPr>
                                  <m:t>sin</m:t>
                                </m:r>
                              </m:fName>
                              <m:e>
                                <m:f>
                                  <m:fPr>
                                    <m:ctrlPr>
                                      <a:rPr lang="en-GB" sz="1100" i="1">
                                        <a:latin typeface="Cambria Math" panose="02040503050406030204" pitchFamily="18" charset="0"/>
                                      </a:rPr>
                                    </m:ctrlPr>
                                  </m:fPr>
                                  <m:num>
                                    <m:r>
                                      <a:rPr lang="en-GB" sz="1100" i="1">
                                        <a:latin typeface="Cambria Math" panose="02040503050406030204" pitchFamily="18" charset="0"/>
                                      </a:rPr>
                                      <m:t>𝑛</m:t>
                                    </m:r>
                                    <m:r>
                                      <a:rPr lang="el-GR" sz="1100" i="1">
                                        <a:latin typeface="Cambria Math" panose="02040503050406030204" pitchFamily="18" charset="0"/>
                                      </a:rPr>
                                      <m:t>𝜋</m:t>
                                    </m:r>
                                    <m:r>
                                      <a:rPr lang="en-GB" sz="1100" i="1">
                                        <a:latin typeface="Cambria Math" panose="02040503050406030204" pitchFamily="18" charset="0"/>
                                      </a:rPr>
                                      <m:t>𝑥</m:t>
                                    </m:r>
                                  </m:num>
                                  <m:den>
                                    <m:r>
                                      <a:rPr lang="en-GB" sz="1100" i="1">
                                        <a:latin typeface="Cambria Math" panose="02040503050406030204" pitchFamily="18" charset="0"/>
                                      </a:rPr>
                                      <m:t>𝐿</m:t>
                                    </m:r>
                                  </m:den>
                                </m:f>
                              </m:e>
                            </m:func>
                          </m:e>
                        </m:d>
                      </m:e>
                    </m:nary>
                  </m:oMath>
                </m:oMathPara>
              </a14:m>
              <a:endParaRPr lang="en-GB" sz="1100"/>
            </a:p>
          </xdr:txBody>
        </xdr:sp>
      </mc:Choice>
      <mc:Fallback xmlns="">
        <xdr:sp macro="" textlink="">
          <xdr:nvSpPr>
            <xdr:cNvPr id="15" name="TextBox 14">
              <a:extLst>
                <a:ext uri="{FF2B5EF4-FFF2-40B4-BE49-F238E27FC236}">
                  <a16:creationId xmlns:a16="http://schemas.microsoft.com/office/drawing/2014/main" id="{333626AF-5EBA-4B7A-809E-3F99663FA7BC}"/>
                </a:ext>
              </a:extLst>
            </xdr:cNvPr>
            <xdr:cNvSpPr txBox="1"/>
          </xdr:nvSpPr>
          <xdr:spPr>
            <a:xfrm>
              <a:off x="609600" y="12096750"/>
              <a:ext cx="2565654" cy="45707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GB" sz="1100" i="0">
                  <a:latin typeface="Cambria Math" panose="02040503050406030204" pitchFamily="18" charset="0"/>
                </a:rPr>
                <a:t>𝑓(𝑥)=𝑎_0+∑_(𝑛=1)^∞▒(𝑎_𝑛  cos⁡〖𝑛</a:t>
              </a:r>
              <a:r>
                <a:rPr lang="el-GR" sz="1100" i="0">
                  <a:latin typeface="Cambria Math" panose="02040503050406030204" pitchFamily="18" charset="0"/>
                </a:rPr>
                <a:t>𝜋</a:t>
              </a:r>
              <a:r>
                <a:rPr lang="en-GB" sz="1100" i="0">
                  <a:latin typeface="Cambria Math" panose="02040503050406030204" pitchFamily="18" charset="0"/>
                </a:rPr>
                <a:t>𝑥/𝐿〗+𝑏_𝑛  sin⁡〖𝑛</a:t>
              </a:r>
              <a:r>
                <a:rPr lang="el-GR" sz="1100" i="0">
                  <a:latin typeface="Cambria Math" panose="02040503050406030204" pitchFamily="18" charset="0"/>
                </a:rPr>
                <a:t>𝜋</a:t>
              </a:r>
              <a:r>
                <a:rPr lang="en-GB" sz="1100" i="0">
                  <a:latin typeface="Cambria Math" panose="02040503050406030204" pitchFamily="18" charset="0"/>
                </a:rPr>
                <a:t>𝑥/𝐿〗 ) </a:t>
              </a:r>
              <a:endParaRPr lang="en-GB" sz="1100"/>
            </a:p>
          </xdr:txBody>
        </xdr:sp>
      </mc:Fallback>
    </mc:AlternateContent>
    <xdr:clientData/>
  </xdr:oneCellAnchor>
  <xdr:twoCellAnchor>
    <xdr:from>
      <xdr:col>1</xdr:col>
      <xdr:colOff>276225</xdr:colOff>
      <xdr:row>70</xdr:row>
      <xdr:rowOff>112395</xdr:rowOff>
    </xdr:from>
    <xdr:to>
      <xdr:col>1</xdr:col>
      <xdr:colOff>1326588</xdr:colOff>
      <xdr:row>75</xdr:row>
      <xdr:rowOff>36195</xdr:rowOff>
    </xdr:to>
    <xdr:grpSp>
      <xdr:nvGrpSpPr>
        <xdr:cNvPr id="16" name="Group 15">
          <a:extLst>
            <a:ext uri="{FF2B5EF4-FFF2-40B4-BE49-F238E27FC236}">
              <a16:creationId xmlns:a16="http://schemas.microsoft.com/office/drawing/2014/main" id="{AA0B66B3-E843-400A-B1DE-8F323C7BB4EB}"/>
            </a:ext>
          </a:extLst>
        </xdr:cNvPr>
        <xdr:cNvGrpSpPr/>
      </xdr:nvGrpSpPr>
      <xdr:grpSpPr>
        <a:xfrm>
          <a:off x="885825" y="13607415"/>
          <a:ext cx="1050363" cy="838200"/>
          <a:chOff x="8534400" y="9102090"/>
          <a:chExt cx="1054173" cy="821055"/>
        </a:xfrm>
      </xdr:grpSpPr>
      <xdr:pic>
        <xdr:nvPicPr>
          <xdr:cNvPr id="17" name="Picture 16">
            <a:extLst>
              <a:ext uri="{FF2B5EF4-FFF2-40B4-BE49-F238E27FC236}">
                <a16:creationId xmlns:a16="http://schemas.microsoft.com/office/drawing/2014/main" id="{A44E2DF8-3B39-6223-F08B-422725DD9D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8711565" y="9102090"/>
            <a:ext cx="877008" cy="821055"/>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18" name="Rectangle 17">
            <a:extLst>
              <a:ext uri="{FF2B5EF4-FFF2-40B4-BE49-F238E27FC236}">
                <a16:creationId xmlns:a16="http://schemas.microsoft.com/office/drawing/2014/main" id="{4B06E6D5-4055-2AEE-336F-2E890568EFB6}"/>
              </a:ext>
            </a:extLst>
          </xdr:cNvPr>
          <xdr:cNvSpPr/>
        </xdr:nvSpPr>
        <xdr:spPr>
          <a:xfrm>
            <a:off x="8534400" y="9229725"/>
            <a:ext cx="678180" cy="638175"/>
          </a:xfrm>
          <a:prstGeom prst="rect">
            <a:avLst/>
          </a:prstGeom>
          <a:pattFill prst="pct90">
            <a:fgClr>
              <a:schemeClr val="accent1"/>
            </a:fgClr>
            <a:bgClr>
              <a:schemeClr val="bg1"/>
            </a:bgClr>
          </a:patt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pSp>
    <xdr:clientData/>
  </xdr:twoCellAnchor>
  <xdr:twoCellAnchor editAs="oneCell">
    <xdr:from>
      <xdr:col>13</xdr:col>
      <xdr:colOff>571500</xdr:colOff>
      <xdr:row>61</xdr:row>
      <xdr:rowOff>104775</xdr:rowOff>
    </xdr:from>
    <xdr:to>
      <xdr:col>18</xdr:col>
      <xdr:colOff>457609</xdr:colOff>
      <xdr:row>65</xdr:row>
      <xdr:rowOff>15329</xdr:rowOff>
    </xdr:to>
    <xdr:pic>
      <xdr:nvPicPr>
        <xdr:cNvPr id="19" name="Picture 18">
          <a:extLst>
            <a:ext uri="{FF2B5EF4-FFF2-40B4-BE49-F238E27FC236}">
              <a16:creationId xmlns:a16="http://schemas.microsoft.com/office/drawing/2014/main" id="{06B7D010-F638-DA03-2130-32FE169F4915}"/>
            </a:ext>
          </a:extLst>
        </xdr:cNvPr>
        <xdr:cNvPicPr>
          <a:picLocks noChangeAspect="1"/>
        </xdr:cNvPicPr>
      </xdr:nvPicPr>
      <xdr:blipFill>
        <a:blip xmlns:r="http://schemas.openxmlformats.org/officeDocument/2006/relationships" r:embed="rId22"/>
        <a:stretch>
          <a:fillRect/>
        </a:stretch>
      </xdr:blipFill>
      <xdr:spPr>
        <a:xfrm>
          <a:off x="9629775" y="11839575"/>
          <a:ext cx="2934109" cy="634454"/>
        </a:xfrm>
        <a:prstGeom prst="rect">
          <a:avLst/>
        </a:prstGeom>
      </xdr:spPr>
    </xdr:pic>
    <xdr:clientData/>
  </xdr:twoCellAnchor>
  <xdr:twoCellAnchor editAs="oneCell">
    <xdr:from>
      <xdr:col>14</xdr:col>
      <xdr:colOff>26670</xdr:colOff>
      <xdr:row>68</xdr:row>
      <xdr:rowOff>125730</xdr:rowOff>
    </xdr:from>
    <xdr:to>
      <xdr:col>16</xdr:col>
      <xdr:colOff>440284</xdr:colOff>
      <xdr:row>75</xdr:row>
      <xdr:rowOff>53506</xdr:rowOff>
    </xdr:to>
    <xdr:pic>
      <xdr:nvPicPr>
        <xdr:cNvPr id="20" name="Picture 19">
          <a:extLst>
            <a:ext uri="{FF2B5EF4-FFF2-40B4-BE49-F238E27FC236}">
              <a16:creationId xmlns:a16="http://schemas.microsoft.com/office/drawing/2014/main" id="{07DBF484-DC59-8D87-F780-E012B9B75175}"/>
            </a:ext>
          </a:extLst>
        </xdr:cNvPr>
        <xdr:cNvPicPr>
          <a:picLocks noChangeAspect="1"/>
        </xdr:cNvPicPr>
      </xdr:nvPicPr>
      <xdr:blipFill>
        <a:blip xmlns:r="http://schemas.openxmlformats.org/officeDocument/2006/relationships" r:embed="rId23"/>
        <a:stretch>
          <a:fillRect/>
        </a:stretch>
      </xdr:blipFill>
      <xdr:spPr>
        <a:xfrm>
          <a:off x="9694545" y="13127355"/>
          <a:ext cx="1638529" cy="1185076"/>
        </a:xfrm>
        <a:prstGeom prst="rect">
          <a:avLst/>
        </a:prstGeom>
      </xdr:spPr>
    </xdr:pic>
    <xdr:clientData/>
  </xdr:twoCellAnchor>
  <xdr:twoCellAnchor editAs="oneCell">
    <xdr:from>
      <xdr:col>4</xdr:col>
      <xdr:colOff>331470</xdr:colOff>
      <xdr:row>77</xdr:row>
      <xdr:rowOff>64770</xdr:rowOff>
    </xdr:from>
    <xdr:to>
      <xdr:col>7</xdr:col>
      <xdr:colOff>17145</xdr:colOff>
      <xdr:row>94</xdr:row>
      <xdr:rowOff>53712</xdr:rowOff>
    </xdr:to>
    <xdr:pic>
      <xdr:nvPicPr>
        <xdr:cNvPr id="21" name="Picture 20">
          <a:extLst>
            <a:ext uri="{FF2B5EF4-FFF2-40B4-BE49-F238E27FC236}">
              <a16:creationId xmlns:a16="http://schemas.microsoft.com/office/drawing/2014/main" id="{3ECD2893-1DC6-4149-85D2-AF5C54FF11B1}"/>
            </a:ext>
          </a:extLst>
        </xdr:cNvPr>
        <xdr:cNvPicPr>
          <a:picLocks noChangeAspect="1"/>
        </xdr:cNvPicPr>
      </xdr:nvPicPr>
      <xdr:blipFill>
        <a:blip xmlns:r="http://schemas.openxmlformats.org/officeDocument/2006/relationships" r:embed="rId24"/>
        <a:stretch>
          <a:fillRect/>
        </a:stretch>
      </xdr:blipFill>
      <xdr:spPr>
        <a:xfrm>
          <a:off x="3903345" y="14695170"/>
          <a:ext cx="1525905" cy="3055992"/>
        </a:xfrm>
        <a:prstGeom prst="rect">
          <a:avLst/>
        </a:prstGeom>
      </xdr:spPr>
    </xdr:pic>
    <xdr:clientData/>
  </xdr:twoCellAnchor>
  <xdr:twoCellAnchor>
    <xdr:from>
      <xdr:col>1</xdr:col>
      <xdr:colOff>49531</xdr:colOff>
      <xdr:row>100</xdr:row>
      <xdr:rowOff>91440</xdr:rowOff>
    </xdr:from>
    <xdr:to>
      <xdr:col>1</xdr:col>
      <xdr:colOff>902971</xdr:colOff>
      <xdr:row>103</xdr:row>
      <xdr:rowOff>169545</xdr:rowOff>
    </xdr:to>
    <xdr:sp macro="" textlink="">
      <xdr:nvSpPr>
        <xdr:cNvPr id="22" name="Rectangle 21">
          <a:extLst>
            <a:ext uri="{FF2B5EF4-FFF2-40B4-BE49-F238E27FC236}">
              <a16:creationId xmlns:a16="http://schemas.microsoft.com/office/drawing/2014/main" id="{D89A7A87-4EEA-47CE-9A3E-AC2EBA27836B}"/>
            </a:ext>
          </a:extLst>
        </xdr:cNvPr>
        <xdr:cNvSpPr/>
      </xdr:nvSpPr>
      <xdr:spPr>
        <a:xfrm>
          <a:off x="659131" y="18884265"/>
          <a:ext cx="853440" cy="621030"/>
        </a:xfrm>
        <a:prstGeom prst="rect">
          <a:avLst/>
        </a:prstGeom>
        <a:noFill/>
        <a:effectLst>
          <a:outerShdw blurRad="50800" dist="38100" dir="8100000" sx="86000" sy="86000" algn="tr" rotWithShape="0">
            <a:schemeClr val="accent5">
              <a:alpha val="40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2</xdr:col>
      <xdr:colOff>95250</xdr:colOff>
      <xdr:row>100</xdr:row>
      <xdr:rowOff>57150</xdr:rowOff>
    </xdr:from>
    <xdr:to>
      <xdr:col>3</xdr:col>
      <xdr:colOff>150495</xdr:colOff>
      <xdr:row>103</xdr:row>
      <xdr:rowOff>142875</xdr:rowOff>
    </xdr:to>
    <xdr:sp macro="" textlink="">
      <xdr:nvSpPr>
        <xdr:cNvPr id="23" name="Rectangle 22">
          <a:extLst>
            <a:ext uri="{FF2B5EF4-FFF2-40B4-BE49-F238E27FC236}">
              <a16:creationId xmlns:a16="http://schemas.microsoft.com/office/drawing/2014/main" id="{C8CE8B2B-7F57-4AB6-8659-241B1232D51B}"/>
            </a:ext>
          </a:extLst>
        </xdr:cNvPr>
        <xdr:cNvSpPr/>
      </xdr:nvSpPr>
      <xdr:spPr>
        <a:xfrm>
          <a:off x="1920240" y="7111365"/>
          <a:ext cx="668655" cy="630555"/>
        </a:xfrm>
        <a:prstGeom prst="rect">
          <a:avLst/>
        </a:prstGeom>
        <a:solidFill>
          <a:schemeClr val="accent1"/>
        </a:solidFill>
        <a:effectLst>
          <a:reflection blurRad="6350" stA="50000" endA="300" endPos="90000" dist="50800" dir="5400000" sy="-100000" algn="bl" rotWithShape="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4</xdr:col>
      <xdr:colOff>38100</xdr:colOff>
      <xdr:row>100</xdr:row>
      <xdr:rowOff>85725</xdr:rowOff>
    </xdr:from>
    <xdr:to>
      <xdr:col>5</xdr:col>
      <xdr:colOff>93345</xdr:colOff>
      <xdr:row>103</xdr:row>
      <xdr:rowOff>171450</xdr:rowOff>
    </xdr:to>
    <xdr:sp macro="" textlink="">
      <xdr:nvSpPr>
        <xdr:cNvPr id="24" name="Rectangle 23">
          <a:extLst>
            <a:ext uri="{FF2B5EF4-FFF2-40B4-BE49-F238E27FC236}">
              <a16:creationId xmlns:a16="http://schemas.microsoft.com/office/drawing/2014/main" id="{E4AE0205-7C7B-47CA-80C6-0AC0CC2FAD74}"/>
            </a:ext>
          </a:extLst>
        </xdr:cNvPr>
        <xdr:cNvSpPr/>
      </xdr:nvSpPr>
      <xdr:spPr>
        <a:xfrm>
          <a:off x="3086100" y="7145655"/>
          <a:ext cx="668655" cy="622935"/>
        </a:xfrm>
        <a:prstGeom prst="rect">
          <a:avLst/>
        </a:prstGeom>
        <a:solidFill>
          <a:schemeClr val="accent1"/>
        </a:solidFill>
        <a:effectLst>
          <a:glow rad="139700">
            <a:schemeClr val="accent6">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6</xdr:col>
      <xdr:colOff>76200</xdr:colOff>
      <xdr:row>100</xdr:row>
      <xdr:rowOff>104775</xdr:rowOff>
    </xdr:from>
    <xdr:to>
      <xdr:col>7</xdr:col>
      <xdr:colOff>131445</xdr:colOff>
      <xdr:row>104</xdr:row>
      <xdr:rowOff>9525</xdr:rowOff>
    </xdr:to>
    <xdr:sp macro="" textlink="">
      <xdr:nvSpPr>
        <xdr:cNvPr id="25" name="Rectangle 24">
          <a:extLst>
            <a:ext uri="{FF2B5EF4-FFF2-40B4-BE49-F238E27FC236}">
              <a16:creationId xmlns:a16="http://schemas.microsoft.com/office/drawing/2014/main" id="{2CF0AC11-298D-4CB8-B579-25B73555490E}"/>
            </a:ext>
          </a:extLst>
        </xdr:cNvPr>
        <xdr:cNvSpPr/>
      </xdr:nvSpPr>
      <xdr:spPr>
        <a:xfrm>
          <a:off x="4343400" y="7160895"/>
          <a:ext cx="668655" cy="632460"/>
        </a:xfrm>
        <a:prstGeom prst="rect">
          <a:avLst/>
        </a:prstGeom>
        <a:solidFill>
          <a:schemeClr val="accent1"/>
        </a:solidFill>
        <a:effectLst>
          <a:softEdge rad="127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8</xdr:col>
      <xdr:colOff>28575</xdr:colOff>
      <xdr:row>100</xdr:row>
      <xdr:rowOff>47625</xdr:rowOff>
    </xdr:from>
    <xdr:to>
      <xdr:col>9</xdr:col>
      <xdr:colOff>83820</xdr:colOff>
      <xdr:row>103</xdr:row>
      <xdr:rowOff>133350</xdr:rowOff>
    </xdr:to>
    <xdr:sp macro="" textlink="">
      <xdr:nvSpPr>
        <xdr:cNvPr id="26" name="Rectangle 25">
          <a:extLst>
            <a:ext uri="{FF2B5EF4-FFF2-40B4-BE49-F238E27FC236}">
              <a16:creationId xmlns:a16="http://schemas.microsoft.com/office/drawing/2014/main" id="{1D224DF8-99E1-4ED5-BDC7-3D07E7240034}"/>
            </a:ext>
          </a:extLst>
        </xdr:cNvPr>
        <xdr:cNvSpPr/>
      </xdr:nvSpPr>
      <xdr:spPr>
        <a:xfrm>
          <a:off x="5513070" y="7107555"/>
          <a:ext cx="668655" cy="622935"/>
        </a:xfrm>
        <a:prstGeom prst="rect">
          <a:avLst/>
        </a:prstGeom>
        <a:solidFill>
          <a:schemeClr val="accent1"/>
        </a:solidFill>
        <a:scene3d>
          <a:camera prst="orthographicFront"/>
          <a:lightRig rig="freezing" dir="t"/>
        </a:scene3d>
        <a:sp3d prstMaterial="translucentPowder">
          <a:bevelT prst="relaxedInset"/>
          <a:bevelB w="114300" prst="artDeco"/>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9</xdr:col>
      <xdr:colOff>590550</xdr:colOff>
      <xdr:row>100</xdr:row>
      <xdr:rowOff>104775</xdr:rowOff>
    </xdr:from>
    <xdr:to>
      <xdr:col>11</xdr:col>
      <xdr:colOff>36195</xdr:colOff>
      <xdr:row>104</xdr:row>
      <xdr:rowOff>9525</xdr:rowOff>
    </xdr:to>
    <xdr:sp macro="" textlink="">
      <xdr:nvSpPr>
        <xdr:cNvPr id="27" name="Rectangle 26">
          <a:extLst>
            <a:ext uri="{FF2B5EF4-FFF2-40B4-BE49-F238E27FC236}">
              <a16:creationId xmlns:a16="http://schemas.microsoft.com/office/drawing/2014/main" id="{240FDA9B-17CD-4E87-AD17-32FF82CD9207}"/>
            </a:ext>
          </a:extLst>
        </xdr:cNvPr>
        <xdr:cNvSpPr/>
      </xdr:nvSpPr>
      <xdr:spPr>
        <a:xfrm>
          <a:off x="6682740" y="7160895"/>
          <a:ext cx="668655" cy="632460"/>
        </a:xfrm>
        <a:prstGeom prst="rect">
          <a:avLst/>
        </a:prstGeom>
        <a:solidFill>
          <a:schemeClr val="accent1"/>
        </a:solidFill>
        <a:scene3d>
          <a:camera prst="perspectiveHeroicExtremeLeftFacing"/>
          <a:lightRig rig="threePt" dir="t"/>
        </a:scene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13</xdr:col>
      <xdr:colOff>561975</xdr:colOff>
      <xdr:row>97</xdr:row>
      <xdr:rowOff>47625</xdr:rowOff>
    </xdr:from>
    <xdr:to>
      <xdr:col>26</xdr:col>
      <xdr:colOff>248711</xdr:colOff>
      <xdr:row>106</xdr:row>
      <xdr:rowOff>150737</xdr:rowOff>
    </xdr:to>
    <xdr:pic>
      <xdr:nvPicPr>
        <xdr:cNvPr id="28" name="Picture 27">
          <a:extLst>
            <a:ext uri="{FF2B5EF4-FFF2-40B4-BE49-F238E27FC236}">
              <a16:creationId xmlns:a16="http://schemas.microsoft.com/office/drawing/2014/main" id="{9515EAE0-4971-3DBB-0721-0EEC48C56BDD}"/>
            </a:ext>
          </a:extLst>
        </xdr:cNvPr>
        <xdr:cNvPicPr>
          <a:picLocks noChangeAspect="1"/>
        </xdr:cNvPicPr>
      </xdr:nvPicPr>
      <xdr:blipFill>
        <a:blip xmlns:r="http://schemas.openxmlformats.org/officeDocument/2006/relationships" r:embed="rId25"/>
        <a:stretch>
          <a:fillRect/>
        </a:stretch>
      </xdr:blipFill>
      <xdr:spPr>
        <a:xfrm>
          <a:off x="9620250" y="18297525"/>
          <a:ext cx="7598201" cy="1731887"/>
        </a:xfrm>
        <a:prstGeom prst="rect">
          <a:avLst/>
        </a:prstGeom>
      </xdr:spPr>
    </xdr:pic>
    <xdr:clientData/>
  </xdr:twoCellAnchor>
  <xdr:twoCellAnchor>
    <xdr:from>
      <xdr:col>1</xdr:col>
      <xdr:colOff>38100</xdr:colOff>
      <xdr:row>113</xdr:row>
      <xdr:rowOff>148590</xdr:rowOff>
    </xdr:from>
    <xdr:to>
      <xdr:col>1</xdr:col>
      <xdr:colOff>1285875</xdr:colOff>
      <xdr:row>115</xdr:row>
      <xdr:rowOff>61512</xdr:rowOff>
    </xdr:to>
    <xdr:cxnSp macro="">
      <xdr:nvCxnSpPr>
        <xdr:cNvPr id="29" name="Connector: Elbow 28">
          <a:extLst>
            <a:ext uri="{FF2B5EF4-FFF2-40B4-BE49-F238E27FC236}">
              <a16:creationId xmlns:a16="http://schemas.microsoft.com/office/drawing/2014/main" id="{BD40A5B8-D503-474A-9E75-1B426030CF70}"/>
            </a:ext>
          </a:extLst>
        </xdr:cNvPr>
        <xdr:cNvCxnSpPr/>
      </xdr:nvCxnSpPr>
      <xdr:spPr>
        <a:xfrm>
          <a:off x="647700" y="21294090"/>
          <a:ext cx="1247775" cy="274872"/>
        </a:xfrm>
        <a:prstGeom prst="bentConnector3">
          <a:avLst/>
        </a:prstGeom>
        <a:ln>
          <a:gradFill>
            <a:gsLst>
              <a:gs pos="0">
                <a:srgbClr val="00B050"/>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xdr:col>
      <xdr:colOff>57150</xdr:colOff>
      <xdr:row>113</xdr:row>
      <xdr:rowOff>152400</xdr:rowOff>
    </xdr:from>
    <xdr:to>
      <xdr:col>3</xdr:col>
      <xdr:colOff>285750</xdr:colOff>
      <xdr:row>116</xdr:row>
      <xdr:rowOff>43815</xdr:rowOff>
    </xdr:to>
    <xdr:cxnSp macro="">
      <xdr:nvCxnSpPr>
        <xdr:cNvPr id="30" name="Connector: Elbow 29">
          <a:extLst>
            <a:ext uri="{FF2B5EF4-FFF2-40B4-BE49-F238E27FC236}">
              <a16:creationId xmlns:a16="http://schemas.microsoft.com/office/drawing/2014/main" id="{5310F354-B34E-429D-8B4D-12270CCA51B6}"/>
            </a:ext>
          </a:extLst>
        </xdr:cNvPr>
        <xdr:cNvCxnSpPr/>
      </xdr:nvCxnSpPr>
      <xdr:spPr>
        <a:xfrm>
          <a:off x="1882140" y="4133850"/>
          <a:ext cx="838200" cy="436245"/>
        </a:xfrm>
        <a:prstGeom prst="bentConnector3">
          <a:avLst/>
        </a:prstGeom>
        <a:ln>
          <a:solidFill>
            <a:schemeClr val="accent1">
              <a:alpha val="50000"/>
            </a:schemeClr>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457200</xdr:colOff>
      <xdr:row>113</xdr:row>
      <xdr:rowOff>123825</xdr:rowOff>
    </xdr:from>
    <xdr:to>
      <xdr:col>5</xdr:col>
      <xdr:colOff>76200</xdr:colOff>
      <xdr:row>116</xdr:row>
      <xdr:rowOff>17145</xdr:rowOff>
    </xdr:to>
    <xdr:cxnSp macro="">
      <xdr:nvCxnSpPr>
        <xdr:cNvPr id="31" name="Connector: Elbow 30">
          <a:extLst>
            <a:ext uri="{FF2B5EF4-FFF2-40B4-BE49-F238E27FC236}">
              <a16:creationId xmlns:a16="http://schemas.microsoft.com/office/drawing/2014/main" id="{8484EB2B-3DAD-4956-AB55-058A92CF5054}"/>
            </a:ext>
          </a:extLst>
        </xdr:cNvPr>
        <xdr:cNvCxnSpPr/>
      </xdr:nvCxnSpPr>
      <xdr:spPr>
        <a:xfrm>
          <a:off x="2895600" y="4107180"/>
          <a:ext cx="838200" cy="438150"/>
        </a:xfrm>
        <a:prstGeom prst="bentConnector3">
          <a:avLst/>
        </a:prstGeom>
        <a:ln w="38100">
          <a:solidFill>
            <a:schemeClr val="accent1"/>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161925</xdr:colOff>
      <xdr:row>113</xdr:row>
      <xdr:rowOff>152400</xdr:rowOff>
    </xdr:from>
    <xdr:to>
      <xdr:col>6</xdr:col>
      <xdr:colOff>390525</xdr:colOff>
      <xdr:row>116</xdr:row>
      <xdr:rowOff>45720</xdr:rowOff>
    </xdr:to>
    <xdr:cxnSp macro="">
      <xdr:nvCxnSpPr>
        <xdr:cNvPr id="32" name="Connector: Elbow 31">
          <a:extLst>
            <a:ext uri="{FF2B5EF4-FFF2-40B4-BE49-F238E27FC236}">
              <a16:creationId xmlns:a16="http://schemas.microsoft.com/office/drawing/2014/main" id="{2ACAB224-73F5-4E10-B662-921F99A90585}"/>
            </a:ext>
          </a:extLst>
        </xdr:cNvPr>
        <xdr:cNvCxnSpPr/>
      </xdr:nvCxnSpPr>
      <xdr:spPr>
        <a:xfrm>
          <a:off x="3821430" y="4133850"/>
          <a:ext cx="838200" cy="438150"/>
        </a:xfrm>
        <a:prstGeom prst="bentConnector3">
          <a:avLst/>
        </a:prstGeom>
        <a:ln w="47625" cmpd="dbl">
          <a:solidFill>
            <a:schemeClr val="accent1"/>
          </a:soli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571501</xdr:colOff>
      <xdr:row>114</xdr:row>
      <xdr:rowOff>0</xdr:rowOff>
    </xdr:from>
    <xdr:to>
      <xdr:col>8</xdr:col>
      <xdr:colOff>192882</xdr:colOff>
      <xdr:row>116</xdr:row>
      <xdr:rowOff>74294</xdr:rowOff>
    </xdr:to>
    <xdr:cxnSp macro="">
      <xdr:nvCxnSpPr>
        <xdr:cNvPr id="33" name="Connector: Elbow 32">
          <a:extLst>
            <a:ext uri="{FF2B5EF4-FFF2-40B4-BE49-F238E27FC236}">
              <a16:creationId xmlns:a16="http://schemas.microsoft.com/office/drawing/2014/main" id="{AE9C3510-A87A-4D30-9B8C-E88785F42388}"/>
            </a:ext>
          </a:extLst>
        </xdr:cNvPr>
        <xdr:cNvCxnSpPr/>
      </xdr:nvCxnSpPr>
      <xdr:spPr>
        <a:xfrm>
          <a:off x="4838701" y="4162425"/>
          <a:ext cx="840581" cy="436244"/>
        </a:xfrm>
        <a:prstGeom prst="bentConnector3">
          <a:avLst/>
        </a:prstGeom>
        <a:ln>
          <a:solidFill>
            <a:schemeClr val="accent1"/>
          </a:solidFill>
          <a:prstDash val="sysDash"/>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106680</xdr:colOff>
      <xdr:row>113</xdr:row>
      <xdr:rowOff>177165</xdr:rowOff>
    </xdr:from>
    <xdr:to>
      <xdr:col>10</xdr:col>
      <xdr:colOff>335280</xdr:colOff>
      <xdr:row>116</xdr:row>
      <xdr:rowOff>78105</xdr:rowOff>
    </xdr:to>
    <xdr:cxnSp macro="">
      <xdr:nvCxnSpPr>
        <xdr:cNvPr id="34" name="Connector: Elbow 33">
          <a:extLst>
            <a:ext uri="{FF2B5EF4-FFF2-40B4-BE49-F238E27FC236}">
              <a16:creationId xmlns:a16="http://schemas.microsoft.com/office/drawing/2014/main" id="{1DF19221-3C3F-432A-BD40-703C07526471}"/>
            </a:ext>
          </a:extLst>
        </xdr:cNvPr>
        <xdr:cNvCxnSpPr/>
      </xdr:nvCxnSpPr>
      <xdr:spPr>
        <a:xfrm>
          <a:off x="6200775" y="4154805"/>
          <a:ext cx="838200" cy="447675"/>
        </a:xfrm>
        <a:prstGeom prst="bentConnector3">
          <a:avLst/>
        </a:prstGeom>
        <a:ln cap="sq">
          <a:solidFill>
            <a:schemeClr val="accent1"/>
          </a:solidFill>
          <a:round/>
          <a:headEnd type="diamond" w="lg" len="lg"/>
          <a:tailEnd type="arrow" w="sm" len="sm"/>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7620</xdr:colOff>
      <xdr:row>113</xdr:row>
      <xdr:rowOff>59055</xdr:rowOff>
    </xdr:from>
    <xdr:to>
      <xdr:col>13</xdr:col>
      <xdr:colOff>34290</xdr:colOff>
      <xdr:row>116</xdr:row>
      <xdr:rowOff>87630</xdr:rowOff>
    </xdr:to>
    <xdr:sp macro="" textlink="">
      <xdr:nvSpPr>
        <xdr:cNvPr id="35" name="Isosceles Triangle 34">
          <a:extLst>
            <a:ext uri="{FF2B5EF4-FFF2-40B4-BE49-F238E27FC236}">
              <a16:creationId xmlns:a16="http://schemas.microsoft.com/office/drawing/2014/main" id="{BF404A6E-258C-460A-9499-72A79BC78EFC}"/>
            </a:ext>
          </a:extLst>
        </xdr:cNvPr>
        <xdr:cNvSpPr/>
      </xdr:nvSpPr>
      <xdr:spPr>
        <a:xfrm>
          <a:off x="7934325" y="4036695"/>
          <a:ext cx="634365" cy="579120"/>
        </a:xfrm>
        <a:custGeom>
          <a:avLst/>
          <a:gdLst>
            <a:gd name="csX0" fmla="*/ 0 w 634365"/>
            <a:gd name="csY0" fmla="*/ 579120 h 579120"/>
            <a:gd name="csX1" fmla="*/ 155420 w 634365"/>
            <a:gd name="csY1" fmla="*/ 295351 h 579120"/>
            <a:gd name="csX2" fmla="*/ 317183 w 634365"/>
            <a:gd name="csY2" fmla="*/ 0 h 579120"/>
            <a:gd name="csX3" fmla="*/ 482118 w 634365"/>
            <a:gd name="csY3" fmla="*/ 301142 h 579120"/>
            <a:gd name="csX4" fmla="*/ 634365 w 634365"/>
            <a:gd name="csY4" fmla="*/ 579120 h 579120"/>
            <a:gd name="csX5" fmla="*/ 329870 w 634365"/>
            <a:gd name="csY5" fmla="*/ 579120 h 579120"/>
            <a:gd name="csX6" fmla="*/ 0 w 634365"/>
            <a:gd name="csY6" fmla="*/ 579120 h 579120"/>
          </a:gdLst>
          <a:ahLst/>
          <a:cxnLst>
            <a:cxn ang="0">
              <a:pos x="csX0" y="csY0"/>
            </a:cxn>
            <a:cxn ang="0">
              <a:pos x="csX1" y="csY1"/>
            </a:cxn>
            <a:cxn ang="0">
              <a:pos x="csX2" y="csY2"/>
            </a:cxn>
            <a:cxn ang="0">
              <a:pos x="csX3" y="csY3"/>
            </a:cxn>
            <a:cxn ang="0">
              <a:pos x="csX4" y="csY4"/>
            </a:cxn>
            <a:cxn ang="0">
              <a:pos x="csX5" y="csY5"/>
            </a:cxn>
            <a:cxn ang="0">
              <a:pos x="csX6" y="csY6"/>
            </a:cxn>
          </a:cxnLst>
          <a:rect l="l" t="t" r="r" b="b"/>
          <a:pathLst>
            <a:path w="634365" h="579120" extrusionOk="0">
              <a:moveTo>
                <a:pt x="0" y="579120"/>
              </a:moveTo>
              <a:cubicBezTo>
                <a:pt x="55094" y="434741"/>
                <a:pt x="132537" y="358355"/>
                <a:pt x="155420" y="295351"/>
              </a:cubicBezTo>
              <a:cubicBezTo>
                <a:pt x="178303" y="232347"/>
                <a:pt x="300871" y="100899"/>
                <a:pt x="317183" y="0"/>
              </a:cubicBezTo>
              <a:cubicBezTo>
                <a:pt x="382064" y="89294"/>
                <a:pt x="398824" y="222804"/>
                <a:pt x="482118" y="301142"/>
              </a:cubicBezTo>
              <a:cubicBezTo>
                <a:pt x="565412" y="379480"/>
                <a:pt x="559504" y="456822"/>
                <a:pt x="634365" y="579120"/>
              </a:cubicBezTo>
              <a:cubicBezTo>
                <a:pt x="512397" y="610605"/>
                <a:pt x="404353" y="572659"/>
                <a:pt x="329870" y="579120"/>
              </a:cubicBezTo>
              <a:cubicBezTo>
                <a:pt x="255387" y="585581"/>
                <a:pt x="66386" y="544369"/>
                <a:pt x="0" y="579120"/>
              </a:cubicBezTo>
              <a:close/>
            </a:path>
          </a:pathLst>
        </a:custGeom>
        <a:noFill/>
        <a:ln>
          <a:extLst>
            <a:ext uri="{C807C97D-BFC1-408E-A445-0C87EB9F89A2}">
              <ask:lineSketchStyleProps xmlns:ask="http://schemas.microsoft.com/office/drawing/2018/sketchyshapes" sd="1219033472">
                <a:prstGeom prst="triangle">
                  <a:avLst/>
                </a:prstGeom>
                <ask:type>
                  <ask:lineSketchScribble/>
                </ask:type>
              </ask:lineSketchStyleProps>
            </a:ext>
          </a:extLs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14</xdr:col>
      <xdr:colOff>57150</xdr:colOff>
      <xdr:row>111</xdr:row>
      <xdr:rowOff>152400</xdr:rowOff>
    </xdr:from>
    <xdr:to>
      <xdr:col>28</xdr:col>
      <xdr:colOff>492742</xdr:colOff>
      <xdr:row>117</xdr:row>
      <xdr:rowOff>167793</xdr:rowOff>
    </xdr:to>
    <xdr:pic>
      <xdr:nvPicPr>
        <xdr:cNvPr id="37" name="Picture 36">
          <a:extLst>
            <a:ext uri="{FF2B5EF4-FFF2-40B4-BE49-F238E27FC236}">
              <a16:creationId xmlns:a16="http://schemas.microsoft.com/office/drawing/2014/main" id="{843F78F5-8FB8-DBBD-A496-E999A84ADD6C}"/>
            </a:ext>
          </a:extLst>
        </xdr:cNvPr>
        <xdr:cNvPicPr>
          <a:picLocks noChangeAspect="1"/>
        </xdr:cNvPicPr>
      </xdr:nvPicPr>
      <xdr:blipFill>
        <a:blip xmlns:r="http://schemas.openxmlformats.org/officeDocument/2006/relationships" r:embed="rId26"/>
        <a:stretch>
          <a:fillRect/>
        </a:stretch>
      </xdr:blipFill>
      <xdr:spPr>
        <a:xfrm>
          <a:off x="9725025" y="20935950"/>
          <a:ext cx="8969992" cy="1097433"/>
        </a:xfrm>
        <a:prstGeom prst="rect">
          <a:avLst/>
        </a:prstGeom>
      </xdr:spPr>
    </xdr:pic>
    <xdr:clientData/>
  </xdr:twoCellAnchor>
  <xdr:twoCellAnchor>
    <xdr:from>
      <xdr:col>1</xdr:col>
      <xdr:colOff>15241</xdr:colOff>
      <xdr:row>122</xdr:row>
      <xdr:rowOff>140970</xdr:rowOff>
    </xdr:from>
    <xdr:to>
      <xdr:col>1</xdr:col>
      <xdr:colOff>952501</xdr:colOff>
      <xdr:row>126</xdr:row>
      <xdr:rowOff>57150</xdr:rowOff>
    </xdr:to>
    <xdr:sp macro="" textlink="">
      <xdr:nvSpPr>
        <xdr:cNvPr id="38" name="Rectangle 37">
          <a:extLst>
            <a:ext uri="{FF2B5EF4-FFF2-40B4-BE49-F238E27FC236}">
              <a16:creationId xmlns:a16="http://schemas.microsoft.com/office/drawing/2014/main" id="{45865000-E51A-45CB-9D41-30F3127DEF9B}"/>
            </a:ext>
          </a:extLst>
        </xdr:cNvPr>
        <xdr:cNvSpPr/>
      </xdr:nvSpPr>
      <xdr:spPr>
        <a:xfrm>
          <a:off x="624841" y="22915245"/>
          <a:ext cx="937260" cy="640080"/>
        </a:xfrm>
        <a:prstGeom prst="rect">
          <a:avLst/>
        </a:prstGeom>
        <a:gradFill>
          <a:gsLst>
            <a:gs pos="0">
              <a:srgbClr val="00B050"/>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1</xdr:col>
      <xdr:colOff>1704974</xdr:colOff>
      <xdr:row>122</xdr:row>
      <xdr:rowOff>104775</xdr:rowOff>
    </xdr:from>
    <xdr:to>
      <xdr:col>3</xdr:col>
      <xdr:colOff>24764</xdr:colOff>
      <xdr:row>126</xdr:row>
      <xdr:rowOff>20955</xdr:rowOff>
    </xdr:to>
    <xdr:sp macro="" textlink="">
      <xdr:nvSpPr>
        <xdr:cNvPr id="39" name="Rectangle 38">
          <a:extLst>
            <a:ext uri="{FF2B5EF4-FFF2-40B4-BE49-F238E27FC236}">
              <a16:creationId xmlns:a16="http://schemas.microsoft.com/office/drawing/2014/main" id="{BD809FDB-7DF0-47CA-B7BE-2F09D78DEAD9}"/>
            </a:ext>
          </a:extLst>
        </xdr:cNvPr>
        <xdr:cNvSpPr/>
      </xdr:nvSpPr>
      <xdr:spPr>
        <a:xfrm>
          <a:off x="2314574" y="22879050"/>
          <a:ext cx="672465" cy="640080"/>
        </a:xfrm>
        <a:prstGeom prst="rect">
          <a:avLst/>
        </a:prstGeom>
        <a:solidFill>
          <a:schemeClr val="accent1">
            <a:alpha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3</xdr:col>
      <xdr:colOff>573405</xdr:colOff>
      <xdr:row>122</xdr:row>
      <xdr:rowOff>91440</xdr:rowOff>
    </xdr:from>
    <xdr:to>
      <xdr:col>5</xdr:col>
      <xdr:colOff>19050</xdr:colOff>
      <xdr:row>126</xdr:row>
      <xdr:rowOff>11430</xdr:rowOff>
    </xdr:to>
    <xdr:sp macro="" textlink="">
      <xdr:nvSpPr>
        <xdr:cNvPr id="40" name="Rectangle 39">
          <a:extLst>
            <a:ext uri="{FF2B5EF4-FFF2-40B4-BE49-F238E27FC236}">
              <a16:creationId xmlns:a16="http://schemas.microsoft.com/office/drawing/2014/main" id="{AB9D822E-7390-4E63-B2CC-CDDAF0433A1C}"/>
            </a:ext>
          </a:extLst>
        </xdr:cNvPr>
        <xdr:cNvSpPr/>
      </xdr:nvSpPr>
      <xdr:spPr>
        <a:xfrm>
          <a:off x="3011805" y="5524500"/>
          <a:ext cx="661035" cy="643890"/>
        </a:xfrm>
        <a:prstGeom prst="rect">
          <a:avLst/>
        </a:prstGeom>
        <a:blipFill>
          <a:blip xmlns:r="http://schemas.openxmlformats.org/officeDocument/2006/relationships" r:embed="rId27"/>
          <a:tile tx="0" ty="0" sx="100000" sy="100000" flip="none" algn="tl"/>
        </a:bli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xdr:from>
      <xdr:col>5</xdr:col>
      <xdr:colOff>598170</xdr:colOff>
      <xdr:row>122</xdr:row>
      <xdr:rowOff>102870</xdr:rowOff>
    </xdr:from>
    <xdr:to>
      <xdr:col>7</xdr:col>
      <xdr:colOff>53340</xdr:colOff>
      <xdr:row>126</xdr:row>
      <xdr:rowOff>15240</xdr:rowOff>
    </xdr:to>
    <xdr:sp macro="" textlink="">
      <xdr:nvSpPr>
        <xdr:cNvPr id="41" name="Rectangle 40">
          <a:extLst>
            <a:ext uri="{FF2B5EF4-FFF2-40B4-BE49-F238E27FC236}">
              <a16:creationId xmlns:a16="http://schemas.microsoft.com/office/drawing/2014/main" id="{0AC8F3A0-A16B-41F5-A0C6-5590B4414410}"/>
            </a:ext>
          </a:extLst>
        </xdr:cNvPr>
        <xdr:cNvSpPr/>
      </xdr:nvSpPr>
      <xdr:spPr>
        <a:xfrm>
          <a:off x="4253865" y="5530215"/>
          <a:ext cx="680085" cy="641985"/>
        </a:xfrm>
        <a:prstGeom prst="rect">
          <a:avLst/>
        </a:prstGeom>
        <a:pattFill prst="pct90">
          <a:fgClr>
            <a:schemeClr val="accent1"/>
          </a:fgClr>
          <a:bgClr>
            <a:schemeClr val="bg1"/>
          </a:bgClr>
        </a:patt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13</xdr:col>
      <xdr:colOff>571500</xdr:colOff>
      <xdr:row>120</xdr:row>
      <xdr:rowOff>114300</xdr:rowOff>
    </xdr:from>
    <xdr:to>
      <xdr:col>22</xdr:col>
      <xdr:colOff>320770</xdr:colOff>
      <xdr:row>127</xdr:row>
      <xdr:rowOff>36361</xdr:rowOff>
    </xdr:to>
    <xdr:pic>
      <xdr:nvPicPr>
        <xdr:cNvPr id="42" name="Picture 41">
          <a:extLst>
            <a:ext uri="{FF2B5EF4-FFF2-40B4-BE49-F238E27FC236}">
              <a16:creationId xmlns:a16="http://schemas.microsoft.com/office/drawing/2014/main" id="{CC6E9774-91AD-6828-DF36-3E5C6C1C7508}"/>
            </a:ext>
          </a:extLst>
        </xdr:cNvPr>
        <xdr:cNvPicPr>
          <a:picLocks noChangeAspect="1"/>
        </xdr:cNvPicPr>
      </xdr:nvPicPr>
      <xdr:blipFill>
        <a:blip xmlns:r="http://schemas.openxmlformats.org/officeDocument/2006/relationships" r:embed="rId28"/>
        <a:stretch>
          <a:fillRect/>
        </a:stretch>
      </xdr:blipFill>
      <xdr:spPr>
        <a:xfrm>
          <a:off x="9629775" y="22526625"/>
          <a:ext cx="5231860" cy="1188886"/>
        </a:xfrm>
        <a:prstGeom prst="rect">
          <a:avLst/>
        </a:prstGeom>
      </xdr:spPr>
    </xdr:pic>
    <xdr:clientData/>
  </xdr:twoCellAnchor>
  <xdr:oneCellAnchor>
    <xdr:from>
      <xdr:col>0</xdr:col>
      <xdr:colOff>590550</xdr:colOff>
      <xdr:row>134</xdr:row>
      <xdr:rowOff>167640</xdr:rowOff>
    </xdr:from>
    <xdr:ext cx="882723" cy="824865"/>
    <xdr:pic>
      <xdr:nvPicPr>
        <xdr:cNvPr id="43" name="Picture 42">
          <a:extLst>
            <a:ext uri="{FF2B5EF4-FFF2-40B4-BE49-F238E27FC236}">
              <a16:creationId xmlns:a16="http://schemas.microsoft.com/office/drawing/2014/main" id="{A0BC9545-1DCC-47B3-B870-B665439936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586740" y="10306050"/>
          <a:ext cx="882723" cy="82486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xdr:col>
      <xdr:colOff>1720215</xdr:colOff>
      <xdr:row>135</xdr:row>
      <xdr:rowOff>28575</xdr:rowOff>
    </xdr:from>
    <xdr:ext cx="877008" cy="834390"/>
    <xdr:pic>
      <xdr:nvPicPr>
        <xdr:cNvPr id="44" name="Picture 43">
          <a:extLst>
            <a:ext uri="{FF2B5EF4-FFF2-40B4-BE49-F238E27FC236}">
              <a16:creationId xmlns:a16="http://schemas.microsoft.com/office/drawing/2014/main" id="{CCD6C967-664B-410E-AD1E-BE8D663297CD}"/>
            </a:ext>
          </a:extLst>
        </xdr:cNvPr>
        <xdr:cNvPicPr>
          <a:picLocks noChangeAspect="1" noChangeArrowheads="1"/>
        </xdr:cNvPicPr>
      </xdr:nvPicPr>
      <xdr:blipFill>
        <a:blip xmlns:r="http://schemas.openxmlformats.org/officeDocument/2006/relationships" r:embed="rId29">
          <a:extLst>
            <a:ext uri="{BEBA8EAE-BF5A-486C-A8C5-ECC9F3942E4B}">
              <a14:imgProps xmlns:a14="http://schemas.microsoft.com/office/drawing/2010/main">
                <a14:imgLayer r:embed="rId30">
                  <a14:imgEffect>
                    <a14:brightnessContrast bright="40000" contrast="40000"/>
                  </a14:imgEffect>
                </a14:imgLayer>
              </a14:imgProps>
            </a:ext>
            <a:ext uri="{28A0092B-C50C-407E-A947-70E740481C1C}">
              <a14:useLocalDpi xmlns:a14="http://schemas.microsoft.com/office/drawing/2010/main" val="0"/>
            </a:ext>
          </a:extLst>
        </a:blip>
        <a:srcRect/>
        <a:stretch>
          <a:fillRect/>
        </a:stretch>
      </xdr:blipFill>
      <xdr:spPr bwMode="auto">
        <a:xfrm>
          <a:off x="2329815" y="25155525"/>
          <a:ext cx="877008" cy="83439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3</xdr:col>
      <xdr:colOff>571500</xdr:colOff>
      <xdr:row>134</xdr:row>
      <xdr:rowOff>110490</xdr:rowOff>
    </xdr:from>
    <xdr:ext cx="896058" cy="828675"/>
    <xdr:pic>
      <xdr:nvPicPr>
        <xdr:cNvPr id="45" name="Picture 44">
          <a:extLst>
            <a:ext uri="{FF2B5EF4-FFF2-40B4-BE49-F238E27FC236}">
              <a16:creationId xmlns:a16="http://schemas.microsoft.com/office/drawing/2014/main" id="{E11A3A83-3658-4508-AC60-AF240AD47824}"/>
            </a:ext>
          </a:extLst>
        </xdr:cNvPr>
        <xdr:cNvPicPr>
          <a:picLocks noChangeAspect="1" noChangeArrowheads="1"/>
        </xdr:cNvPicPr>
      </xdr:nvPicPr>
      <xdr:blipFill>
        <a:blip xmlns:r="http://schemas.openxmlformats.org/officeDocument/2006/relationships" r:embed="rId29">
          <a:alphaModFix amt="50000"/>
          <a:extLst>
            <a:ext uri="{BEBA8EAE-BF5A-486C-A8C5-ECC9F3942E4B}">
              <a14:imgProps xmlns:a14="http://schemas.microsoft.com/office/drawing/2010/main">
                <a14:imgLayer r:embed="rId30">
                  <a14:imgEffect>
                    <a14:brightnessContrast bright="40000" contrast="40000"/>
                  </a14:imgEffect>
                </a14:imgLayer>
              </a14:imgProps>
            </a:ext>
            <a:ext uri="{28A0092B-C50C-407E-A947-70E740481C1C}">
              <a14:useLocalDpi xmlns:a14="http://schemas.microsoft.com/office/drawing/2010/main" val="0"/>
            </a:ext>
          </a:extLst>
        </a:blip>
        <a:srcRect/>
        <a:stretch>
          <a:fillRect/>
        </a:stretch>
      </xdr:blipFill>
      <xdr:spPr bwMode="auto">
        <a:xfrm>
          <a:off x="3619500" y="10245090"/>
          <a:ext cx="896058" cy="82867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5</xdr:col>
      <xdr:colOff>590550</xdr:colOff>
      <xdr:row>134</xdr:row>
      <xdr:rowOff>142875</xdr:rowOff>
    </xdr:from>
    <xdr:ext cx="882723" cy="819150"/>
    <xdr:pic>
      <xdr:nvPicPr>
        <xdr:cNvPr id="46" name="Picture 45">
          <a:extLst>
            <a:ext uri="{FF2B5EF4-FFF2-40B4-BE49-F238E27FC236}">
              <a16:creationId xmlns:a16="http://schemas.microsoft.com/office/drawing/2014/main" id="{5D954B21-EA3A-43A0-9913-788B1ED03AC6}"/>
            </a:ext>
          </a:extLst>
        </xdr:cNvPr>
        <xdr:cNvPicPr>
          <a:picLocks noChangeAspect="1" noChangeArrowheads="1"/>
        </xdr:cNvPicPr>
      </xdr:nvPicPr>
      <xdr:blipFill>
        <a:blip xmlns:r="http://schemas.openxmlformats.org/officeDocument/2006/relationships" r:embed="rId21">
          <a:duotone>
            <a:prstClr val="black"/>
            <a:schemeClr val="accent2">
              <a:tint val="45000"/>
              <a:satMod val="400000"/>
            </a:schemeClr>
          </a:duotone>
          <a:extLst>
            <a:ext uri="{28A0092B-C50C-407E-A947-70E740481C1C}">
              <a14:useLocalDpi xmlns:a14="http://schemas.microsoft.com/office/drawing/2010/main" val="0"/>
            </a:ext>
          </a:extLst>
        </a:blip>
        <a:srcRect/>
        <a:stretch>
          <a:fillRect/>
        </a:stretch>
      </xdr:blipFill>
      <xdr:spPr bwMode="auto">
        <a:xfrm>
          <a:off x="4853940" y="10275570"/>
          <a:ext cx="882723" cy="8191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7</xdr:col>
      <xdr:colOff>542925</xdr:colOff>
      <xdr:row>134</xdr:row>
      <xdr:rowOff>133350</xdr:rowOff>
    </xdr:from>
    <xdr:ext cx="884628" cy="832485"/>
    <xdr:pic>
      <xdr:nvPicPr>
        <xdr:cNvPr id="47" name="Picture 46">
          <a:extLst>
            <a:ext uri="{FF2B5EF4-FFF2-40B4-BE49-F238E27FC236}">
              <a16:creationId xmlns:a16="http://schemas.microsoft.com/office/drawing/2014/main" id="{529D7C67-6698-49B9-9D55-89286ED91C8D}"/>
            </a:ext>
          </a:extLst>
        </xdr:cNvPr>
        <xdr:cNvPicPr>
          <a:picLocks noChangeAspect="1" noChangeArrowheads="1"/>
        </xdr:cNvPicPr>
      </xdr:nvPicPr>
      <xdr:blipFill>
        <a:blip xmlns:r="http://schemas.openxmlformats.org/officeDocument/2006/relationships" r:embed="rId21">
          <a:clrChange>
            <a:clrFrom>
              <a:srgbClr val="107C41"/>
            </a:clrFrom>
            <a:clrTo>
              <a:srgbClr val="107C41">
                <a:alpha val="0"/>
              </a:srgbClr>
            </a:clrTo>
          </a:clrChange>
          <a:extLst>
            <a:ext uri="{28A0092B-C50C-407E-A947-70E740481C1C}">
              <a14:useLocalDpi xmlns:a14="http://schemas.microsoft.com/office/drawing/2010/main" val="0"/>
            </a:ext>
          </a:extLst>
        </a:blip>
        <a:srcRect/>
        <a:stretch>
          <a:fillRect/>
        </a:stretch>
      </xdr:blipFill>
      <xdr:spPr bwMode="auto">
        <a:xfrm>
          <a:off x="6031230" y="10264140"/>
          <a:ext cx="884628" cy="832485"/>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oneCellAnchor>
    <xdr:from>
      <xdr:col>10</xdr:col>
      <xdr:colOff>310515</xdr:colOff>
      <xdr:row>134</xdr:row>
      <xdr:rowOff>160020</xdr:rowOff>
    </xdr:from>
    <xdr:ext cx="888438" cy="821055"/>
    <xdr:pic>
      <xdr:nvPicPr>
        <xdr:cNvPr id="48" name="Picture 47">
          <a:extLst>
            <a:ext uri="{FF2B5EF4-FFF2-40B4-BE49-F238E27FC236}">
              <a16:creationId xmlns:a16="http://schemas.microsoft.com/office/drawing/2014/main" id="{9ACA469F-56E3-44A1-A855-1FC621CF35A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7627620" y="10296525"/>
          <a:ext cx="888438" cy="821055"/>
        </a:xfrm>
        <a:prstGeom prst="ellipse">
          <a:avLst/>
        </a:prstGeom>
        <a:ln w="190500" cap="rnd">
          <a:solidFill>
            <a:srgbClr val="C8C6BD"/>
          </a:solidFill>
          <a:prstDash val="solid"/>
        </a:ln>
        <a:effectLst>
          <a:outerShdw blurRad="127000" algn="bl" rotWithShape="0">
            <a:srgbClr val="000000"/>
          </a:outerShdw>
        </a:effectLst>
        <a:scene3d>
          <a:camera prst="perspectiveFront" fov="5400000"/>
          <a:lightRig rig="threePt" dir="t">
            <a:rot lat="0" lon="0" rev="19200000"/>
          </a:lightRig>
        </a:scene3d>
        <a:sp3d extrusionH="25400">
          <a:bevelT w="304800" h="152400" prst="hardEdge"/>
          <a:extrusionClr>
            <a:srgbClr val="000000"/>
          </a:extrusionClr>
        </a:sp3d>
        <a:extLst>
          <a:ext uri="{909E8E84-426E-40DD-AFC4-6F175D3DCCD1}">
            <a14:hiddenFill xmlns:a14="http://schemas.microsoft.com/office/drawing/2010/main">
              <a:solidFill>
                <a:srgbClr val="FFFFFF"/>
              </a:solidFill>
            </a14:hiddenFill>
          </a:ext>
        </a:extLst>
      </xdr:spPr>
    </xdr:pic>
    <xdr:clientData/>
  </xdr:oneCellAnchor>
  <xdr:oneCellAnchor>
    <xdr:from>
      <xdr:col>12</xdr:col>
      <xdr:colOff>230505</xdr:colOff>
      <xdr:row>134</xdr:row>
      <xdr:rowOff>173355</xdr:rowOff>
    </xdr:from>
    <xdr:ext cx="871293" cy="830580"/>
    <xdr:pic>
      <xdr:nvPicPr>
        <xdr:cNvPr id="49" name="Picture 48">
          <a:extLst>
            <a:ext uri="{FF2B5EF4-FFF2-40B4-BE49-F238E27FC236}">
              <a16:creationId xmlns:a16="http://schemas.microsoft.com/office/drawing/2014/main" id="{92804B5F-8074-445C-89B2-6AE2AC5C04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8764905" y="10304145"/>
          <a:ext cx="871293" cy="830580"/>
        </a:xfrm>
        <a:prstGeom prst="rect">
          <a:avLst/>
        </a:prstGeom>
        <a:ln>
          <a:noFill/>
        </a:ln>
        <a:effectLst>
          <a:outerShdw blurRad="190500" algn="tl" rotWithShape="0">
            <a:srgbClr val="000000">
              <a:alpha val="70000"/>
            </a:srgbClr>
          </a:outerShdw>
        </a:effectLst>
        <a:extLst>
          <a:ext uri="{909E8E84-426E-40DD-AFC4-6F175D3DCCD1}">
            <a14:hiddenFill xmlns:a14="http://schemas.microsoft.com/office/drawing/2010/main">
              <a:solidFill>
                <a:srgbClr val="FFFFFF"/>
              </a:solidFill>
            </a14:hiddenFill>
          </a:ext>
        </a:extLst>
      </xdr:spPr>
    </xdr:pic>
    <xdr:clientData/>
  </xdr:oneCellAnchor>
  <xdr:oneCellAnchor>
    <xdr:from>
      <xdr:col>14</xdr:col>
      <xdr:colOff>85725</xdr:colOff>
      <xdr:row>135</xdr:row>
      <xdr:rowOff>0</xdr:rowOff>
    </xdr:from>
    <xdr:ext cx="884628" cy="817245"/>
    <xdr:pic>
      <xdr:nvPicPr>
        <xdr:cNvPr id="50" name="Picture 49">
          <a:extLst>
            <a:ext uri="{FF2B5EF4-FFF2-40B4-BE49-F238E27FC236}">
              <a16:creationId xmlns:a16="http://schemas.microsoft.com/office/drawing/2014/main" id="{D64A5CF4-B19D-4BD5-AC07-C5A4B21508B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9841230" y="10315575"/>
          <a:ext cx="884628" cy="817245"/>
        </a:xfrm>
        <a:prstGeom prst="ellipse">
          <a:avLst/>
        </a:prstGeom>
        <a:ln>
          <a:noFill/>
        </a:ln>
        <a:effectLst>
          <a:softEdge rad="112500"/>
        </a:effectLst>
        <a:extLst>
          <a:ext uri="{909E8E84-426E-40DD-AFC4-6F175D3DCCD1}">
            <a14:hiddenFill xmlns:a14="http://schemas.microsoft.com/office/drawing/2010/main">
              <a:solidFill>
                <a:srgbClr val="FFFFFF"/>
              </a:solidFill>
            </a14:hiddenFill>
          </a:ext>
        </a:extLst>
      </xdr:spPr>
    </xdr:pic>
    <xdr:clientData/>
  </xdr:oneCellAnchor>
</xdr:wsDr>
</file>

<file path=xl/drawings/drawing6.xml><?xml version="1.0" encoding="utf-8"?>
<xdr:wsDr xmlns:xdr="http://schemas.openxmlformats.org/drawingml/2006/spreadsheetDrawing" xmlns:a="http://schemas.openxmlformats.org/drawingml/2006/main">
  <xdr:twoCellAnchor>
    <xdr:from>
      <xdr:col>6</xdr:col>
      <xdr:colOff>381000</xdr:colOff>
      <xdr:row>4</xdr:row>
      <xdr:rowOff>111442</xdr:rowOff>
    </xdr:from>
    <xdr:to>
      <xdr:col>14</xdr:col>
      <xdr:colOff>76200</xdr:colOff>
      <xdr:row>19</xdr:row>
      <xdr:rowOff>136207</xdr:rowOff>
    </xdr:to>
    <xdr:graphicFrame macro="">
      <xdr:nvGraphicFramePr>
        <xdr:cNvPr id="2" name="Chart 1">
          <a:extLst>
            <a:ext uri="{FF2B5EF4-FFF2-40B4-BE49-F238E27FC236}">
              <a16:creationId xmlns:a16="http://schemas.microsoft.com/office/drawing/2014/main" id="{2C4B0DE9-C1F7-C3E5-2C05-596DB4549F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xdr:row>
      <xdr:rowOff>123825</xdr:rowOff>
    </xdr:from>
    <xdr:to>
      <xdr:col>21</xdr:col>
      <xdr:colOff>447675</xdr:colOff>
      <xdr:row>19</xdr:row>
      <xdr:rowOff>140970</xdr:rowOff>
    </xdr:to>
    <xdr:graphicFrame macro="">
      <xdr:nvGraphicFramePr>
        <xdr:cNvPr id="3" name="Chart 2">
          <a:extLst>
            <a:ext uri="{FF2B5EF4-FFF2-40B4-BE49-F238E27FC236}">
              <a16:creationId xmlns:a16="http://schemas.microsoft.com/office/drawing/2014/main" id="{85E7FA7F-DB0B-408C-8C8C-53FA27701B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390525</xdr:colOff>
      <xdr:row>20</xdr:row>
      <xdr:rowOff>85725</xdr:rowOff>
    </xdr:from>
    <xdr:to>
      <xdr:col>14</xdr:col>
      <xdr:colOff>85725</xdr:colOff>
      <xdr:row>35</xdr:row>
      <xdr:rowOff>102870</xdr:rowOff>
    </xdr:to>
    <xdr:graphicFrame macro="">
      <xdr:nvGraphicFramePr>
        <xdr:cNvPr id="5" name="Chart 4">
          <a:extLst>
            <a:ext uri="{FF2B5EF4-FFF2-40B4-BE49-F238E27FC236}">
              <a16:creationId xmlns:a16="http://schemas.microsoft.com/office/drawing/2014/main" id="{E2DC0901-289F-4C69-8575-132BD957C6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142875</xdr:colOff>
      <xdr:row>20</xdr:row>
      <xdr:rowOff>104775</xdr:rowOff>
    </xdr:from>
    <xdr:to>
      <xdr:col>21</xdr:col>
      <xdr:colOff>447675</xdr:colOff>
      <xdr:row>35</xdr:row>
      <xdr:rowOff>121920</xdr:rowOff>
    </xdr:to>
    <xdr:graphicFrame macro="">
      <xdr:nvGraphicFramePr>
        <xdr:cNvPr id="6" name="Chart 5">
          <a:extLst>
            <a:ext uri="{FF2B5EF4-FFF2-40B4-BE49-F238E27FC236}">
              <a16:creationId xmlns:a16="http://schemas.microsoft.com/office/drawing/2014/main" id="{0863A4AD-6E31-4872-A556-BAB788CA4C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523875</xdr:colOff>
      <xdr:row>20</xdr:row>
      <xdr:rowOff>104775</xdr:rowOff>
    </xdr:from>
    <xdr:to>
      <xdr:col>29</xdr:col>
      <xdr:colOff>219075</xdr:colOff>
      <xdr:row>35</xdr:row>
      <xdr:rowOff>121920</xdr:rowOff>
    </xdr:to>
    <xdr:graphicFrame macro="">
      <xdr:nvGraphicFramePr>
        <xdr:cNvPr id="7" name="Chart 6">
          <a:extLst>
            <a:ext uri="{FF2B5EF4-FFF2-40B4-BE49-F238E27FC236}">
              <a16:creationId xmlns:a16="http://schemas.microsoft.com/office/drawing/2014/main" id="{0A82DDBD-DAB0-4B41-96B3-796DAFBA8A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390525</xdr:colOff>
      <xdr:row>39</xdr:row>
      <xdr:rowOff>42182</xdr:rowOff>
    </xdr:from>
    <xdr:to>
      <xdr:col>14</xdr:col>
      <xdr:colOff>85725</xdr:colOff>
      <xdr:row>54</xdr:row>
      <xdr:rowOff>59327</xdr:rowOff>
    </xdr:to>
    <xdr:graphicFrame macro="">
      <xdr:nvGraphicFramePr>
        <xdr:cNvPr id="8" name="Chart 7">
          <a:extLst>
            <a:ext uri="{FF2B5EF4-FFF2-40B4-BE49-F238E27FC236}">
              <a16:creationId xmlns:a16="http://schemas.microsoft.com/office/drawing/2014/main" id="{1AE25434-7FE5-4F3D-8ADC-2F9A421C34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161925</xdr:colOff>
      <xdr:row>39</xdr:row>
      <xdr:rowOff>70757</xdr:rowOff>
    </xdr:from>
    <xdr:to>
      <xdr:col>21</xdr:col>
      <xdr:colOff>466725</xdr:colOff>
      <xdr:row>54</xdr:row>
      <xdr:rowOff>87902</xdr:rowOff>
    </xdr:to>
    <xdr:graphicFrame macro="">
      <xdr:nvGraphicFramePr>
        <xdr:cNvPr id="9" name="Chart 8">
          <a:extLst>
            <a:ext uri="{FF2B5EF4-FFF2-40B4-BE49-F238E27FC236}">
              <a16:creationId xmlns:a16="http://schemas.microsoft.com/office/drawing/2014/main" id="{E2D7D2FF-3447-48E6-9919-390F314355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485775</xdr:colOff>
      <xdr:row>54</xdr:row>
      <xdr:rowOff>89807</xdr:rowOff>
    </xdr:from>
    <xdr:to>
      <xdr:col>14</xdr:col>
      <xdr:colOff>180975</xdr:colOff>
      <xdr:row>69</xdr:row>
      <xdr:rowOff>106952</xdr:rowOff>
    </xdr:to>
    <xdr:graphicFrame macro="">
      <xdr:nvGraphicFramePr>
        <xdr:cNvPr id="10" name="Chart 9">
          <a:extLst>
            <a:ext uri="{FF2B5EF4-FFF2-40B4-BE49-F238E27FC236}">
              <a16:creationId xmlns:a16="http://schemas.microsoft.com/office/drawing/2014/main" id="{B2DB1EEF-F116-4C26-AAB1-AF2AE88255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257175</xdr:colOff>
      <xdr:row>54</xdr:row>
      <xdr:rowOff>114572</xdr:rowOff>
    </xdr:from>
    <xdr:to>
      <xdr:col>21</xdr:col>
      <xdr:colOff>561975</xdr:colOff>
      <xdr:row>69</xdr:row>
      <xdr:rowOff>139337</xdr:rowOff>
    </xdr:to>
    <xdr:graphicFrame macro="">
      <xdr:nvGraphicFramePr>
        <xdr:cNvPr id="11" name="Chart 10">
          <a:extLst>
            <a:ext uri="{FF2B5EF4-FFF2-40B4-BE49-F238E27FC236}">
              <a16:creationId xmlns:a16="http://schemas.microsoft.com/office/drawing/2014/main" id="{C5ADD663-49D7-4331-913C-D0D01B1526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35387</xdr:colOff>
      <xdr:row>126</xdr:row>
      <xdr:rowOff>106233</xdr:rowOff>
    </xdr:from>
    <xdr:to>
      <xdr:col>14</xdr:col>
      <xdr:colOff>340187</xdr:colOff>
      <xdr:row>141</xdr:row>
      <xdr:rowOff>110994</xdr:rowOff>
    </xdr:to>
    <xdr:graphicFrame macro="">
      <xdr:nvGraphicFramePr>
        <xdr:cNvPr id="14" name="Chart 13">
          <a:extLst>
            <a:ext uri="{FF2B5EF4-FFF2-40B4-BE49-F238E27FC236}">
              <a16:creationId xmlns:a16="http://schemas.microsoft.com/office/drawing/2014/main" id="{14ECD9E6-F9B3-A614-6758-CE24E861C40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27709</xdr:colOff>
      <xdr:row>181</xdr:row>
      <xdr:rowOff>154178</xdr:rowOff>
    </xdr:from>
    <xdr:to>
      <xdr:col>14</xdr:col>
      <xdr:colOff>354513</xdr:colOff>
      <xdr:row>196</xdr:row>
      <xdr:rowOff>175131</xdr:rowOff>
    </xdr:to>
    <mc:AlternateContent xmlns:mc="http://schemas.openxmlformats.org/markup-compatibility/2006">
      <mc:Choice xmlns:cx1="http://schemas.microsoft.com/office/drawing/2015/9/8/chartex" Requires="cx1">
        <xdr:graphicFrame macro="">
          <xdr:nvGraphicFramePr>
            <xdr:cNvPr id="15" name="Chart 14">
              <a:extLst>
                <a:ext uri="{FF2B5EF4-FFF2-40B4-BE49-F238E27FC236}">
                  <a16:creationId xmlns:a16="http://schemas.microsoft.com/office/drawing/2014/main" id="{A86D34C9-9E76-8A47-08EF-6DFBFA36E71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4569229" y="33301178"/>
              <a:ext cx="4594004" cy="276415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14</xdr:col>
      <xdr:colOff>522098</xdr:colOff>
      <xdr:row>181</xdr:row>
      <xdr:rowOff>157300</xdr:rowOff>
    </xdr:from>
    <xdr:to>
      <xdr:col>22</xdr:col>
      <xdr:colOff>217298</xdr:colOff>
      <xdr:row>197</xdr:row>
      <xdr:rowOff>9576</xdr:rowOff>
    </xdr:to>
    <mc:AlternateContent xmlns:mc="http://schemas.openxmlformats.org/markup-compatibility/2006">
      <mc:Choice xmlns:cx2="http://schemas.microsoft.com/office/drawing/2015/10/21/chartex" Requires="cx2">
        <xdr:graphicFrame macro="">
          <xdr:nvGraphicFramePr>
            <xdr:cNvPr id="17" name="Chart 16">
              <a:extLst>
                <a:ext uri="{FF2B5EF4-FFF2-40B4-BE49-F238E27FC236}">
                  <a16:creationId xmlns:a16="http://schemas.microsoft.com/office/drawing/2014/main" id="{8450155D-BB1B-E530-C745-9B5FE105B3F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9330818" y="33304300"/>
              <a:ext cx="4617720" cy="2778356"/>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14095</xdr:colOff>
      <xdr:row>144</xdr:row>
      <xdr:rowOff>108464</xdr:rowOff>
    </xdr:from>
    <xdr:to>
      <xdr:col>14</xdr:col>
      <xdr:colOff>318895</xdr:colOff>
      <xdr:row>159</xdr:row>
      <xdr:rowOff>129419</xdr:rowOff>
    </xdr:to>
    <xdr:graphicFrame macro="">
      <xdr:nvGraphicFramePr>
        <xdr:cNvPr id="18" name="Chart 17">
          <a:extLst>
            <a:ext uri="{FF2B5EF4-FFF2-40B4-BE49-F238E27FC236}">
              <a16:creationId xmlns:a16="http://schemas.microsoft.com/office/drawing/2014/main" id="{FEC86DC5-D319-0DAB-B3F6-747EA7F3F4D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6</xdr:col>
      <xdr:colOff>577426</xdr:colOff>
      <xdr:row>197</xdr:row>
      <xdr:rowOff>21313</xdr:rowOff>
    </xdr:from>
    <xdr:to>
      <xdr:col>14</xdr:col>
      <xdr:colOff>272626</xdr:colOff>
      <xdr:row>212</xdr:row>
      <xdr:rowOff>42267</xdr:rowOff>
    </xdr:to>
    <mc:AlternateContent xmlns:mc="http://schemas.openxmlformats.org/markup-compatibility/2006">
      <mc:Choice xmlns:cx1="http://schemas.microsoft.com/office/drawing/2015/9/8/chartex" Requires="cx1">
        <xdr:graphicFrame macro="">
          <xdr:nvGraphicFramePr>
            <xdr:cNvPr id="19" name="Chart 18">
              <a:extLst>
                <a:ext uri="{FF2B5EF4-FFF2-40B4-BE49-F238E27FC236}">
                  <a16:creationId xmlns:a16="http://schemas.microsoft.com/office/drawing/2014/main" id="{EF4714B6-9F66-95BB-C805-8F36A2EC92B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4509346" y="36094393"/>
              <a:ext cx="4572000" cy="2764154"/>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14</xdr:col>
      <xdr:colOff>398289</xdr:colOff>
      <xdr:row>163</xdr:row>
      <xdr:rowOff>50027</xdr:rowOff>
    </xdr:from>
    <xdr:to>
      <xdr:col>22</xdr:col>
      <xdr:colOff>93489</xdr:colOff>
      <xdr:row>178</xdr:row>
      <xdr:rowOff>65217</xdr:rowOff>
    </xdr:to>
    <mc:AlternateContent xmlns:mc="http://schemas.openxmlformats.org/markup-compatibility/2006">
      <mc:Choice xmlns:cx1="http://schemas.microsoft.com/office/drawing/2015/9/8/chartex" Requires="cx1">
        <xdr:graphicFrame macro="">
          <xdr:nvGraphicFramePr>
            <xdr:cNvPr id="23" name="Chart 22">
              <a:extLst>
                <a:ext uri="{FF2B5EF4-FFF2-40B4-BE49-F238E27FC236}">
                  <a16:creationId xmlns:a16="http://schemas.microsoft.com/office/drawing/2014/main" id="{A0D897C1-2217-4741-B89D-35BEA70BCF9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9207009" y="29905187"/>
              <a:ext cx="4617720" cy="275839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520041</xdr:colOff>
      <xdr:row>163</xdr:row>
      <xdr:rowOff>58373</xdr:rowOff>
    </xdr:from>
    <xdr:to>
      <xdr:col>14</xdr:col>
      <xdr:colOff>215241</xdr:colOff>
      <xdr:row>178</xdr:row>
      <xdr:rowOff>83138</xdr:rowOff>
    </xdr:to>
    <mc:AlternateContent xmlns:mc="http://schemas.openxmlformats.org/markup-compatibility/2006">
      <mc:Choice xmlns:cx1="http://schemas.microsoft.com/office/drawing/2015/9/8/chartex" Requires="cx1">
        <xdr:graphicFrame macro="">
          <xdr:nvGraphicFramePr>
            <xdr:cNvPr id="26" name="Chart 25">
              <a:extLst>
                <a:ext uri="{FF2B5EF4-FFF2-40B4-BE49-F238E27FC236}">
                  <a16:creationId xmlns:a16="http://schemas.microsoft.com/office/drawing/2014/main" id="{5FC88F1D-6FA4-DB35-F787-E94D1645846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4451961" y="29913533"/>
              <a:ext cx="4572000" cy="276796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6</xdr:col>
      <xdr:colOff>479379</xdr:colOff>
      <xdr:row>73</xdr:row>
      <xdr:rowOff>32656</xdr:rowOff>
    </xdr:from>
    <xdr:to>
      <xdr:col>14</xdr:col>
      <xdr:colOff>174579</xdr:colOff>
      <xdr:row>88</xdr:row>
      <xdr:rowOff>51842</xdr:rowOff>
    </xdr:to>
    <xdr:graphicFrame macro="">
      <xdr:nvGraphicFramePr>
        <xdr:cNvPr id="29" name="Chart 28">
          <a:extLst>
            <a:ext uri="{FF2B5EF4-FFF2-40B4-BE49-F238E27FC236}">
              <a16:creationId xmlns:a16="http://schemas.microsoft.com/office/drawing/2014/main" id="{747E4792-992C-FD5E-D3C4-260203DE4F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22</xdr:col>
      <xdr:colOff>9524</xdr:colOff>
      <xdr:row>73</xdr:row>
      <xdr:rowOff>57149</xdr:rowOff>
    </xdr:from>
    <xdr:to>
      <xdr:col>29</xdr:col>
      <xdr:colOff>314324</xdr:colOff>
      <xdr:row>88</xdr:row>
      <xdr:rowOff>74295</xdr:rowOff>
    </xdr:to>
    <xdr:graphicFrame macro="">
      <xdr:nvGraphicFramePr>
        <xdr:cNvPr id="32" name="Chart 31">
          <a:extLst>
            <a:ext uri="{FF2B5EF4-FFF2-40B4-BE49-F238E27FC236}">
              <a16:creationId xmlns:a16="http://schemas.microsoft.com/office/drawing/2014/main" id="{FDD4CD27-DB61-4556-A2E4-CCBFD4F0C0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14</xdr:col>
      <xdr:colOff>251732</xdr:colOff>
      <xdr:row>73</xdr:row>
      <xdr:rowOff>14968</xdr:rowOff>
    </xdr:from>
    <xdr:to>
      <xdr:col>21</xdr:col>
      <xdr:colOff>556532</xdr:colOff>
      <xdr:row>88</xdr:row>
      <xdr:rowOff>34018</xdr:rowOff>
    </xdr:to>
    <xdr:graphicFrame macro="">
      <xdr:nvGraphicFramePr>
        <xdr:cNvPr id="33" name="Chart 32">
          <a:extLst>
            <a:ext uri="{FF2B5EF4-FFF2-40B4-BE49-F238E27FC236}">
              <a16:creationId xmlns:a16="http://schemas.microsoft.com/office/drawing/2014/main" id="{3DD592B1-6D80-430F-B194-23814E89A0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7</xdr:col>
      <xdr:colOff>21907</xdr:colOff>
      <xdr:row>366</xdr:row>
      <xdr:rowOff>136207</xdr:rowOff>
    </xdr:from>
    <xdr:to>
      <xdr:col>14</xdr:col>
      <xdr:colOff>421957</xdr:colOff>
      <xdr:row>381</xdr:row>
      <xdr:rowOff>155257</xdr:rowOff>
    </xdr:to>
    <xdr:graphicFrame macro="">
      <xdr:nvGraphicFramePr>
        <xdr:cNvPr id="39" name="Chart 38">
          <a:extLst>
            <a:ext uri="{FF2B5EF4-FFF2-40B4-BE49-F238E27FC236}">
              <a16:creationId xmlns:a16="http://schemas.microsoft.com/office/drawing/2014/main" id="{D5AB5BBC-D33C-819E-FE10-A8A23F814B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7</xdr:col>
      <xdr:colOff>40957</xdr:colOff>
      <xdr:row>385</xdr:row>
      <xdr:rowOff>122872</xdr:rowOff>
    </xdr:from>
    <xdr:to>
      <xdr:col>14</xdr:col>
      <xdr:colOff>345757</xdr:colOff>
      <xdr:row>400</xdr:row>
      <xdr:rowOff>153352</xdr:rowOff>
    </xdr:to>
    <xdr:graphicFrame macro="">
      <xdr:nvGraphicFramePr>
        <xdr:cNvPr id="40" name="Chart 39">
          <a:extLst>
            <a:ext uri="{FF2B5EF4-FFF2-40B4-BE49-F238E27FC236}">
              <a16:creationId xmlns:a16="http://schemas.microsoft.com/office/drawing/2014/main" id="{A0299139-0E11-1163-17C7-DF75C97F90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14</xdr:col>
      <xdr:colOff>608647</xdr:colOff>
      <xdr:row>385</xdr:row>
      <xdr:rowOff>145732</xdr:rowOff>
    </xdr:from>
    <xdr:to>
      <xdr:col>22</xdr:col>
      <xdr:colOff>303847</xdr:colOff>
      <xdr:row>400</xdr:row>
      <xdr:rowOff>162877</xdr:rowOff>
    </xdr:to>
    <xdr:graphicFrame macro="">
      <xdr:nvGraphicFramePr>
        <xdr:cNvPr id="42" name="Chart 41">
          <a:extLst>
            <a:ext uri="{FF2B5EF4-FFF2-40B4-BE49-F238E27FC236}">
              <a16:creationId xmlns:a16="http://schemas.microsoft.com/office/drawing/2014/main" id="{FD8E3E75-287E-E99D-F6C8-028612F840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6</xdr:col>
      <xdr:colOff>529590</xdr:colOff>
      <xdr:row>439</xdr:row>
      <xdr:rowOff>78105</xdr:rowOff>
    </xdr:from>
    <xdr:to>
      <xdr:col>14</xdr:col>
      <xdr:colOff>272415</xdr:colOff>
      <xdr:row>454</xdr:row>
      <xdr:rowOff>100965</xdr:rowOff>
    </xdr:to>
    <xdr:graphicFrame macro="">
      <xdr:nvGraphicFramePr>
        <xdr:cNvPr id="51" name="Chart 50">
          <a:extLst>
            <a:ext uri="{FF2B5EF4-FFF2-40B4-BE49-F238E27FC236}">
              <a16:creationId xmlns:a16="http://schemas.microsoft.com/office/drawing/2014/main" id="{F29DDF52-0071-4101-B83F-03C39231BA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6</xdr:col>
      <xdr:colOff>600075</xdr:colOff>
      <xdr:row>403</xdr:row>
      <xdr:rowOff>121920</xdr:rowOff>
    </xdr:from>
    <xdr:to>
      <xdr:col>14</xdr:col>
      <xdr:colOff>302895</xdr:colOff>
      <xdr:row>418</xdr:row>
      <xdr:rowOff>152400</xdr:rowOff>
    </xdr:to>
    <xdr:graphicFrame macro="">
      <xdr:nvGraphicFramePr>
        <xdr:cNvPr id="52" name="Chart 51">
          <a:extLst>
            <a:ext uri="{FF2B5EF4-FFF2-40B4-BE49-F238E27FC236}">
              <a16:creationId xmlns:a16="http://schemas.microsoft.com/office/drawing/2014/main" id="{1B483172-527B-4130-A71F-4E000B09A9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7</xdr:col>
      <xdr:colOff>49937</xdr:colOff>
      <xdr:row>215</xdr:row>
      <xdr:rowOff>114164</xdr:rowOff>
    </xdr:from>
    <xdr:to>
      <xdr:col>14</xdr:col>
      <xdr:colOff>346573</xdr:colOff>
      <xdr:row>230</xdr:row>
      <xdr:rowOff>138929</xdr:rowOff>
    </xdr:to>
    <mc:AlternateContent xmlns:mc="http://schemas.openxmlformats.org/markup-compatibility/2006">
      <mc:Choice xmlns:cx4="http://schemas.microsoft.com/office/drawing/2016/5/10/chartex" Requires="cx4">
        <xdr:graphicFrame macro="">
          <xdr:nvGraphicFramePr>
            <xdr:cNvPr id="53" name="Chart 52">
              <a:extLst>
                <a:ext uri="{FF2B5EF4-FFF2-40B4-BE49-F238E27FC236}">
                  <a16:creationId xmlns:a16="http://schemas.microsoft.com/office/drawing/2014/main" id="{F709DAA1-D4DA-D3FA-C0A7-B0648F2B739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5"/>
            </a:graphicData>
          </a:graphic>
        </xdr:graphicFrame>
      </mc:Choice>
      <mc:Fallback>
        <xdr:sp macro="" textlink="">
          <xdr:nvSpPr>
            <xdr:cNvPr id="0" name=""/>
            <xdr:cNvSpPr>
              <a:spLocks noTextEdit="1"/>
            </xdr:cNvSpPr>
          </xdr:nvSpPr>
          <xdr:spPr>
            <a:xfrm>
              <a:off x="4591457" y="39479084"/>
              <a:ext cx="4563836" cy="276796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14</xdr:col>
      <xdr:colOff>422773</xdr:colOff>
      <xdr:row>216</xdr:row>
      <xdr:rowOff>156074</xdr:rowOff>
    </xdr:from>
    <xdr:to>
      <xdr:col>22</xdr:col>
      <xdr:colOff>117973</xdr:colOff>
      <xdr:row>231</xdr:row>
      <xdr:rowOff>180839</xdr:rowOff>
    </xdr:to>
    <mc:AlternateContent xmlns:mc="http://schemas.openxmlformats.org/markup-compatibility/2006">
      <mc:Choice xmlns:cx4="http://schemas.microsoft.com/office/drawing/2016/5/10/chartex" Requires="cx4">
        <xdr:graphicFrame macro="">
          <xdr:nvGraphicFramePr>
            <xdr:cNvPr id="54" name="Chart 53">
              <a:extLst>
                <a:ext uri="{FF2B5EF4-FFF2-40B4-BE49-F238E27FC236}">
                  <a16:creationId xmlns:a16="http://schemas.microsoft.com/office/drawing/2014/main" id="{CEF2BF3F-2218-B082-8662-51E82D514A5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6"/>
            </a:graphicData>
          </a:graphic>
        </xdr:graphicFrame>
      </mc:Choice>
      <mc:Fallback>
        <xdr:sp macro="" textlink="">
          <xdr:nvSpPr>
            <xdr:cNvPr id="0" name=""/>
            <xdr:cNvSpPr>
              <a:spLocks noTextEdit="1"/>
            </xdr:cNvSpPr>
          </xdr:nvSpPr>
          <xdr:spPr>
            <a:xfrm>
              <a:off x="9231493" y="39703874"/>
              <a:ext cx="4617720" cy="276796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46127</xdr:colOff>
      <xdr:row>231</xdr:row>
      <xdr:rowOff>39869</xdr:rowOff>
    </xdr:from>
    <xdr:to>
      <xdr:col>14</xdr:col>
      <xdr:colOff>354193</xdr:colOff>
      <xdr:row>246</xdr:row>
      <xdr:rowOff>66539</xdr:rowOff>
    </xdr:to>
    <mc:AlternateContent xmlns:mc="http://schemas.openxmlformats.org/markup-compatibility/2006">
      <mc:Choice xmlns:cx4="http://schemas.microsoft.com/office/drawing/2016/5/10/chartex" Requires="cx4">
        <xdr:graphicFrame macro="">
          <xdr:nvGraphicFramePr>
            <xdr:cNvPr id="55" name="Chart 54">
              <a:extLst>
                <a:ext uri="{FF2B5EF4-FFF2-40B4-BE49-F238E27FC236}">
                  <a16:creationId xmlns:a16="http://schemas.microsoft.com/office/drawing/2014/main" id="{D0F6025C-EB9B-A799-46B7-F2852C8C93E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7"/>
            </a:graphicData>
          </a:graphic>
        </xdr:graphicFrame>
      </mc:Choice>
      <mc:Fallback>
        <xdr:sp macro="" textlink="">
          <xdr:nvSpPr>
            <xdr:cNvPr id="0" name=""/>
            <xdr:cNvSpPr>
              <a:spLocks noTextEdit="1"/>
            </xdr:cNvSpPr>
          </xdr:nvSpPr>
          <xdr:spPr>
            <a:xfrm>
              <a:off x="4587647" y="42330869"/>
              <a:ext cx="4575266" cy="276987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46899</xdr:colOff>
      <xdr:row>457</xdr:row>
      <xdr:rowOff>65848</xdr:rowOff>
    </xdr:from>
    <xdr:to>
      <xdr:col>14</xdr:col>
      <xdr:colOff>351699</xdr:colOff>
      <xdr:row>472</xdr:row>
      <xdr:rowOff>91610</xdr:rowOff>
    </xdr:to>
    <xdr:graphicFrame macro="">
      <xdr:nvGraphicFramePr>
        <xdr:cNvPr id="12" name="Chart 11">
          <a:extLst>
            <a:ext uri="{FF2B5EF4-FFF2-40B4-BE49-F238E27FC236}">
              <a16:creationId xmlns:a16="http://schemas.microsoft.com/office/drawing/2014/main" id="{2EED6E77-7786-4B25-8D6D-12EC0ADD78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7</xdr:col>
      <xdr:colOff>97155</xdr:colOff>
      <xdr:row>421</xdr:row>
      <xdr:rowOff>131445</xdr:rowOff>
    </xdr:from>
    <xdr:to>
      <xdr:col>14</xdr:col>
      <xdr:colOff>401954</xdr:colOff>
      <xdr:row>436</xdr:row>
      <xdr:rowOff>162560</xdr:rowOff>
    </xdr:to>
    <xdr:graphicFrame macro="">
      <xdr:nvGraphicFramePr>
        <xdr:cNvPr id="16" name="Chart 15">
          <a:extLst>
            <a:ext uri="{FF2B5EF4-FFF2-40B4-BE49-F238E27FC236}">
              <a16:creationId xmlns:a16="http://schemas.microsoft.com/office/drawing/2014/main" id="{8D4C443D-B300-42BA-9DFE-CB6604EC53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14</xdr:col>
      <xdr:colOff>514929</xdr:colOff>
      <xdr:row>197</xdr:row>
      <xdr:rowOff>142406</xdr:rowOff>
    </xdr:from>
    <xdr:to>
      <xdr:col>22</xdr:col>
      <xdr:colOff>189211</xdr:colOff>
      <xdr:row>212</xdr:row>
      <xdr:rowOff>84135</xdr:rowOff>
    </xdr:to>
    <mc:AlternateContent xmlns:mc="http://schemas.openxmlformats.org/markup-compatibility/2006">
      <mc:Choice xmlns:cx1="http://schemas.microsoft.com/office/drawing/2015/9/8/chartex" Requires="cx1">
        <xdr:graphicFrame macro="">
          <xdr:nvGraphicFramePr>
            <xdr:cNvPr id="20" name="Chart 19">
              <a:extLst>
                <a:ext uri="{FF2B5EF4-FFF2-40B4-BE49-F238E27FC236}">
                  <a16:creationId xmlns:a16="http://schemas.microsoft.com/office/drawing/2014/main" id="{15B96A96-86E4-90E9-185F-29510045416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0"/>
            </a:graphicData>
          </a:graphic>
        </xdr:graphicFrame>
      </mc:Choice>
      <mc:Fallback>
        <xdr:sp macro="" textlink="">
          <xdr:nvSpPr>
            <xdr:cNvPr id="0" name=""/>
            <xdr:cNvSpPr>
              <a:spLocks noTextEdit="1"/>
            </xdr:cNvSpPr>
          </xdr:nvSpPr>
          <xdr:spPr>
            <a:xfrm>
              <a:off x="9323649" y="36215486"/>
              <a:ext cx="4596802" cy="2684929"/>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29</xdr:col>
      <xdr:colOff>591671</xdr:colOff>
      <xdr:row>3</xdr:row>
      <xdr:rowOff>161364</xdr:rowOff>
    </xdr:from>
    <xdr:to>
      <xdr:col>54</xdr:col>
      <xdr:colOff>208936</xdr:colOff>
      <xdr:row>37</xdr:row>
      <xdr:rowOff>59877</xdr:rowOff>
    </xdr:to>
    <xdr:pic>
      <xdr:nvPicPr>
        <xdr:cNvPr id="21" name="Picture 20">
          <a:extLst>
            <a:ext uri="{FF2B5EF4-FFF2-40B4-BE49-F238E27FC236}">
              <a16:creationId xmlns:a16="http://schemas.microsoft.com/office/drawing/2014/main" id="{6BECA418-4E15-0893-B4D2-8FFC92C34105}"/>
            </a:ext>
          </a:extLst>
        </xdr:cNvPr>
        <xdr:cNvPicPr>
          <a:picLocks noChangeAspect="1"/>
        </xdr:cNvPicPr>
      </xdr:nvPicPr>
      <xdr:blipFill>
        <a:blip xmlns:r="http://schemas.openxmlformats.org/officeDocument/2006/relationships" r:embed="rId31"/>
        <a:stretch>
          <a:fillRect/>
        </a:stretch>
      </xdr:blipFill>
      <xdr:spPr>
        <a:xfrm>
          <a:off x="18539012" y="735105"/>
          <a:ext cx="14870600" cy="6001588"/>
        </a:xfrm>
        <a:prstGeom prst="rect">
          <a:avLst/>
        </a:prstGeom>
      </xdr:spPr>
    </xdr:pic>
    <xdr:clientData/>
  </xdr:twoCellAnchor>
  <xdr:twoCellAnchor editAs="oneCell">
    <xdr:from>
      <xdr:col>29</xdr:col>
      <xdr:colOff>544286</xdr:colOff>
      <xdr:row>39</xdr:row>
      <xdr:rowOff>87085</xdr:rowOff>
    </xdr:from>
    <xdr:to>
      <xdr:col>43</xdr:col>
      <xdr:colOff>231108</xdr:colOff>
      <xdr:row>66</xdr:row>
      <xdr:rowOff>97581</xdr:rowOff>
    </xdr:to>
    <xdr:pic>
      <xdr:nvPicPr>
        <xdr:cNvPr id="22" name="Picture 21">
          <a:extLst>
            <a:ext uri="{FF2B5EF4-FFF2-40B4-BE49-F238E27FC236}">
              <a16:creationId xmlns:a16="http://schemas.microsoft.com/office/drawing/2014/main" id="{40D03F16-C4E1-53CA-D57E-E3A5B8140CDD}"/>
            </a:ext>
          </a:extLst>
        </xdr:cNvPr>
        <xdr:cNvPicPr>
          <a:picLocks noChangeAspect="1"/>
        </xdr:cNvPicPr>
      </xdr:nvPicPr>
      <xdr:blipFill>
        <a:blip xmlns:r="http://schemas.openxmlformats.org/officeDocument/2006/relationships" r:embed="rId32"/>
        <a:stretch>
          <a:fillRect/>
        </a:stretch>
      </xdr:blipFill>
      <xdr:spPr>
        <a:xfrm>
          <a:off x="18483943" y="7336971"/>
          <a:ext cx="8221222" cy="5010849"/>
        </a:xfrm>
        <a:prstGeom prst="rect">
          <a:avLst/>
        </a:prstGeom>
      </xdr:spPr>
    </xdr:pic>
    <xdr:clientData/>
  </xdr:twoCellAnchor>
  <xdr:twoCellAnchor editAs="oneCell">
    <xdr:from>
      <xdr:col>30</xdr:col>
      <xdr:colOff>44824</xdr:colOff>
      <xdr:row>72</xdr:row>
      <xdr:rowOff>152400</xdr:rowOff>
    </xdr:from>
    <xdr:to>
      <xdr:col>54</xdr:col>
      <xdr:colOff>326940</xdr:colOff>
      <xdr:row>89</xdr:row>
      <xdr:rowOff>114720</xdr:rowOff>
    </xdr:to>
    <xdr:pic>
      <xdr:nvPicPr>
        <xdr:cNvPr id="24" name="Picture 23">
          <a:extLst>
            <a:ext uri="{FF2B5EF4-FFF2-40B4-BE49-F238E27FC236}">
              <a16:creationId xmlns:a16="http://schemas.microsoft.com/office/drawing/2014/main" id="{566E3B48-7EC0-E50F-5B92-55C0D007F3BF}"/>
            </a:ext>
          </a:extLst>
        </xdr:cNvPr>
        <xdr:cNvPicPr>
          <a:picLocks noChangeAspect="1"/>
        </xdr:cNvPicPr>
      </xdr:nvPicPr>
      <xdr:blipFill>
        <a:blip xmlns:r="http://schemas.openxmlformats.org/officeDocument/2006/relationships" r:embed="rId33"/>
        <a:stretch>
          <a:fillRect/>
        </a:stretch>
      </xdr:blipFill>
      <xdr:spPr>
        <a:xfrm>
          <a:off x="18601765" y="13115365"/>
          <a:ext cx="14908706" cy="3010320"/>
        </a:xfrm>
        <a:prstGeom prst="rect">
          <a:avLst/>
        </a:prstGeom>
      </xdr:spPr>
    </xdr:pic>
    <xdr:clientData/>
  </xdr:twoCellAnchor>
  <xdr:twoCellAnchor>
    <xdr:from>
      <xdr:col>7</xdr:col>
      <xdr:colOff>0</xdr:colOff>
      <xdr:row>91</xdr:row>
      <xdr:rowOff>0</xdr:rowOff>
    </xdr:from>
    <xdr:to>
      <xdr:col>14</xdr:col>
      <xdr:colOff>304800</xdr:colOff>
      <xdr:row>106</xdr:row>
      <xdr:rowOff>17145</xdr:rowOff>
    </xdr:to>
    <xdr:graphicFrame macro="">
      <xdr:nvGraphicFramePr>
        <xdr:cNvPr id="25" name="Chart 24">
          <a:extLst>
            <a:ext uri="{FF2B5EF4-FFF2-40B4-BE49-F238E27FC236}">
              <a16:creationId xmlns:a16="http://schemas.microsoft.com/office/drawing/2014/main" id="{D014998C-D583-4CD7-89A1-316DDC5740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editAs="oneCell">
    <xdr:from>
      <xdr:col>30</xdr:col>
      <xdr:colOff>0</xdr:colOff>
      <xdr:row>91</xdr:row>
      <xdr:rowOff>0</xdr:rowOff>
    </xdr:from>
    <xdr:to>
      <xdr:col>38</xdr:col>
      <xdr:colOff>681</xdr:colOff>
      <xdr:row>106</xdr:row>
      <xdr:rowOff>174203</xdr:rowOff>
    </xdr:to>
    <xdr:pic>
      <xdr:nvPicPr>
        <xdr:cNvPr id="27" name="Picture 26">
          <a:extLst>
            <a:ext uri="{FF2B5EF4-FFF2-40B4-BE49-F238E27FC236}">
              <a16:creationId xmlns:a16="http://schemas.microsoft.com/office/drawing/2014/main" id="{4D547148-5AF6-0186-8EF9-2757397862B1}"/>
            </a:ext>
          </a:extLst>
        </xdr:cNvPr>
        <xdr:cNvPicPr>
          <a:picLocks noChangeAspect="1"/>
        </xdr:cNvPicPr>
      </xdr:nvPicPr>
      <xdr:blipFill>
        <a:blip xmlns:r="http://schemas.openxmlformats.org/officeDocument/2006/relationships" r:embed="rId35"/>
        <a:stretch>
          <a:fillRect/>
        </a:stretch>
      </xdr:blipFill>
      <xdr:spPr>
        <a:xfrm>
          <a:off x="18556941" y="16369553"/>
          <a:ext cx="4877481" cy="2867425"/>
        </a:xfrm>
        <a:prstGeom prst="rect">
          <a:avLst/>
        </a:prstGeom>
      </xdr:spPr>
    </xdr:pic>
    <xdr:clientData/>
  </xdr:twoCellAnchor>
  <xdr:twoCellAnchor>
    <xdr:from>
      <xdr:col>7</xdr:col>
      <xdr:colOff>44824</xdr:colOff>
      <xdr:row>108</xdr:row>
      <xdr:rowOff>116541</xdr:rowOff>
    </xdr:from>
    <xdr:to>
      <xdr:col>14</xdr:col>
      <xdr:colOff>349624</xdr:colOff>
      <xdr:row>123</xdr:row>
      <xdr:rowOff>145387</xdr:rowOff>
    </xdr:to>
    <xdr:graphicFrame macro="">
      <xdr:nvGraphicFramePr>
        <xdr:cNvPr id="28" name="Chart 27">
          <a:extLst>
            <a:ext uri="{FF2B5EF4-FFF2-40B4-BE49-F238E27FC236}">
              <a16:creationId xmlns:a16="http://schemas.microsoft.com/office/drawing/2014/main" id="{BAB6DC6F-9E0A-41EB-8903-253A1ABD6A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editAs="oneCell">
    <xdr:from>
      <xdr:col>30</xdr:col>
      <xdr:colOff>0</xdr:colOff>
      <xdr:row>108</xdr:row>
      <xdr:rowOff>0</xdr:rowOff>
    </xdr:from>
    <xdr:to>
      <xdr:col>38</xdr:col>
      <xdr:colOff>54029</xdr:colOff>
      <xdr:row>124</xdr:row>
      <xdr:rowOff>130181</xdr:rowOff>
    </xdr:to>
    <xdr:pic>
      <xdr:nvPicPr>
        <xdr:cNvPr id="30" name="Picture 29">
          <a:extLst>
            <a:ext uri="{FF2B5EF4-FFF2-40B4-BE49-F238E27FC236}">
              <a16:creationId xmlns:a16="http://schemas.microsoft.com/office/drawing/2014/main" id="{4465920A-86FC-3AB0-6FB3-116348FFE371}"/>
            </a:ext>
          </a:extLst>
        </xdr:cNvPr>
        <xdr:cNvPicPr>
          <a:picLocks noChangeAspect="1"/>
        </xdr:cNvPicPr>
      </xdr:nvPicPr>
      <xdr:blipFill>
        <a:blip xmlns:r="http://schemas.openxmlformats.org/officeDocument/2006/relationships" r:embed="rId37"/>
        <a:stretch>
          <a:fillRect/>
        </a:stretch>
      </xdr:blipFill>
      <xdr:spPr>
        <a:xfrm>
          <a:off x="18556941" y="19417553"/>
          <a:ext cx="4934639" cy="2991267"/>
        </a:xfrm>
        <a:prstGeom prst="rect">
          <a:avLst/>
        </a:prstGeom>
      </xdr:spPr>
    </xdr:pic>
    <xdr:clientData/>
  </xdr:twoCellAnchor>
  <xdr:twoCellAnchor editAs="oneCell">
    <xdr:from>
      <xdr:col>30</xdr:col>
      <xdr:colOff>71718</xdr:colOff>
      <xdr:row>126</xdr:row>
      <xdr:rowOff>62753</xdr:rowOff>
    </xdr:from>
    <xdr:to>
      <xdr:col>38</xdr:col>
      <xdr:colOff>186715</xdr:colOff>
      <xdr:row>142</xdr:row>
      <xdr:rowOff>97674</xdr:rowOff>
    </xdr:to>
    <xdr:pic>
      <xdr:nvPicPr>
        <xdr:cNvPr id="4" name="Picture 3">
          <a:extLst>
            <a:ext uri="{FF2B5EF4-FFF2-40B4-BE49-F238E27FC236}">
              <a16:creationId xmlns:a16="http://schemas.microsoft.com/office/drawing/2014/main" id="{D6D024B4-A05B-720A-295F-188D449773A8}"/>
            </a:ext>
          </a:extLst>
        </xdr:cNvPr>
        <xdr:cNvPicPr>
          <a:picLocks noChangeAspect="1"/>
        </xdr:cNvPicPr>
      </xdr:nvPicPr>
      <xdr:blipFill>
        <a:blip xmlns:r="http://schemas.openxmlformats.org/officeDocument/2006/relationships" r:embed="rId38"/>
        <a:stretch>
          <a:fillRect/>
        </a:stretch>
      </xdr:blipFill>
      <xdr:spPr>
        <a:xfrm>
          <a:off x="18628659" y="22707600"/>
          <a:ext cx="4991797" cy="2915057"/>
        </a:xfrm>
        <a:prstGeom prst="rect">
          <a:avLst/>
        </a:prstGeom>
      </xdr:spPr>
    </xdr:pic>
    <xdr:clientData/>
  </xdr:twoCellAnchor>
  <xdr:twoCellAnchor editAs="oneCell">
    <xdr:from>
      <xdr:col>30</xdr:col>
      <xdr:colOff>35859</xdr:colOff>
      <xdr:row>143</xdr:row>
      <xdr:rowOff>152400</xdr:rowOff>
    </xdr:from>
    <xdr:to>
      <xdr:col>38</xdr:col>
      <xdr:colOff>169910</xdr:colOff>
      <xdr:row>160</xdr:row>
      <xdr:rowOff>95666</xdr:rowOff>
    </xdr:to>
    <xdr:pic>
      <xdr:nvPicPr>
        <xdr:cNvPr id="13" name="Picture 12">
          <a:extLst>
            <a:ext uri="{FF2B5EF4-FFF2-40B4-BE49-F238E27FC236}">
              <a16:creationId xmlns:a16="http://schemas.microsoft.com/office/drawing/2014/main" id="{3BE133D6-3991-1E1F-B644-19B38E128D9C}"/>
            </a:ext>
          </a:extLst>
        </xdr:cNvPr>
        <xdr:cNvPicPr>
          <a:picLocks noChangeAspect="1"/>
        </xdr:cNvPicPr>
      </xdr:nvPicPr>
      <xdr:blipFill>
        <a:blip xmlns:r="http://schemas.openxmlformats.org/officeDocument/2006/relationships" r:embed="rId39"/>
        <a:stretch>
          <a:fillRect/>
        </a:stretch>
      </xdr:blipFill>
      <xdr:spPr>
        <a:xfrm>
          <a:off x="18592800" y="25845247"/>
          <a:ext cx="5020376" cy="2981741"/>
        </a:xfrm>
        <a:prstGeom prst="rect">
          <a:avLst/>
        </a:prstGeom>
      </xdr:spPr>
    </xdr:pic>
    <xdr:clientData/>
  </xdr:twoCellAnchor>
  <xdr:twoCellAnchor editAs="oneCell">
    <xdr:from>
      <xdr:col>30</xdr:col>
      <xdr:colOff>0</xdr:colOff>
      <xdr:row>162</xdr:row>
      <xdr:rowOff>98611</xdr:rowOff>
    </xdr:from>
    <xdr:to>
      <xdr:col>46</xdr:col>
      <xdr:colOff>397657</xdr:colOff>
      <xdr:row>178</xdr:row>
      <xdr:rowOff>167824</xdr:rowOff>
    </xdr:to>
    <xdr:pic>
      <xdr:nvPicPr>
        <xdr:cNvPr id="31" name="Picture 30">
          <a:extLst>
            <a:ext uri="{FF2B5EF4-FFF2-40B4-BE49-F238E27FC236}">
              <a16:creationId xmlns:a16="http://schemas.microsoft.com/office/drawing/2014/main" id="{5067732D-80AD-3126-AD96-43DAC122E024}"/>
            </a:ext>
          </a:extLst>
        </xdr:cNvPr>
        <xdr:cNvPicPr>
          <a:picLocks noChangeAspect="1"/>
        </xdr:cNvPicPr>
      </xdr:nvPicPr>
      <xdr:blipFill>
        <a:blip xmlns:r="http://schemas.openxmlformats.org/officeDocument/2006/relationships" r:embed="rId40"/>
        <a:stretch>
          <a:fillRect/>
        </a:stretch>
      </xdr:blipFill>
      <xdr:spPr>
        <a:xfrm>
          <a:off x="18556941" y="29198046"/>
          <a:ext cx="10155067" cy="2934109"/>
        </a:xfrm>
        <a:prstGeom prst="rect">
          <a:avLst/>
        </a:prstGeom>
      </xdr:spPr>
    </xdr:pic>
    <xdr:clientData/>
  </xdr:twoCellAnchor>
  <xdr:twoCellAnchor editAs="oneCell">
    <xdr:from>
      <xdr:col>30</xdr:col>
      <xdr:colOff>10886</xdr:colOff>
      <xdr:row>182</xdr:row>
      <xdr:rowOff>65314</xdr:rowOff>
    </xdr:from>
    <xdr:to>
      <xdr:col>43</xdr:col>
      <xdr:colOff>434961</xdr:colOff>
      <xdr:row>209</xdr:row>
      <xdr:rowOff>92957</xdr:rowOff>
    </xdr:to>
    <xdr:pic>
      <xdr:nvPicPr>
        <xdr:cNvPr id="35" name="Picture 34">
          <a:extLst>
            <a:ext uri="{FF2B5EF4-FFF2-40B4-BE49-F238E27FC236}">
              <a16:creationId xmlns:a16="http://schemas.microsoft.com/office/drawing/2014/main" id="{6485A440-430A-8129-582A-F4FDFFB3D0B0}"/>
            </a:ext>
          </a:extLst>
        </xdr:cNvPr>
        <xdr:cNvPicPr>
          <a:picLocks noChangeAspect="1"/>
        </xdr:cNvPicPr>
      </xdr:nvPicPr>
      <xdr:blipFill>
        <a:blip xmlns:r="http://schemas.openxmlformats.org/officeDocument/2006/relationships" r:embed="rId41"/>
        <a:stretch>
          <a:fillRect/>
        </a:stretch>
      </xdr:blipFill>
      <xdr:spPr>
        <a:xfrm>
          <a:off x="18560143" y="33778371"/>
          <a:ext cx="8345065" cy="5020376"/>
        </a:xfrm>
        <a:prstGeom prst="rect">
          <a:avLst/>
        </a:prstGeom>
      </xdr:spPr>
    </xdr:pic>
    <xdr:clientData/>
  </xdr:twoCellAnchor>
  <xdr:twoCellAnchor editAs="oneCell">
    <xdr:from>
      <xdr:col>30</xdr:col>
      <xdr:colOff>304800</xdr:colOff>
      <xdr:row>218</xdr:row>
      <xdr:rowOff>97971</xdr:rowOff>
    </xdr:from>
    <xdr:to>
      <xdr:col>43</xdr:col>
      <xdr:colOff>591695</xdr:colOff>
      <xdr:row>246</xdr:row>
      <xdr:rowOff>16767</xdr:rowOff>
    </xdr:to>
    <xdr:pic>
      <xdr:nvPicPr>
        <xdr:cNvPr id="36" name="Picture 35">
          <a:extLst>
            <a:ext uri="{FF2B5EF4-FFF2-40B4-BE49-F238E27FC236}">
              <a16:creationId xmlns:a16="http://schemas.microsoft.com/office/drawing/2014/main" id="{FAEDDB82-2FF6-D48A-AC49-A19ECF57B477}"/>
            </a:ext>
          </a:extLst>
        </xdr:cNvPr>
        <xdr:cNvPicPr>
          <a:picLocks noChangeAspect="1"/>
        </xdr:cNvPicPr>
      </xdr:nvPicPr>
      <xdr:blipFill>
        <a:blip xmlns:r="http://schemas.openxmlformats.org/officeDocument/2006/relationships" r:embed="rId42"/>
        <a:stretch>
          <a:fillRect/>
        </a:stretch>
      </xdr:blipFill>
      <xdr:spPr>
        <a:xfrm>
          <a:off x="18854057" y="40473085"/>
          <a:ext cx="8202170" cy="5096586"/>
        </a:xfrm>
        <a:prstGeom prst="rect">
          <a:avLst/>
        </a:prstGeom>
      </xdr:spPr>
    </xdr:pic>
    <xdr:clientData/>
  </xdr:twoCellAnchor>
  <xdr:twoCellAnchor editAs="oneCell">
    <xdr:from>
      <xdr:col>30</xdr:col>
      <xdr:colOff>438268</xdr:colOff>
      <xdr:row>250</xdr:row>
      <xdr:rowOff>169910</xdr:rowOff>
    </xdr:from>
    <xdr:to>
      <xdr:col>33</xdr:col>
      <xdr:colOff>592851</xdr:colOff>
      <xdr:row>255</xdr:row>
      <xdr:rowOff>93910</xdr:rowOff>
    </xdr:to>
    <xdr:pic>
      <xdr:nvPicPr>
        <xdr:cNvPr id="37" name="Picture 36">
          <a:extLst>
            <a:ext uri="{FF2B5EF4-FFF2-40B4-BE49-F238E27FC236}">
              <a16:creationId xmlns:a16="http://schemas.microsoft.com/office/drawing/2014/main" id="{2B13E0AB-498E-A7B1-EA63-BEB51D33075C}"/>
            </a:ext>
          </a:extLst>
        </xdr:cNvPr>
        <xdr:cNvPicPr>
          <a:picLocks noChangeAspect="1"/>
        </xdr:cNvPicPr>
      </xdr:nvPicPr>
      <xdr:blipFill>
        <a:blip xmlns:r="http://schemas.openxmlformats.org/officeDocument/2006/relationships" r:embed="rId43"/>
        <a:stretch>
          <a:fillRect/>
        </a:stretch>
      </xdr:blipFill>
      <xdr:spPr>
        <a:xfrm>
          <a:off x="18987525" y="46466853"/>
          <a:ext cx="1991003" cy="845476"/>
        </a:xfrm>
        <a:prstGeom prst="rect">
          <a:avLst/>
        </a:prstGeom>
      </xdr:spPr>
    </xdr:pic>
    <xdr:clientData/>
  </xdr:twoCellAnchor>
  <xdr:twoCellAnchor>
    <xdr:from>
      <xdr:col>7</xdr:col>
      <xdr:colOff>0</xdr:colOff>
      <xdr:row>259</xdr:row>
      <xdr:rowOff>0</xdr:rowOff>
    </xdr:from>
    <xdr:to>
      <xdr:col>14</xdr:col>
      <xdr:colOff>304800</xdr:colOff>
      <xdr:row>274</xdr:row>
      <xdr:rowOff>17147</xdr:rowOff>
    </xdr:to>
    <xdr:graphicFrame macro="">
      <xdr:nvGraphicFramePr>
        <xdr:cNvPr id="38" name="Chart 37">
          <a:extLst>
            <a:ext uri="{FF2B5EF4-FFF2-40B4-BE49-F238E27FC236}">
              <a16:creationId xmlns:a16="http://schemas.microsoft.com/office/drawing/2014/main" id="{9A393712-D74A-4437-8419-1D18475DAE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editAs="oneCell">
    <xdr:from>
      <xdr:col>30</xdr:col>
      <xdr:colOff>256615</xdr:colOff>
      <xdr:row>258</xdr:row>
      <xdr:rowOff>86288</xdr:rowOff>
    </xdr:from>
    <xdr:to>
      <xdr:col>38</xdr:col>
      <xdr:colOff>0</xdr:colOff>
      <xdr:row>273</xdr:row>
      <xdr:rowOff>97859</xdr:rowOff>
    </xdr:to>
    <xdr:pic>
      <xdr:nvPicPr>
        <xdr:cNvPr id="41" name="Picture 40">
          <a:extLst>
            <a:ext uri="{FF2B5EF4-FFF2-40B4-BE49-F238E27FC236}">
              <a16:creationId xmlns:a16="http://schemas.microsoft.com/office/drawing/2014/main" id="{514E506A-28A1-D231-F656-6CEDEEE09B49}"/>
            </a:ext>
          </a:extLst>
        </xdr:cNvPr>
        <xdr:cNvPicPr>
          <a:picLocks noChangeAspect="1"/>
        </xdr:cNvPicPr>
      </xdr:nvPicPr>
      <xdr:blipFill>
        <a:blip xmlns:r="http://schemas.openxmlformats.org/officeDocument/2006/relationships" r:embed="rId45"/>
        <a:stretch>
          <a:fillRect/>
        </a:stretch>
      </xdr:blipFill>
      <xdr:spPr>
        <a:xfrm>
          <a:off x="18830365" y="49235288"/>
          <a:ext cx="4620185" cy="2865261"/>
        </a:xfrm>
        <a:prstGeom prst="rect">
          <a:avLst/>
        </a:prstGeom>
      </xdr:spPr>
    </xdr:pic>
    <xdr:clientData/>
  </xdr:twoCellAnchor>
  <xdr:twoCellAnchor>
    <xdr:from>
      <xdr:col>7</xdr:col>
      <xdr:colOff>0</xdr:colOff>
      <xdr:row>277</xdr:row>
      <xdr:rowOff>0</xdr:rowOff>
    </xdr:from>
    <xdr:to>
      <xdr:col>14</xdr:col>
      <xdr:colOff>304800</xdr:colOff>
      <xdr:row>292</xdr:row>
      <xdr:rowOff>24764</xdr:rowOff>
    </xdr:to>
    <xdr:graphicFrame macro="">
      <xdr:nvGraphicFramePr>
        <xdr:cNvPr id="44" name="Chart 43">
          <a:extLst>
            <a:ext uri="{FF2B5EF4-FFF2-40B4-BE49-F238E27FC236}">
              <a16:creationId xmlns:a16="http://schemas.microsoft.com/office/drawing/2014/main" id="{998614F2-EFB6-40ED-8CD6-C2AD8DDCDBA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editAs="oneCell">
    <xdr:from>
      <xdr:col>30</xdr:col>
      <xdr:colOff>304800</xdr:colOff>
      <xdr:row>276</xdr:row>
      <xdr:rowOff>11431</xdr:rowOff>
    </xdr:from>
    <xdr:to>
      <xdr:col>37</xdr:col>
      <xdr:colOff>441691</xdr:colOff>
      <xdr:row>291</xdr:row>
      <xdr:rowOff>15241</xdr:rowOff>
    </xdr:to>
    <xdr:pic>
      <xdr:nvPicPr>
        <xdr:cNvPr id="49" name="Picture 48">
          <a:extLst>
            <a:ext uri="{FF2B5EF4-FFF2-40B4-BE49-F238E27FC236}">
              <a16:creationId xmlns:a16="http://schemas.microsoft.com/office/drawing/2014/main" id="{331E3618-167F-4634-3180-7BD7E383DFC2}"/>
            </a:ext>
          </a:extLst>
        </xdr:cNvPr>
        <xdr:cNvPicPr>
          <a:picLocks noChangeAspect="1"/>
        </xdr:cNvPicPr>
      </xdr:nvPicPr>
      <xdr:blipFill>
        <a:blip xmlns:r="http://schemas.openxmlformats.org/officeDocument/2006/relationships" r:embed="rId47"/>
        <a:stretch>
          <a:fillRect/>
        </a:stretch>
      </xdr:blipFill>
      <xdr:spPr>
        <a:xfrm>
          <a:off x="18878550" y="52589431"/>
          <a:ext cx="4407901" cy="2865120"/>
        </a:xfrm>
        <a:prstGeom prst="rect">
          <a:avLst/>
        </a:prstGeom>
      </xdr:spPr>
    </xdr:pic>
    <xdr:clientData/>
  </xdr:twoCellAnchor>
  <xdr:twoCellAnchor>
    <xdr:from>
      <xdr:col>7</xdr:col>
      <xdr:colOff>0</xdr:colOff>
      <xdr:row>294</xdr:row>
      <xdr:rowOff>132262</xdr:rowOff>
    </xdr:from>
    <xdr:to>
      <xdr:col>14</xdr:col>
      <xdr:colOff>304800</xdr:colOff>
      <xdr:row>308</xdr:row>
      <xdr:rowOff>13608</xdr:rowOff>
    </xdr:to>
    <xdr:graphicFrame macro="">
      <xdr:nvGraphicFramePr>
        <xdr:cNvPr id="56" name="Chart 55">
          <a:extLst>
            <a:ext uri="{FF2B5EF4-FFF2-40B4-BE49-F238E27FC236}">
              <a16:creationId xmlns:a16="http://schemas.microsoft.com/office/drawing/2014/main" id="{B7C0841F-1913-4803-AC80-09A4F745C4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editAs="oneCell">
    <xdr:from>
      <xdr:col>30</xdr:col>
      <xdr:colOff>304800</xdr:colOff>
      <xdr:row>292</xdr:row>
      <xdr:rowOff>133350</xdr:rowOff>
    </xdr:from>
    <xdr:to>
      <xdr:col>38</xdr:col>
      <xdr:colOff>206406</xdr:colOff>
      <xdr:row>306</xdr:row>
      <xdr:rowOff>131800</xdr:rowOff>
    </xdr:to>
    <xdr:pic>
      <xdr:nvPicPr>
        <xdr:cNvPr id="57" name="Picture 56">
          <a:extLst>
            <a:ext uri="{FF2B5EF4-FFF2-40B4-BE49-F238E27FC236}">
              <a16:creationId xmlns:a16="http://schemas.microsoft.com/office/drawing/2014/main" id="{28030413-1D4D-3D36-F768-ACA44A44843C}"/>
            </a:ext>
          </a:extLst>
        </xdr:cNvPr>
        <xdr:cNvPicPr>
          <a:picLocks noChangeAspect="1"/>
        </xdr:cNvPicPr>
      </xdr:nvPicPr>
      <xdr:blipFill>
        <a:blip xmlns:r="http://schemas.openxmlformats.org/officeDocument/2006/relationships" r:embed="rId49"/>
        <a:stretch>
          <a:fillRect/>
        </a:stretch>
      </xdr:blipFill>
      <xdr:spPr>
        <a:xfrm>
          <a:off x="18878550" y="53035200"/>
          <a:ext cx="4774596" cy="2545435"/>
        </a:xfrm>
        <a:prstGeom prst="rect">
          <a:avLst/>
        </a:prstGeom>
      </xdr:spPr>
    </xdr:pic>
    <xdr:clientData/>
  </xdr:twoCellAnchor>
  <xdr:twoCellAnchor>
    <xdr:from>
      <xdr:col>7</xdr:col>
      <xdr:colOff>19050</xdr:colOff>
      <xdr:row>311</xdr:row>
      <xdr:rowOff>9525</xdr:rowOff>
    </xdr:from>
    <xdr:to>
      <xdr:col>14</xdr:col>
      <xdr:colOff>323850</xdr:colOff>
      <xdr:row>326</xdr:row>
      <xdr:rowOff>36195</xdr:rowOff>
    </xdr:to>
    <xdr:graphicFrame macro="">
      <xdr:nvGraphicFramePr>
        <xdr:cNvPr id="58" name="Chart 57">
          <a:extLst>
            <a:ext uri="{FF2B5EF4-FFF2-40B4-BE49-F238E27FC236}">
              <a16:creationId xmlns:a16="http://schemas.microsoft.com/office/drawing/2014/main" id="{18385F9C-E781-4B0C-ABF7-393F4239F8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0"/>
        </a:graphicData>
      </a:graphic>
    </xdr:graphicFrame>
    <xdr:clientData/>
  </xdr:twoCellAnchor>
  <xdr:twoCellAnchor>
    <xdr:from>
      <xdr:col>14</xdr:col>
      <xdr:colOff>529590</xdr:colOff>
      <xdr:row>311</xdr:row>
      <xdr:rowOff>28575</xdr:rowOff>
    </xdr:from>
    <xdr:to>
      <xdr:col>22</xdr:col>
      <xdr:colOff>224790</xdr:colOff>
      <xdr:row>326</xdr:row>
      <xdr:rowOff>59055</xdr:rowOff>
    </xdr:to>
    <xdr:graphicFrame macro="">
      <xdr:nvGraphicFramePr>
        <xdr:cNvPr id="59" name="Chart 58">
          <a:extLst>
            <a:ext uri="{FF2B5EF4-FFF2-40B4-BE49-F238E27FC236}">
              <a16:creationId xmlns:a16="http://schemas.microsoft.com/office/drawing/2014/main" id="{CDE563BE-08F7-4410-A13C-3454F1584F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1"/>
        </a:graphicData>
      </a:graphic>
    </xdr:graphicFrame>
    <xdr:clientData/>
  </xdr:twoCellAnchor>
  <xdr:twoCellAnchor editAs="oneCell">
    <xdr:from>
      <xdr:col>30</xdr:col>
      <xdr:colOff>304800</xdr:colOff>
      <xdr:row>310</xdr:row>
      <xdr:rowOff>0</xdr:rowOff>
    </xdr:from>
    <xdr:to>
      <xdr:col>46</xdr:col>
      <xdr:colOff>56573</xdr:colOff>
      <xdr:row>325</xdr:row>
      <xdr:rowOff>93739</xdr:rowOff>
    </xdr:to>
    <xdr:pic>
      <xdr:nvPicPr>
        <xdr:cNvPr id="60" name="Picture 59">
          <a:extLst>
            <a:ext uri="{FF2B5EF4-FFF2-40B4-BE49-F238E27FC236}">
              <a16:creationId xmlns:a16="http://schemas.microsoft.com/office/drawing/2014/main" id="{516D26DD-D0C8-2AF7-79FE-AAC9A8D90D28}"/>
            </a:ext>
          </a:extLst>
        </xdr:cNvPr>
        <xdr:cNvPicPr>
          <a:picLocks noChangeAspect="1"/>
        </xdr:cNvPicPr>
      </xdr:nvPicPr>
      <xdr:blipFill>
        <a:blip xmlns:r="http://schemas.openxmlformats.org/officeDocument/2006/relationships" r:embed="rId52"/>
        <a:stretch>
          <a:fillRect/>
        </a:stretch>
      </xdr:blipFill>
      <xdr:spPr>
        <a:xfrm>
          <a:off x="18878550" y="56159400"/>
          <a:ext cx="9514898" cy="2817889"/>
        </a:xfrm>
        <a:prstGeom prst="rect">
          <a:avLst/>
        </a:prstGeom>
      </xdr:spPr>
    </xdr:pic>
    <xdr:clientData/>
  </xdr:twoCellAnchor>
  <xdr:twoCellAnchor>
    <xdr:from>
      <xdr:col>7</xdr:col>
      <xdr:colOff>0</xdr:colOff>
      <xdr:row>330</xdr:row>
      <xdr:rowOff>0</xdr:rowOff>
    </xdr:from>
    <xdr:to>
      <xdr:col>14</xdr:col>
      <xdr:colOff>304800</xdr:colOff>
      <xdr:row>345</xdr:row>
      <xdr:rowOff>28575</xdr:rowOff>
    </xdr:to>
    <xdr:graphicFrame macro="">
      <xdr:nvGraphicFramePr>
        <xdr:cNvPr id="61" name="Chart 60">
          <a:extLst>
            <a:ext uri="{FF2B5EF4-FFF2-40B4-BE49-F238E27FC236}">
              <a16:creationId xmlns:a16="http://schemas.microsoft.com/office/drawing/2014/main" id="{8F307293-39C9-40B0-B988-436FE789FA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3"/>
        </a:graphicData>
      </a:graphic>
    </xdr:graphicFrame>
    <xdr:clientData/>
  </xdr:twoCellAnchor>
  <xdr:twoCellAnchor editAs="oneCell">
    <xdr:from>
      <xdr:col>15</xdr:col>
      <xdr:colOff>102870</xdr:colOff>
      <xdr:row>330</xdr:row>
      <xdr:rowOff>55245</xdr:rowOff>
    </xdr:from>
    <xdr:to>
      <xdr:col>22</xdr:col>
      <xdr:colOff>476250</xdr:colOff>
      <xdr:row>344</xdr:row>
      <xdr:rowOff>130158</xdr:rowOff>
    </xdr:to>
    <xdr:pic>
      <xdr:nvPicPr>
        <xdr:cNvPr id="63" name="Picture 62">
          <a:extLst>
            <a:ext uri="{FF2B5EF4-FFF2-40B4-BE49-F238E27FC236}">
              <a16:creationId xmlns:a16="http://schemas.microsoft.com/office/drawing/2014/main" id="{7CECF5AC-B471-0158-E797-8031207B2A79}"/>
            </a:ext>
          </a:extLst>
        </xdr:cNvPr>
        <xdr:cNvPicPr>
          <a:picLocks noChangeAspect="1"/>
        </xdr:cNvPicPr>
      </xdr:nvPicPr>
      <xdr:blipFill>
        <a:blip xmlns:r="http://schemas.openxmlformats.org/officeDocument/2006/relationships" r:embed="rId54"/>
        <a:stretch>
          <a:fillRect/>
        </a:stretch>
      </xdr:blipFill>
      <xdr:spPr>
        <a:xfrm>
          <a:off x="9532620" y="59834145"/>
          <a:ext cx="4688205" cy="2604753"/>
        </a:xfrm>
        <a:prstGeom prst="rect">
          <a:avLst/>
        </a:prstGeom>
      </xdr:spPr>
    </xdr:pic>
    <xdr:clientData/>
  </xdr:twoCellAnchor>
  <xdr:twoCellAnchor>
    <xdr:from>
      <xdr:col>7</xdr:col>
      <xdr:colOff>0</xdr:colOff>
      <xdr:row>349</xdr:row>
      <xdr:rowOff>20002</xdr:rowOff>
    </xdr:from>
    <xdr:to>
      <xdr:col>14</xdr:col>
      <xdr:colOff>304800</xdr:colOff>
      <xdr:row>364</xdr:row>
      <xdr:rowOff>48577</xdr:rowOff>
    </xdr:to>
    <xdr:graphicFrame macro="">
      <xdr:nvGraphicFramePr>
        <xdr:cNvPr id="64" name="Chart 63">
          <a:extLst>
            <a:ext uri="{FF2B5EF4-FFF2-40B4-BE49-F238E27FC236}">
              <a16:creationId xmlns:a16="http://schemas.microsoft.com/office/drawing/2014/main" id="{EA741D35-8708-41B0-B046-01FBC03316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5"/>
        </a:graphicData>
      </a:graphic>
    </xdr:graphicFrame>
    <xdr:clientData/>
  </xdr:twoCellAnchor>
  <xdr:twoCellAnchor>
    <xdr:from>
      <xdr:col>14</xdr:col>
      <xdr:colOff>383858</xdr:colOff>
      <xdr:row>349</xdr:row>
      <xdr:rowOff>0</xdr:rowOff>
    </xdr:from>
    <xdr:to>
      <xdr:col>22</xdr:col>
      <xdr:colOff>79058</xdr:colOff>
      <xdr:row>364</xdr:row>
      <xdr:rowOff>34290</xdr:rowOff>
    </xdr:to>
    <xdr:graphicFrame macro="">
      <xdr:nvGraphicFramePr>
        <xdr:cNvPr id="65" name="Chart 64">
          <a:extLst>
            <a:ext uri="{FF2B5EF4-FFF2-40B4-BE49-F238E27FC236}">
              <a16:creationId xmlns:a16="http://schemas.microsoft.com/office/drawing/2014/main" id="{3AAE9CE4-0B42-41AD-A88E-3082BF4DCB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6"/>
        </a:graphicData>
      </a:graphic>
    </xdr:graphicFrame>
    <xdr:clientData/>
  </xdr:twoCellAnchor>
  <xdr:twoCellAnchor editAs="oneCell">
    <xdr:from>
      <xdr:col>31</xdr:col>
      <xdr:colOff>57150</xdr:colOff>
      <xdr:row>348</xdr:row>
      <xdr:rowOff>81915</xdr:rowOff>
    </xdr:from>
    <xdr:to>
      <xdr:col>46</xdr:col>
      <xdr:colOff>189903</xdr:colOff>
      <xdr:row>364</xdr:row>
      <xdr:rowOff>21530</xdr:rowOff>
    </xdr:to>
    <xdr:pic>
      <xdr:nvPicPr>
        <xdr:cNvPr id="66" name="Picture 65">
          <a:extLst>
            <a:ext uri="{FF2B5EF4-FFF2-40B4-BE49-F238E27FC236}">
              <a16:creationId xmlns:a16="http://schemas.microsoft.com/office/drawing/2014/main" id="{72157BAE-6576-8636-F72F-91C31C00915C}"/>
            </a:ext>
          </a:extLst>
        </xdr:cNvPr>
        <xdr:cNvPicPr>
          <a:picLocks noChangeAspect="1"/>
        </xdr:cNvPicPr>
      </xdr:nvPicPr>
      <xdr:blipFill>
        <a:blip xmlns:r="http://schemas.openxmlformats.org/officeDocument/2006/relationships" r:embed="rId57"/>
        <a:stretch>
          <a:fillRect/>
        </a:stretch>
      </xdr:blipFill>
      <xdr:spPr>
        <a:xfrm>
          <a:off x="19240500" y="63118365"/>
          <a:ext cx="9276753" cy="2842835"/>
        </a:xfrm>
        <a:prstGeom prst="rect">
          <a:avLst/>
        </a:prstGeom>
      </xdr:spPr>
    </xdr:pic>
    <xdr:clientData/>
  </xdr:twoCellAnchor>
  <xdr:twoCellAnchor editAs="oneCell">
    <xdr:from>
      <xdr:col>31</xdr:col>
      <xdr:colOff>0</xdr:colOff>
      <xdr:row>365</xdr:row>
      <xdr:rowOff>47625</xdr:rowOff>
    </xdr:from>
    <xdr:to>
      <xdr:col>38</xdr:col>
      <xdr:colOff>513114</xdr:colOff>
      <xdr:row>380</xdr:row>
      <xdr:rowOff>169941</xdr:rowOff>
    </xdr:to>
    <xdr:pic>
      <xdr:nvPicPr>
        <xdr:cNvPr id="67" name="Picture 66">
          <a:extLst>
            <a:ext uri="{FF2B5EF4-FFF2-40B4-BE49-F238E27FC236}">
              <a16:creationId xmlns:a16="http://schemas.microsoft.com/office/drawing/2014/main" id="{F18CD2A7-6E6F-83FE-C066-4C3B8627705A}"/>
            </a:ext>
          </a:extLst>
        </xdr:cNvPr>
        <xdr:cNvPicPr>
          <a:picLocks noChangeAspect="1"/>
        </xdr:cNvPicPr>
      </xdr:nvPicPr>
      <xdr:blipFill>
        <a:blip xmlns:r="http://schemas.openxmlformats.org/officeDocument/2006/relationships" r:embed="rId58"/>
        <a:stretch>
          <a:fillRect/>
        </a:stretch>
      </xdr:blipFill>
      <xdr:spPr>
        <a:xfrm>
          <a:off x="19183350" y="66160650"/>
          <a:ext cx="4789839" cy="2840751"/>
        </a:xfrm>
        <a:prstGeom prst="rect">
          <a:avLst/>
        </a:prstGeom>
      </xdr:spPr>
    </xdr:pic>
    <xdr:clientData/>
  </xdr:twoCellAnchor>
  <xdr:twoCellAnchor editAs="oneCell">
    <xdr:from>
      <xdr:col>30</xdr:col>
      <xdr:colOff>504825</xdr:colOff>
      <xdr:row>385</xdr:row>
      <xdr:rowOff>47625</xdr:rowOff>
    </xdr:from>
    <xdr:to>
      <xdr:col>46</xdr:col>
      <xdr:colOff>363290</xdr:colOff>
      <xdr:row>401</xdr:row>
      <xdr:rowOff>17546</xdr:rowOff>
    </xdr:to>
    <xdr:pic>
      <xdr:nvPicPr>
        <xdr:cNvPr id="68" name="Picture 67">
          <a:extLst>
            <a:ext uri="{FF2B5EF4-FFF2-40B4-BE49-F238E27FC236}">
              <a16:creationId xmlns:a16="http://schemas.microsoft.com/office/drawing/2014/main" id="{7198429D-4A99-45F5-99EC-519EAEB14EEB}"/>
            </a:ext>
          </a:extLst>
        </xdr:cNvPr>
        <xdr:cNvPicPr>
          <a:picLocks noChangeAspect="1"/>
        </xdr:cNvPicPr>
      </xdr:nvPicPr>
      <xdr:blipFill>
        <a:blip xmlns:r="http://schemas.openxmlformats.org/officeDocument/2006/relationships" r:embed="rId59"/>
        <a:stretch>
          <a:fillRect/>
        </a:stretch>
      </xdr:blipFill>
      <xdr:spPr>
        <a:xfrm>
          <a:off x="19078575" y="69780150"/>
          <a:ext cx="9602540" cy="2878856"/>
        </a:xfrm>
        <a:prstGeom prst="rect">
          <a:avLst/>
        </a:prstGeom>
      </xdr:spPr>
    </xdr:pic>
    <xdr:clientData/>
  </xdr:twoCellAnchor>
  <xdr:twoCellAnchor editAs="oneCell">
    <xdr:from>
      <xdr:col>30</xdr:col>
      <xdr:colOff>495300</xdr:colOff>
      <xdr:row>402</xdr:row>
      <xdr:rowOff>95250</xdr:rowOff>
    </xdr:from>
    <xdr:to>
      <xdr:col>41</xdr:col>
      <xdr:colOff>38972</xdr:colOff>
      <xdr:row>418</xdr:row>
      <xdr:rowOff>2296</xdr:rowOff>
    </xdr:to>
    <xdr:pic>
      <xdr:nvPicPr>
        <xdr:cNvPr id="70" name="Picture 69">
          <a:extLst>
            <a:ext uri="{FF2B5EF4-FFF2-40B4-BE49-F238E27FC236}">
              <a16:creationId xmlns:a16="http://schemas.microsoft.com/office/drawing/2014/main" id="{AFF76B72-CC55-F796-D78F-F2F57657EC0A}"/>
            </a:ext>
          </a:extLst>
        </xdr:cNvPr>
        <xdr:cNvPicPr>
          <a:picLocks noChangeAspect="1"/>
        </xdr:cNvPicPr>
      </xdr:nvPicPr>
      <xdr:blipFill>
        <a:blip xmlns:r="http://schemas.openxmlformats.org/officeDocument/2006/relationships" r:embed="rId60"/>
        <a:stretch>
          <a:fillRect/>
        </a:stretch>
      </xdr:blipFill>
      <xdr:spPr>
        <a:xfrm>
          <a:off x="19116675" y="72904350"/>
          <a:ext cx="6249272" cy="2802646"/>
        </a:xfrm>
        <a:prstGeom prst="rect">
          <a:avLst/>
        </a:prstGeom>
      </xdr:spPr>
    </xdr:pic>
    <xdr:clientData/>
  </xdr:twoCellAnchor>
  <xdr:twoCellAnchor editAs="oneCell">
    <xdr:from>
      <xdr:col>41</xdr:col>
      <xdr:colOff>200025</xdr:colOff>
      <xdr:row>402</xdr:row>
      <xdr:rowOff>142875</xdr:rowOff>
    </xdr:from>
    <xdr:to>
      <xdr:col>51</xdr:col>
      <xdr:colOff>435223</xdr:colOff>
      <xdr:row>418</xdr:row>
      <xdr:rowOff>76595</xdr:rowOff>
    </xdr:to>
    <xdr:pic>
      <xdr:nvPicPr>
        <xdr:cNvPr id="71" name="Picture 70">
          <a:extLst>
            <a:ext uri="{FF2B5EF4-FFF2-40B4-BE49-F238E27FC236}">
              <a16:creationId xmlns:a16="http://schemas.microsoft.com/office/drawing/2014/main" id="{9B481109-DAA3-465B-EA1A-2625F64A2995}"/>
            </a:ext>
          </a:extLst>
        </xdr:cNvPr>
        <xdr:cNvPicPr>
          <a:picLocks noChangeAspect="1"/>
        </xdr:cNvPicPr>
      </xdr:nvPicPr>
      <xdr:blipFill>
        <a:blip xmlns:r="http://schemas.openxmlformats.org/officeDocument/2006/relationships" r:embed="rId61"/>
        <a:stretch>
          <a:fillRect/>
        </a:stretch>
      </xdr:blipFill>
      <xdr:spPr>
        <a:xfrm>
          <a:off x="25527000" y="72951975"/>
          <a:ext cx="6325483" cy="2829320"/>
        </a:xfrm>
        <a:prstGeom prst="rect">
          <a:avLst/>
        </a:prstGeom>
      </xdr:spPr>
    </xdr:pic>
    <xdr:clientData/>
  </xdr:twoCellAnchor>
  <xdr:twoCellAnchor editAs="oneCell">
    <xdr:from>
      <xdr:col>30</xdr:col>
      <xdr:colOff>352425</xdr:colOff>
      <xdr:row>420</xdr:row>
      <xdr:rowOff>19050</xdr:rowOff>
    </xdr:from>
    <xdr:to>
      <xdr:col>38</xdr:col>
      <xdr:colOff>174010</xdr:colOff>
      <xdr:row>436</xdr:row>
      <xdr:rowOff>15643</xdr:rowOff>
    </xdr:to>
    <xdr:pic>
      <xdr:nvPicPr>
        <xdr:cNvPr id="72" name="Picture 71">
          <a:extLst>
            <a:ext uri="{FF2B5EF4-FFF2-40B4-BE49-F238E27FC236}">
              <a16:creationId xmlns:a16="http://schemas.microsoft.com/office/drawing/2014/main" id="{7660803B-8101-A01A-C40F-3D0B20A64EDB}"/>
            </a:ext>
          </a:extLst>
        </xdr:cNvPr>
        <xdr:cNvPicPr>
          <a:picLocks noChangeAspect="1"/>
        </xdr:cNvPicPr>
      </xdr:nvPicPr>
      <xdr:blipFill>
        <a:blip xmlns:r="http://schemas.openxmlformats.org/officeDocument/2006/relationships" r:embed="rId62"/>
        <a:stretch>
          <a:fillRect/>
        </a:stretch>
      </xdr:blipFill>
      <xdr:spPr>
        <a:xfrm>
          <a:off x="18973800" y="76085700"/>
          <a:ext cx="4698385" cy="2882668"/>
        </a:xfrm>
        <a:prstGeom prst="rect">
          <a:avLst/>
        </a:prstGeom>
      </xdr:spPr>
    </xdr:pic>
    <xdr:clientData/>
  </xdr:twoCellAnchor>
  <xdr:twoCellAnchor editAs="oneCell">
    <xdr:from>
      <xdr:col>39</xdr:col>
      <xdr:colOff>129541</xdr:colOff>
      <xdr:row>421</xdr:row>
      <xdr:rowOff>26670</xdr:rowOff>
    </xdr:from>
    <xdr:to>
      <xdr:col>46</xdr:col>
      <xdr:colOff>322369</xdr:colOff>
      <xdr:row>435</xdr:row>
      <xdr:rowOff>129540</xdr:rowOff>
    </xdr:to>
    <xdr:pic>
      <xdr:nvPicPr>
        <xdr:cNvPr id="73" name="Picture 72">
          <a:extLst>
            <a:ext uri="{FF2B5EF4-FFF2-40B4-BE49-F238E27FC236}">
              <a16:creationId xmlns:a16="http://schemas.microsoft.com/office/drawing/2014/main" id="{62DD75D6-2344-43C2-DC3C-C9630DF51104}"/>
            </a:ext>
          </a:extLst>
        </xdr:cNvPr>
        <xdr:cNvPicPr>
          <a:picLocks noChangeAspect="1"/>
        </xdr:cNvPicPr>
      </xdr:nvPicPr>
      <xdr:blipFill>
        <a:blip xmlns:r="http://schemas.openxmlformats.org/officeDocument/2006/relationships" r:embed="rId63"/>
        <a:stretch>
          <a:fillRect/>
        </a:stretch>
      </xdr:blipFill>
      <xdr:spPr>
        <a:xfrm>
          <a:off x="24237316" y="76274295"/>
          <a:ext cx="4475268" cy="2630805"/>
        </a:xfrm>
        <a:prstGeom prst="rect">
          <a:avLst/>
        </a:prstGeom>
      </xdr:spPr>
    </xdr:pic>
    <xdr:clientData/>
  </xdr:twoCellAnchor>
  <xdr:twoCellAnchor editAs="oneCell">
    <xdr:from>
      <xdr:col>30</xdr:col>
      <xdr:colOff>257175</xdr:colOff>
      <xdr:row>438</xdr:row>
      <xdr:rowOff>9525</xdr:rowOff>
    </xdr:from>
    <xdr:to>
      <xdr:col>38</xdr:col>
      <xdr:colOff>154971</xdr:colOff>
      <xdr:row>453</xdr:row>
      <xdr:rowOff>171850</xdr:rowOff>
    </xdr:to>
    <xdr:pic>
      <xdr:nvPicPr>
        <xdr:cNvPr id="74" name="Picture 73">
          <a:extLst>
            <a:ext uri="{FF2B5EF4-FFF2-40B4-BE49-F238E27FC236}">
              <a16:creationId xmlns:a16="http://schemas.microsoft.com/office/drawing/2014/main" id="{A4F48BBD-D355-CC3C-FA1A-E15D1B747690}"/>
            </a:ext>
          </a:extLst>
        </xdr:cNvPr>
        <xdr:cNvPicPr>
          <a:picLocks noChangeAspect="1"/>
        </xdr:cNvPicPr>
      </xdr:nvPicPr>
      <xdr:blipFill>
        <a:blip xmlns:r="http://schemas.openxmlformats.org/officeDocument/2006/relationships" r:embed="rId64"/>
        <a:stretch>
          <a:fillRect/>
        </a:stretch>
      </xdr:blipFill>
      <xdr:spPr>
        <a:xfrm>
          <a:off x="18878550" y="79333725"/>
          <a:ext cx="4774596" cy="2867425"/>
        </a:xfrm>
        <a:prstGeom prst="rect">
          <a:avLst/>
        </a:prstGeom>
      </xdr:spPr>
    </xdr:pic>
    <xdr:clientData/>
  </xdr:twoCellAnchor>
  <xdr:twoCellAnchor editAs="oneCell">
    <xdr:from>
      <xdr:col>39</xdr:col>
      <xdr:colOff>1</xdr:colOff>
      <xdr:row>439</xdr:row>
      <xdr:rowOff>1</xdr:rowOff>
    </xdr:from>
    <xdr:to>
      <xdr:col>45</xdr:col>
      <xdr:colOff>571501</xdr:colOff>
      <xdr:row>452</xdr:row>
      <xdr:rowOff>173083</xdr:rowOff>
    </xdr:to>
    <xdr:pic>
      <xdr:nvPicPr>
        <xdr:cNvPr id="75" name="Picture 74">
          <a:extLst>
            <a:ext uri="{FF2B5EF4-FFF2-40B4-BE49-F238E27FC236}">
              <a16:creationId xmlns:a16="http://schemas.microsoft.com/office/drawing/2014/main" id="{18AF5C68-A331-BB92-9043-9618B6418ED6}"/>
            </a:ext>
          </a:extLst>
        </xdr:cNvPr>
        <xdr:cNvPicPr>
          <a:picLocks noChangeAspect="1"/>
        </xdr:cNvPicPr>
      </xdr:nvPicPr>
      <xdr:blipFill>
        <a:blip xmlns:r="http://schemas.openxmlformats.org/officeDocument/2006/relationships" r:embed="rId65"/>
        <a:stretch>
          <a:fillRect/>
        </a:stretch>
      </xdr:blipFill>
      <xdr:spPr>
        <a:xfrm>
          <a:off x="24107776" y="79505176"/>
          <a:ext cx="4229100" cy="2512422"/>
        </a:xfrm>
        <a:prstGeom prst="rect">
          <a:avLst/>
        </a:prstGeom>
      </xdr:spPr>
    </xdr:pic>
    <xdr:clientData/>
  </xdr:twoCellAnchor>
  <xdr:twoCellAnchor editAs="oneCell">
    <xdr:from>
      <xdr:col>30</xdr:col>
      <xdr:colOff>266700</xdr:colOff>
      <xdr:row>454</xdr:row>
      <xdr:rowOff>152400</xdr:rowOff>
    </xdr:from>
    <xdr:to>
      <xdr:col>38</xdr:col>
      <xdr:colOff>168307</xdr:colOff>
      <xdr:row>470</xdr:row>
      <xdr:rowOff>124225</xdr:rowOff>
    </xdr:to>
    <xdr:pic>
      <xdr:nvPicPr>
        <xdr:cNvPr id="76" name="Picture 75">
          <a:extLst>
            <a:ext uri="{FF2B5EF4-FFF2-40B4-BE49-F238E27FC236}">
              <a16:creationId xmlns:a16="http://schemas.microsoft.com/office/drawing/2014/main" id="{1A9D1E1B-C551-2D58-35C0-262DF32DBB63}"/>
            </a:ext>
          </a:extLst>
        </xdr:cNvPr>
        <xdr:cNvPicPr>
          <a:picLocks noChangeAspect="1"/>
        </xdr:cNvPicPr>
      </xdr:nvPicPr>
      <xdr:blipFill>
        <a:blip xmlns:r="http://schemas.openxmlformats.org/officeDocument/2006/relationships" r:embed="rId66"/>
        <a:stretch>
          <a:fillRect/>
        </a:stretch>
      </xdr:blipFill>
      <xdr:spPr>
        <a:xfrm>
          <a:off x="18888075" y="82372200"/>
          <a:ext cx="4778407" cy="28674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user" id="{5B5B782E-2A0A-438A-A5A1-177EBCEC19F0}" userId="user" providerId="Non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yWindowsUser" refreshedDate="45562.466841203706" createdVersion="8" refreshedVersion="8" minRefreshableVersion="3" recordCount="44" xr:uid="{BA3E0835-6DD5-49D2-BF63-49D5A7E0ED5E}">
  <cacheSource type="worksheet">
    <worksheetSource ref="A5:E49" sheet="6. Charts"/>
  </cacheSource>
  <cacheFields count="5">
    <cacheField name="Observation" numFmtId="3">
      <sharedItems containsSemiMixedTypes="0" containsString="0" containsNumber="1" containsInteger="1" minValue="1" maxValue="44"/>
    </cacheField>
    <cacheField name="Data 1" numFmtId="4">
      <sharedItems containsSemiMixedTypes="0" containsString="0" containsNumber="1" containsInteger="1" minValue="-5" maxValue="5" count="11">
        <n v="2"/>
        <n v="-1"/>
        <n v="4"/>
        <n v="5"/>
        <n v="-2"/>
        <n v="1"/>
        <n v="0"/>
        <n v="-3"/>
        <n v="-4"/>
        <n v="3"/>
        <n v="-5"/>
      </sharedItems>
    </cacheField>
    <cacheField name="Data 2" numFmtId="4">
      <sharedItems containsSemiMixedTypes="0" containsString="0" containsNumber="1" minValue="4.2043461718417219E-2" maxValue="2.9788967610697545" count="44">
        <n v="1.8109214372981315"/>
        <n v="2.5905737989007691"/>
        <n v="1.8142262935476663"/>
        <n v="1.9550141650678929"/>
        <n v="2.8363339306848254"/>
        <n v="2.1596363152368427"/>
        <n v="1.9599325373471794"/>
        <n v="1.875014876681754"/>
        <n v="1.7917186200425816"/>
        <n v="0.44552623141760328"/>
        <n v="2.8153261591835714"/>
        <n v="1.4053785810924828"/>
        <n v="2.5741667309607252"/>
        <n v="2.5622602011899778"/>
        <n v="2.7485502859952482"/>
        <n v="9.3779590993076201E-2"/>
        <n v="2.9788967610697545"/>
        <n v="2.9496437594343314"/>
        <n v="4.2043461718417219E-2"/>
        <n v="2.8917730838956124"/>
        <n v="1.9999379201029699"/>
        <n v="0.84491926684303353"/>
        <n v="1.9883541494724741"/>
        <n v="2.0982753709135715"/>
        <n v="0.11478237085731069"/>
        <n v="0.39021720267095206"/>
        <n v="2.7287134654179281"/>
        <n v="0.63618417138910355"/>
        <n v="2.2069290019763321"/>
        <n v="0.50173815733843996"/>
        <n v="1.9618935058689135"/>
        <n v="0.27848121516603996"/>
        <n v="2.0345714347173249"/>
        <n v="0.32276640359913511"/>
        <n v="1.0553036448004516"/>
        <n v="1.0415518072153302"/>
        <n v="0.73324271528591056"/>
        <n v="0.72673451456429117"/>
        <n v="2.5846117410114227"/>
        <n v="0.3676493154073206"/>
        <n v="1.3885648278661464"/>
        <n v="1.1818591336976039"/>
        <n v="0.18444621686123341"/>
        <n v="0.43911508427168433"/>
      </sharedItems>
    </cacheField>
    <cacheField name="Data 3" numFmtId="4">
      <sharedItems containsSemiMixedTypes="0" containsString="0" containsNumber="1" minValue="0.15475364784804269" maxValue="9.4280057220096154"/>
    </cacheField>
    <cacheField name="Data 4" numFmtId="4">
      <sharedItems containsSemiMixedTypes="0" containsString="0" containsNumber="1" minValue="-7.9571479379693519" maxValue="21.43614220961699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
  <r>
    <n v="1"/>
    <x v="0"/>
    <x v="0"/>
    <n v="3.8142053619659535"/>
    <n v="1.0535863885888921"/>
  </r>
  <r>
    <n v="2"/>
    <x v="1"/>
    <x v="1"/>
    <n v="7.8693798891939446"/>
    <n v="-1.0937479096589318"/>
  </r>
  <r>
    <n v="3"/>
    <x v="2"/>
    <x v="2"/>
    <n v="2.092017049945547"/>
    <n v="21.436142209616996"/>
  </r>
  <r>
    <n v="4"/>
    <x v="1"/>
    <x v="3"/>
    <n v="8.3200751839804798"/>
    <n v="-0.81114673752533961"/>
  </r>
  <r>
    <n v="5"/>
    <x v="2"/>
    <x v="4"/>
    <n v="6.211213271338865"/>
    <n v="1.7427168115770999"/>
  </r>
  <r>
    <n v="6"/>
    <x v="3"/>
    <x v="5"/>
    <n v="0.89690823635206085"/>
    <n v="9.7998375208759789"/>
  </r>
  <r>
    <n v="7"/>
    <x v="3"/>
    <x v="6"/>
    <n v="3.5676022907838592"/>
    <n v="2.6383475194258241"/>
  </r>
  <r>
    <n v="8"/>
    <x v="0"/>
    <x v="7"/>
    <n v="0.15475364784804269"/>
    <n v="1.9667171440659352"/>
  </r>
  <r>
    <n v="9"/>
    <x v="4"/>
    <x v="8"/>
    <n v="0.84632906110049366"/>
    <n v="-1.6572157673278893"/>
  </r>
  <r>
    <n v="10"/>
    <x v="1"/>
    <x v="9"/>
    <n v="3.8123899189198651"/>
    <n v="-1.0721601939677019"/>
  </r>
  <r>
    <n v="11"/>
    <x v="4"/>
    <x v="10"/>
    <n v="1.4016699417898049"/>
    <n v="-1.3667979593696533"/>
  </r>
  <r>
    <n v="12"/>
    <x v="5"/>
    <x v="11"/>
    <n v="5.912547565525359"/>
    <n v="3.7543815003844063"/>
  </r>
  <r>
    <n v="13"/>
    <x v="6"/>
    <x v="12"/>
    <n v="4.6358807386385816"/>
    <n v="0"/>
  </r>
  <r>
    <n v="14"/>
    <x v="7"/>
    <x v="13"/>
    <n v="6.714489127724371"/>
    <n v="-7.0581234960348986"/>
  </r>
  <r>
    <n v="15"/>
    <x v="4"/>
    <x v="14"/>
    <n v="5.3358632489228484"/>
    <n v="-2.382027490382121"/>
  </r>
  <r>
    <n v="16"/>
    <x v="2"/>
    <x v="15"/>
    <n v="6.7742326635337236"/>
    <n v="8.9091714761648007"/>
  </r>
  <r>
    <n v="17"/>
    <x v="6"/>
    <x v="16"/>
    <n v="7.4212839803512924"/>
    <n v="0"/>
  </r>
  <r>
    <n v="18"/>
    <x v="1"/>
    <x v="17"/>
    <n v="2.5024349903241392"/>
    <n v="-0.56835412136087005"/>
  </r>
  <r>
    <n v="19"/>
    <x v="8"/>
    <x v="18"/>
    <n v="4.9238457073952988"/>
    <n v="-2.8761874412424495"/>
  </r>
  <r>
    <n v="20"/>
    <x v="6"/>
    <x v="19"/>
    <n v="2.4795234894810392"/>
    <n v="0"/>
  </r>
  <r>
    <n v="21"/>
    <x v="4"/>
    <x v="20"/>
    <n v="0.88527709558692602"/>
    <n v="-1.0641587757944062"/>
  </r>
  <r>
    <n v="22"/>
    <x v="4"/>
    <x v="21"/>
    <n v="3.4355207351112602"/>
    <n v="-1.4771883087268423"/>
  </r>
  <r>
    <n v="23"/>
    <x v="3"/>
    <x v="22"/>
    <n v="5.4516765151590931"/>
    <n v="4.8113779209706999"/>
  </r>
  <r>
    <n v="24"/>
    <x v="0"/>
    <x v="23"/>
    <n v="4.1786254072598457"/>
    <n v="2.297296339337628"/>
  </r>
  <r>
    <n v="25"/>
    <x v="0"/>
    <x v="24"/>
    <n v="3.3850317199417468"/>
    <n v="1.2602684623351494"/>
  </r>
  <r>
    <n v="26"/>
    <x v="5"/>
    <x v="25"/>
    <n v="9.0600681993983994"/>
    <n v="1.0110366391300989"/>
  </r>
  <r>
    <n v="27"/>
    <x v="4"/>
    <x v="26"/>
    <n v="3.4948126228094898"/>
    <n v="-5.8299167359071875"/>
  </r>
  <r>
    <n v="28"/>
    <x v="9"/>
    <x v="27"/>
    <n v="2.7074059326877356"/>
    <n v="8.6896473619859993"/>
  </r>
  <r>
    <n v="29"/>
    <x v="0"/>
    <x v="28"/>
    <n v="5.1237431334005894"/>
    <n v="3.3840281939889536"/>
  </r>
  <r>
    <n v="30"/>
    <x v="10"/>
    <x v="29"/>
    <n v="3.7592166746530098"/>
    <n v="-3.1115125260320426"/>
  </r>
  <r>
    <n v="31"/>
    <x v="6"/>
    <x v="30"/>
    <n v="9.4280057220096154"/>
    <n v="0"/>
  </r>
  <r>
    <n v="32"/>
    <x v="3"/>
    <x v="31"/>
    <n v="2.5282354608785393"/>
    <n v="2.5432131685481982"/>
  </r>
  <r>
    <n v="33"/>
    <x v="10"/>
    <x v="32"/>
    <n v="0.4332367863427744"/>
    <n v="-2.533567579017987"/>
  </r>
  <r>
    <n v="34"/>
    <x v="4"/>
    <x v="33"/>
    <n v="5.3763937328217626"/>
    <n v="-2.9546624453981676"/>
  </r>
  <r>
    <n v="35"/>
    <x v="10"/>
    <x v="34"/>
    <n v="8.4434090802367123"/>
    <n v="-0.91017341412450004"/>
  </r>
  <r>
    <n v="36"/>
    <x v="9"/>
    <x v="35"/>
    <n v="8.3935336833090748"/>
    <n v="3.0839267191792028"/>
  </r>
  <r>
    <n v="37"/>
    <x v="2"/>
    <x v="36"/>
    <n v="1.6434409096585889"/>
    <n v="2.143960764507022"/>
  </r>
  <r>
    <n v="38"/>
    <x v="9"/>
    <x v="37"/>
    <n v="0.47272517020168436"/>
    <n v="2.6838478218474151"/>
  </r>
  <r>
    <n v="39"/>
    <x v="6"/>
    <x v="38"/>
    <n v="1.6735700189346414"/>
    <n v="0"/>
  </r>
  <r>
    <n v="40"/>
    <x v="8"/>
    <x v="39"/>
    <n v="4.8538296270728907"/>
    <n v="-7.9571479379693519"/>
  </r>
  <r>
    <n v="41"/>
    <x v="3"/>
    <x v="40"/>
    <n v="4.6698327346125108"/>
    <n v="4.6465086136534381"/>
  </r>
  <r>
    <n v="42"/>
    <x v="8"/>
    <x v="41"/>
    <n v="8.2441451067236198"/>
    <n v="-3.0194676687115347"/>
  </r>
  <r>
    <n v="43"/>
    <x v="2"/>
    <x v="42"/>
    <n v="4.5020291525664913"/>
    <n v="2.2154595164630355"/>
  </r>
  <r>
    <n v="44"/>
    <x v="5"/>
    <x v="43"/>
    <n v="6.6451210924288446"/>
    <n v="0.6013815950401731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0C5FF89-44C3-4845-9029-AC9E9A5481E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5:N81" firstHeaderRow="1" firstDataRow="2" firstDataCol="1"/>
  <pivotFields count="5">
    <pivotField dataField="1" numFmtId="3" showAll="0"/>
    <pivotField axis="axisCol" numFmtId="4" showAll="0">
      <items count="12">
        <item x="10"/>
        <item x="8"/>
        <item x="7"/>
        <item x="4"/>
        <item x="1"/>
        <item x="6"/>
        <item x="5"/>
        <item x="0"/>
        <item x="9"/>
        <item x="2"/>
        <item x="3"/>
        <item t="default"/>
      </items>
    </pivotField>
    <pivotField axis="axisRow" numFmtId="4" showAll="0">
      <items count="45">
        <item x="18"/>
        <item x="15"/>
        <item x="24"/>
        <item x="42"/>
        <item x="31"/>
        <item x="33"/>
        <item x="39"/>
        <item x="25"/>
        <item x="43"/>
        <item x="9"/>
        <item x="29"/>
        <item x="27"/>
        <item x="37"/>
        <item x="36"/>
        <item x="21"/>
        <item x="35"/>
        <item x="34"/>
        <item x="41"/>
        <item x="40"/>
        <item x="11"/>
        <item x="8"/>
        <item x="0"/>
        <item x="2"/>
        <item x="7"/>
        <item x="3"/>
        <item x="6"/>
        <item x="30"/>
        <item x="22"/>
        <item x="20"/>
        <item x="32"/>
        <item x="23"/>
        <item x="5"/>
        <item x="28"/>
        <item x="13"/>
        <item x="12"/>
        <item x="38"/>
        <item x="1"/>
        <item x="26"/>
        <item x="14"/>
        <item x="10"/>
        <item x="4"/>
        <item x="19"/>
        <item x="17"/>
        <item x="16"/>
        <item t="default"/>
      </items>
    </pivotField>
    <pivotField numFmtId="4" showAll="0"/>
    <pivotField numFmtId="4" showAll="0"/>
  </pivotFields>
  <rowFields count="1">
    <field x="2"/>
  </rowFields>
  <rowItems count="4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t="grand">
      <x/>
    </i>
  </rowItems>
  <colFields count="1">
    <field x="1"/>
  </colFields>
  <colItems count="12">
    <i>
      <x/>
    </i>
    <i>
      <x v="1"/>
    </i>
    <i>
      <x v="2"/>
    </i>
    <i>
      <x v="3"/>
    </i>
    <i>
      <x v="4"/>
    </i>
    <i>
      <x v="5"/>
    </i>
    <i>
      <x v="6"/>
    </i>
    <i>
      <x v="7"/>
    </i>
    <i>
      <x v="8"/>
    </i>
    <i>
      <x v="9"/>
    </i>
    <i>
      <x v="10"/>
    </i>
    <i t="grand">
      <x/>
    </i>
  </colItems>
  <dataFields count="1">
    <dataField name="Sum of Observation"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_rels/richValueRel.xml.rels><?xml version="1.0" encoding="UTF-8" standalone="yes"?>
<Relationships xmlns="http://schemas.openxmlformats.org/package/2006/relationships"><Relationship Id="rId1" Type="http://schemas.openxmlformats.org/officeDocument/2006/relationships/image" Target="../media/image1.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1">
  <a r="2">
    <v t="s" xml:space="preserve"> 'Hello' + ' ' + 'World' </v>
    <v>0</v>
  </a>
</arrayData>
</file>

<file path=xl/richData/rdrichvalue.xml><?xml version="1.0" encoding="utf-8"?>
<rvData xmlns="http://schemas.microsoft.com/office/spreadsheetml/2017/richdata" count="6">
  <rv s="0">
    <v>12</v>
    <v>x</v>
    <v>0</v>
  </rv>
  <rv s="1">
    <v>9</v>
    <v>0</v>
  </rv>
  <rv s="2">
    <v>0</v>
  </rv>
  <rv s="3">
    <v>tuple</v>
    <v>1</v>
    <v>2</v>
  </rv>
  <rv s="4">
    <v>&lt;class 'tuple'&gt;</v>
    <v>tuple</v>
    <v>(" 'Hello' + ' ' + 'World' ", 0)</v>
    <v>3</v>
    <v>2</v>
  </rv>
  <rv s="5">
    <v>0</v>
    <v>5</v>
    <v>Pink hued beach sand meeting the sea</v>
  </rv>
</rvData>
</file>

<file path=xl/richData/rdrichvaluestructure.xml><?xml version="1.0" encoding="utf-8"?>
<rvStructures xmlns="http://schemas.microsoft.com/office/spreadsheetml/2017/richdata" count="6">
  <s t="_error">
    <k n="errorType" t="i"/>
    <k n="field" t="s"/>
    <k n="subType" t="i"/>
  </s>
  <s t="_error">
    <k n="errorType" t="i"/>
    <k n="subType" t="i"/>
  </s>
  <s t="_array">
    <k n="array" t="a"/>
  </s>
  <s t="_entity">
    <k n="_DisplayString" t="s"/>
    <k n="_ViewInfo" t="spb"/>
    <k n="arrayPreview" t="r"/>
  </s>
  <s t="_python">
    <k n="Python_type" t="s"/>
    <k n="Python_typeName" t="s"/>
    <k n="Python_str" t="s"/>
    <k n="preview" t="r"/>
    <k n="_Provider" t="spb"/>
  </s>
  <s t="_localImage">
    <k n="_rvRel:LocalImageIdentifier" t="i"/>
    <k n="CalcOrigin" t="i"/>
    <k n="Text" t="s"/>
  </s>
</rvStructures>
</file>

<file path=xl/richData/rdsupportingpropertybag.xml><?xml version="1.0" encoding="utf-8"?>
<supportingPropertyBags xmlns="http://schemas.microsoft.com/office/spreadsheetml/2017/richdata2">
  <spbData count="3">
    <spb s="0">
      <v>2</v>
      <v>1</v>
      <v>tuple</v>
      <v>arrayPreview</v>
    </spb>
    <spb s="1">
      <v>0</v>
    </spb>
    <spb s="2">
      <v>https://www.anaconda.com/excel</v>
      <v>https://res.cdn.office.net/officepysvc/prod-service/anacondalogo.png</v>
      <v>Python provided by Anaconda</v>
    </spb>
  </spbData>
</supportingPropertyBags>
</file>

<file path=xl/richData/rdsupportingpropertybagstructure.xml><?xml version="1.0" encoding="utf-8"?>
<spbStructures xmlns="http://schemas.microsoft.com/office/spreadsheetml/2017/richdata2" count="3">
  <s>
    <k n="drw" t="i"/>
    <k n="dcol" t="i"/>
    <k n="name" t="s"/>
    <k n="array" t="s"/>
  </s>
  <s>
    <k n="ArrayCardInfo" t="spb"/>
  </s>
  <s>
    <k n="link" t="s"/>
    <k n="logo" t="s"/>
    <k n="name" t="s"/>
  </s>
</spb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80FC1DA-148B-493C-881A-5DDBCB5ECC3E}" name="Table1" displayName="Table1" ref="B15:D30" totalsRowShown="0">
  <autoFilter ref="B15:D30" xr:uid="{C80FC1DA-148B-493C-881A-5DDBCB5ECC3E}"/>
  <tableColumns count="3">
    <tableColumn id="1" xr3:uid="{179D994D-6D73-4E4E-84C9-833D5BAB19CB}" name="Date" dataDxfId="6"/>
    <tableColumn id="2" xr3:uid="{0510FD32-A133-4967-ABAD-8E557F43E950}" name="Val1"/>
    <tableColumn id="3" xr3:uid="{95E0CA40-84BC-435B-8EB8-9F5360143D8A}" name="Val2"/>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47" dT="2024-09-26T13:19:17.30" personId="{5B5B782E-2A0A-438A-A5A1-177EBCEC19F0}" id="{E8D86244-F944-49F0-8416-C13652F2FA8F}">
    <text>This is a new comment</text>
  </threadedComment>
  <threadedComment ref="B147" dT="2024-09-26T13:19:40.11" personId="{5B5B782E-2A0A-438A-A5A1-177EBCEC19F0}" id="{C8A25E52-A696-4D17-A314-8C24769CC6FE}" parentId="{E8D86244-F944-49F0-8416-C13652F2FA8F}">
    <text>You can comment on the comment</text>
  </threadedComment>
</ThreadedComments>
</file>

<file path=xl/worksheets/_rels/sheet2.xml.rels><?xml version="1.0" encoding="UTF-8" standalone="yes"?>
<Relationships xmlns="http://schemas.openxmlformats.org/package/2006/relationships"><Relationship Id="rId117" Type="http://schemas.openxmlformats.org/officeDocument/2006/relationships/hyperlink" Target="https://support.microsoft.com/en-us/excel/functions/daverage-function" TargetMode="External"/><Relationship Id="rId21" Type="http://schemas.openxmlformats.org/officeDocument/2006/relationships/hyperlink" Target="https://support.microsoft.com/en-us/excel/functions/atan-function" TargetMode="External"/><Relationship Id="rId324" Type="http://schemas.openxmlformats.org/officeDocument/2006/relationships/hyperlink" Target="https://support.microsoft.com/en-us/excel/functions/normsinv-function" TargetMode="External"/><Relationship Id="rId170" Type="http://schemas.openxmlformats.org/officeDocument/2006/relationships/hyperlink" Target="https://support.microsoft.com/en-us/excel/functions/fact-function" TargetMode="External"/><Relationship Id="rId268" Type="http://schemas.openxmlformats.org/officeDocument/2006/relationships/hyperlink" Target="https://support.microsoft.com/en-us/excel/functions/lambda-function" TargetMode="External"/><Relationship Id="rId475" Type="http://schemas.openxmlformats.org/officeDocument/2006/relationships/hyperlink" Target="https://support.microsoft.com/en-us/excel/functions/unique-function" TargetMode="External"/><Relationship Id="rId32" Type="http://schemas.openxmlformats.org/officeDocument/2006/relationships/hyperlink" Target="https://support.microsoft.com/en-us/excel/functions/besselj-function" TargetMode="External"/><Relationship Id="rId74" Type="http://schemas.openxmlformats.org/officeDocument/2006/relationships/hyperlink" Target="https://support.microsoft.com/en-us/excel/functions/combin-function" TargetMode="External"/><Relationship Id="rId128" Type="http://schemas.openxmlformats.org/officeDocument/2006/relationships/hyperlink" Target="https://support.microsoft.com/en-us/excel/functions/dec2oct-function" TargetMode="External"/><Relationship Id="rId335" Type="http://schemas.openxmlformats.org/officeDocument/2006/relationships/hyperlink" Target="https://support.microsoft.com/en-us/excel/functions/oddfyield-function" TargetMode="External"/><Relationship Id="rId377" Type="http://schemas.openxmlformats.org/officeDocument/2006/relationships/hyperlink" Target="https://support.microsoft.com/en-us/excel/functions/rank-avg-function" TargetMode="External"/><Relationship Id="rId500" Type="http://schemas.openxmlformats.org/officeDocument/2006/relationships/hyperlink" Target="https://support.microsoft.com/en-us/excel/functions/xnpv-function" TargetMode="External"/><Relationship Id="rId5" Type="http://schemas.openxmlformats.org/officeDocument/2006/relationships/hyperlink" Target="https://support.microsoft.com/en-us/excel/functions/accrintm-function" TargetMode="External"/><Relationship Id="rId181" Type="http://schemas.openxmlformats.org/officeDocument/2006/relationships/hyperlink" Target="https://support.microsoft.com/en-us/excel/functions/floor-function" TargetMode="External"/><Relationship Id="rId237" Type="http://schemas.openxmlformats.org/officeDocument/2006/relationships/hyperlink" Target="https://support.microsoft.com/en-us/excel/functions/importcsv-function" TargetMode="External"/><Relationship Id="rId402" Type="http://schemas.openxmlformats.org/officeDocument/2006/relationships/hyperlink" Target="https://support.microsoft.com/en-us/excel/functions/second-function" TargetMode="External"/><Relationship Id="rId279" Type="http://schemas.openxmlformats.org/officeDocument/2006/relationships/hyperlink" Target="https://support.microsoft.com/en-us/excel/functions/loginv-function" TargetMode="External"/><Relationship Id="rId444" Type="http://schemas.openxmlformats.org/officeDocument/2006/relationships/hyperlink" Target="https://support.microsoft.com/en-us/excel/functions/t-test-function" TargetMode="External"/><Relationship Id="rId486" Type="http://schemas.openxmlformats.org/officeDocument/2006/relationships/hyperlink" Target="https://support.microsoft.com/en-us/excel/functions/vlookup-function" TargetMode="External"/><Relationship Id="rId43" Type="http://schemas.openxmlformats.org/officeDocument/2006/relationships/hyperlink" Target="https://support.microsoft.com/en-us/excel/functions/binom-dist-range-function" TargetMode="External"/><Relationship Id="rId139" Type="http://schemas.openxmlformats.org/officeDocument/2006/relationships/hyperlink" Target="https://support.microsoft.com/en-us/excel/functions/dollarde-function" TargetMode="External"/><Relationship Id="rId290" Type="http://schemas.openxmlformats.org/officeDocument/2006/relationships/hyperlink" Target="https://support.microsoft.com/en-us/excel/functions/maxifs-function" TargetMode="External"/><Relationship Id="rId304" Type="http://schemas.openxmlformats.org/officeDocument/2006/relationships/hyperlink" Target="https://support.microsoft.com/en-us/excel/functions/mode-mult-function" TargetMode="External"/><Relationship Id="rId346" Type="http://schemas.openxmlformats.org/officeDocument/2006/relationships/hyperlink" Target="https://support.microsoft.com/en-us/excel/functions/percentrank-function" TargetMode="External"/><Relationship Id="rId388" Type="http://schemas.openxmlformats.org/officeDocument/2006/relationships/hyperlink" Target="https://support.microsoft.com/en-us/excel/functions/right-function" TargetMode="External"/><Relationship Id="rId511" Type="http://schemas.openxmlformats.org/officeDocument/2006/relationships/hyperlink" Target="https://support.microsoft.com/en-us/excel/functions/is-functions" TargetMode="External"/><Relationship Id="rId85" Type="http://schemas.openxmlformats.org/officeDocument/2006/relationships/hyperlink" Target="https://support.microsoft.com/en-us/excel/functions/cos-function" TargetMode="External"/><Relationship Id="rId150" Type="http://schemas.openxmlformats.org/officeDocument/2006/relationships/hyperlink" Target="https://support.microsoft.com/en-us/excel/functions/effect-function" TargetMode="External"/><Relationship Id="rId192" Type="http://schemas.openxmlformats.org/officeDocument/2006/relationships/hyperlink" Target="https://support.microsoft.com/en-us/excel/functions/fv-function" TargetMode="External"/><Relationship Id="rId206" Type="http://schemas.openxmlformats.org/officeDocument/2006/relationships/hyperlink" Target="https://support.microsoft.com/en-us/excel/functions/groupby-function" TargetMode="External"/><Relationship Id="rId413" Type="http://schemas.openxmlformats.org/officeDocument/2006/relationships/hyperlink" Target="https://support.microsoft.com/en-us/excel/functions/slope-function" TargetMode="External"/><Relationship Id="rId248" Type="http://schemas.openxmlformats.org/officeDocument/2006/relationships/hyperlink" Target="https://support.microsoft.com/en-us/excel/functions/imsum-function" TargetMode="External"/><Relationship Id="rId455" Type="http://schemas.openxmlformats.org/officeDocument/2006/relationships/hyperlink" Target="https://support.microsoft.com/en-us/excel/functions/textjoin-function" TargetMode="External"/><Relationship Id="rId497" Type="http://schemas.openxmlformats.org/officeDocument/2006/relationships/hyperlink" Target="https://support.microsoft.com/en-us/excel/functions/xirr-function" TargetMode="External"/><Relationship Id="rId12" Type="http://schemas.openxmlformats.org/officeDocument/2006/relationships/hyperlink" Target="https://support.microsoft.com/en-us/excel/functions/amordegrc-function" TargetMode="External"/><Relationship Id="rId108" Type="http://schemas.openxmlformats.org/officeDocument/2006/relationships/hyperlink" Target="https://support.microsoft.com/en-us/excel/functions/cuberankedmember-function" TargetMode="External"/><Relationship Id="rId315" Type="http://schemas.openxmlformats.org/officeDocument/2006/relationships/hyperlink" Target="https://support.microsoft.com/en-us/excel/functions/networkdays-intl-function" TargetMode="External"/><Relationship Id="rId357" Type="http://schemas.openxmlformats.org/officeDocument/2006/relationships/hyperlink" Target="https://support.microsoft.com/en-us/excel/functions/poisson-dist-function" TargetMode="External"/><Relationship Id="rId522" Type="http://schemas.openxmlformats.org/officeDocument/2006/relationships/hyperlink" Target="https://support.microsoft.com/en-us/excel/functions/sqrt-function" TargetMode="External"/><Relationship Id="rId54" Type="http://schemas.openxmlformats.org/officeDocument/2006/relationships/hyperlink" Target="https://support.microsoft.com/en-us/excel/functions/ceiling-function" TargetMode="External"/><Relationship Id="rId96" Type="http://schemas.openxmlformats.org/officeDocument/2006/relationships/hyperlink" Target="https://support.microsoft.com/en-us/excel/functions/coupncd-function" TargetMode="External"/><Relationship Id="rId161" Type="http://schemas.openxmlformats.org/officeDocument/2006/relationships/hyperlink" Target="https://support.microsoft.com/en-us/excel/functions/exp-function" TargetMode="External"/><Relationship Id="rId217" Type="http://schemas.openxmlformats.org/officeDocument/2006/relationships/hyperlink" Target="https://support.microsoft.com/en-us/excel/functions/hypgeomdist-function" TargetMode="External"/><Relationship Id="rId399" Type="http://schemas.openxmlformats.org/officeDocument/2006/relationships/hyperlink" Target="https://support.microsoft.com/en-us/excel/functions/search-function" TargetMode="External"/><Relationship Id="rId259" Type="http://schemas.openxmlformats.org/officeDocument/2006/relationships/hyperlink" Target="https://support.microsoft.com/en-us/excel/functions/iseven-function" TargetMode="External"/><Relationship Id="rId424" Type="http://schemas.openxmlformats.org/officeDocument/2006/relationships/hyperlink" Target="https://support.microsoft.com/en-us/excel/functions/steyx-function" TargetMode="External"/><Relationship Id="rId466" Type="http://schemas.openxmlformats.org/officeDocument/2006/relationships/hyperlink" Target="https://support.microsoft.com/en-us/excel/functions/trim-function" TargetMode="External"/><Relationship Id="rId23" Type="http://schemas.openxmlformats.org/officeDocument/2006/relationships/hyperlink" Target="https://support.microsoft.com/en-us/excel/functions/atanh-function" TargetMode="External"/><Relationship Id="rId119" Type="http://schemas.openxmlformats.org/officeDocument/2006/relationships/hyperlink" Target="https://support.microsoft.com/en-us/excel/functions/days-function" TargetMode="External"/><Relationship Id="rId270" Type="http://schemas.openxmlformats.org/officeDocument/2006/relationships/hyperlink" Target="https://support.microsoft.com/en-us/excel/functions/lcm-function" TargetMode="External"/><Relationship Id="rId326" Type="http://schemas.openxmlformats.org/officeDocument/2006/relationships/hyperlink" Target="https://support.microsoft.com/en-us/excel/functions/now-function" TargetMode="External"/><Relationship Id="rId65" Type="http://schemas.openxmlformats.org/officeDocument/2006/relationships/hyperlink" Target="https://support.microsoft.com/en-us/excel/functions/chisq-test-function" TargetMode="External"/><Relationship Id="rId130" Type="http://schemas.openxmlformats.org/officeDocument/2006/relationships/hyperlink" Target="https://support.microsoft.com/en-us/excel/functions/degrees-function" TargetMode="External"/><Relationship Id="rId368" Type="http://schemas.openxmlformats.org/officeDocument/2006/relationships/hyperlink" Target="https://support.microsoft.com/en-us/excel/functions/quartile-function" TargetMode="External"/><Relationship Id="rId172" Type="http://schemas.openxmlformats.org/officeDocument/2006/relationships/hyperlink" Target="https://support.microsoft.com/en-us/excel/functions/false-function" TargetMode="External"/><Relationship Id="rId228" Type="http://schemas.openxmlformats.org/officeDocument/2006/relationships/hyperlink" Target="https://support.microsoft.com/en-us/excel/functions/imcosh-function" TargetMode="External"/><Relationship Id="rId435" Type="http://schemas.openxmlformats.org/officeDocument/2006/relationships/hyperlink" Target="https://support.microsoft.com/en-us/excel/functions/sumxmy2-function" TargetMode="External"/><Relationship Id="rId477" Type="http://schemas.openxmlformats.org/officeDocument/2006/relationships/hyperlink" Target="https://support.microsoft.com/en-us/excel/functions/value-function" TargetMode="External"/><Relationship Id="rId281" Type="http://schemas.openxmlformats.org/officeDocument/2006/relationships/hyperlink" Target="https://support.microsoft.com/en-us/excel/functions/lognorm-inv-function" TargetMode="External"/><Relationship Id="rId337" Type="http://schemas.openxmlformats.org/officeDocument/2006/relationships/hyperlink" Target="https://support.microsoft.com/en-us/excel/functions/oddlyield-function" TargetMode="External"/><Relationship Id="rId502" Type="http://schemas.openxmlformats.org/officeDocument/2006/relationships/hyperlink" Target="https://support.microsoft.com/en-us/excel/functions/year-function" TargetMode="External"/><Relationship Id="rId34" Type="http://schemas.openxmlformats.org/officeDocument/2006/relationships/hyperlink" Target="https://support.microsoft.com/en-us/excel/functions/bessely-function" TargetMode="External"/><Relationship Id="rId76" Type="http://schemas.openxmlformats.org/officeDocument/2006/relationships/hyperlink" Target="https://support.microsoft.com/en-us/excel/functions/complex-function" TargetMode="External"/><Relationship Id="rId141" Type="http://schemas.openxmlformats.org/officeDocument/2006/relationships/hyperlink" Target="https://support.microsoft.com/en-us/excel/functions/dproduct-function" TargetMode="External"/><Relationship Id="rId379" Type="http://schemas.openxmlformats.org/officeDocument/2006/relationships/hyperlink" Target="https://support.microsoft.com/en-us/excel/functions/rate-function" TargetMode="External"/><Relationship Id="rId7" Type="http://schemas.openxmlformats.org/officeDocument/2006/relationships/hyperlink" Target="https://support.microsoft.com/en-us/excel/functions/acosh-function" TargetMode="External"/><Relationship Id="rId183" Type="http://schemas.openxmlformats.org/officeDocument/2006/relationships/hyperlink" Target="https://support.microsoft.com/en-us/excel/functions/floor-precise-function" TargetMode="External"/><Relationship Id="rId239" Type="http://schemas.openxmlformats.org/officeDocument/2006/relationships/hyperlink" Target="https://support.microsoft.com/en-us/excel/functions/impower-function" TargetMode="External"/><Relationship Id="rId390" Type="http://schemas.openxmlformats.org/officeDocument/2006/relationships/hyperlink" Target="https://support.microsoft.com/en-us/excel/functions/round-function" TargetMode="External"/><Relationship Id="rId404" Type="http://schemas.openxmlformats.org/officeDocument/2006/relationships/hyperlink" Target="https://support.microsoft.com/en-us/excel/functions/seriessum-function" TargetMode="External"/><Relationship Id="rId446" Type="http://schemas.openxmlformats.org/officeDocument/2006/relationships/hyperlink" Target="https://support.microsoft.com/en-us/excel/functions/tan-function" TargetMode="External"/><Relationship Id="rId250" Type="http://schemas.openxmlformats.org/officeDocument/2006/relationships/hyperlink" Target="https://support.microsoft.com/en-us/excel/functions/index-function" TargetMode="External"/><Relationship Id="rId292" Type="http://schemas.openxmlformats.org/officeDocument/2006/relationships/hyperlink" Target="https://support.microsoft.com/en-us/excel/functions/mduration-function" TargetMode="External"/><Relationship Id="rId306" Type="http://schemas.openxmlformats.org/officeDocument/2006/relationships/hyperlink" Target="https://support.microsoft.com/en-us/excel/functions/month-function" TargetMode="External"/><Relationship Id="rId488" Type="http://schemas.openxmlformats.org/officeDocument/2006/relationships/hyperlink" Target="https://support.microsoft.com/en-us/excel/functions/webservice-function" TargetMode="External"/><Relationship Id="rId45" Type="http://schemas.openxmlformats.org/officeDocument/2006/relationships/hyperlink" Target="https://support.microsoft.com/en-us/excel/functions/binomdist-function" TargetMode="External"/><Relationship Id="rId87" Type="http://schemas.openxmlformats.org/officeDocument/2006/relationships/hyperlink" Target="https://support.microsoft.com/en-us/excel/functions/cot-function" TargetMode="External"/><Relationship Id="rId110" Type="http://schemas.openxmlformats.org/officeDocument/2006/relationships/hyperlink" Target="https://support.microsoft.com/en-us/excel/functions/cubesetcount-function" TargetMode="External"/><Relationship Id="rId348" Type="http://schemas.openxmlformats.org/officeDocument/2006/relationships/hyperlink" Target="https://support.microsoft.com/en-us/excel/functions/percentrank-inc-function" TargetMode="External"/><Relationship Id="rId513" Type="http://schemas.openxmlformats.org/officeDocument/2006/relationships/hyperlink" Target="https://support.microsoft.com/en-us/excel/functions/is-functions" TargetMode="External"/><Relationship Id="rId152" Type="http://schemas.openxmlformats.org/officeDocument/2006/relationships/hyperlink" Target="https://support.microsoft.com/en-us/excel/functions/eomonth-function" TargetMode="External"/><Relationship Id="rId194" Type="http://schemas.openxmlformats.org/officeDocument/2006/relationships/hyperlink" Target="https://support.microsoft.com/en-us/excel/functions/gamma-function" TargetMode="External"/><Relationship Id="rId208" Type="http://schemas.openxmlformats.org/officeDocument/2006/relationships/hyperlink" Target="https://support.microsoft.com/en-us/excel/functions/harmean-function" TargetMode="External"/><Relationship Id="rId415" Type="http://schemas.openxmlformats.org/officeDocument/2006/relationships/hyperlink" Target="https://support.microsoft.com/en-us/excel/functions/sort-function" TargetMode="External"/><Relationship Id="rId457" Type="http://schemas.openxmlformats.org/officeDocument/2006/relationships/hyperlink" Target="https://support.microsoft.com/en-us/excel/functions/time-function" TargetMode="External"/><Relationship Id="rId261" Type="http://schemas.openxmlformats.org/officeDocument/2006/relationships/hyperlink" Target="https://support.microsoft.com/en-us/excel/functions/iso-ceiling-function" TargetMode="External"/><Relationship Id="rId499" Type="http://schemas.openxmlformats.org/officeDocument/2006/relationships/hyperlink" Target="https://support.microsoft.com/en-us/excel/functions/xmatch-function" TargetMode="External"/><Relationship Id="rId14" Type="http://schemas.openxmlformats.org/officeDocument/2006/relationships/hyperlink" Target="https://support.microsoft.com/en-us/excel/functions/and-function" TargetMode="External"/><Relationship Id="rId56" Type="http://schemas.openxmlformats.org/officeDocument/2006/relationships/hyperlink" Target="https://support.microsoft.com/en-us/excel/functions/ceiling-precise-function" TargetMode="External"/><Relationship Id="rId317" Type="http://schemas.openxmlformats.org/officeDocument/2006/relationships/hyperlink" Target="https://support.microsoft.com/en-us/excel/functions/norm-dist-function" TargetMode="External"/><Relationship Id="rId359" Type="http://schemas.openxmlformats.org/officeDocument/2006/relationships/hyperlink" Target="https://support.microsoft.com/en-us/excel/functions/ppmt-function" TargetMode="External"/><Relationship Id="rId524" Type="http://schemas.openxmlformats.org/officeDocument/2006/relationships/drawing" Target="../drawings/drawing1.xml"/><Relationship Id="rId98" Type="http://schemas.openxmlformats.org/officeDocument/2006/relationships/hyperlink" Target="https://support.microsoft.com/en-us/excel/functions/couppcd-function" TargetMode="External"/><Relationship Id="rId121" Type="http://schemas.openxmlformats.org/officeDocument/2006/relationships/hyperlink" Target="https://support.microsoft.com/en-us/excel/functions/db-function" TargetMode="External"/><Relationship Id="rId163" Type="http://schemas.openxmlformats.org/officeDocument/2006/relationships/hyperlink" Target="https://support.microsoft.com/en-us/excel/functions/expon-dist-function" TargetMode="External"/><Relationship Id="rId219" Type="http://schemas.openxmlformats.org/officeDocument/2006/relationships/hyperlink" Target="https://support.microsoft.com/en-us/excel/functions/iferror-function" TargetMode="External"/><Relationship Id="rId370" Type="http://schemas.openxmlformats.org/officeDocument/2006/relationships/hyperlink" Target="https://support.microsoft.com/en-us/excel/functions/quartile-inc-function" TargetMode="External"/><Relationship Id="rId426" Type="http://schemas.openxmlformats.org/officeDocument/2006/relationships/hyperlink" Target="https://support.microsoft.com/en-us/excel/functions/substitute-function" TargetMode="External"/><Relationship Id="rId230" Type="http://schemas.openxmlformats.org/officeDocument/2006/relationships/hyperlink" Target="https://support.microsoft.com/en-us/excel/functions/imcsc-function" TargetMode="External"/><Relationship Id="rId468" Type="http://schemas.openxmlformats.org/officeDocument/2006/relationships/hyperlink" Target="https://support.microsoft.com/en-us/excel/functions/trimrange-function" TargetMode="External"/><Relationship Id="rId25" Type="http://schemas.openxmlformats.org/officeDocument/2006/relationships/hyperlink" Target="https://support.microsoft.com/en-us/excel/functions/average-function" TargetMode="External"/><Relationship Id="rId67" Type="http://schemas.openxmlformats.org/officeDocument/2006/relationships/hyperlink" Target="https://support.microsoft.com/en-us/excel/functions/choose-function" TargetMode="External"/><Relationship Id="rId272" Type="http://schemas.openxmlformats.org/officeDocument/2006/relationships/hyperlink" Target="https://support.microsoft.com/en-us/excel/functions/len-function" TargetMode="External"/><Relationship Id="rId328" Type="http://schemas.openxmlformats.org/officeDocument/2006/relationships/hyperlink" Target="https://support.microsoft.com/en-us/excel/functions/npv-function" TargetMode="External"/><Relationship Id="rId132" Type="http://schemas.openxmlformats.org/officeDocument/2006/relationships/hyperlink" Target="https://support.microsoft.com/en-us/excel/functions/detectlanguage-function" TargetMode="External"/><Relationship Id="rId174" Type="http://schemas.openxmlformats.org/officeDocument/2006/relationships/hyperlink" Target="https://support.microsoft.com/en-us/excel/functions/fieldvalue-function" TargetMode="External"/><Relationship Id="rId381" Type="http://schemas.openxmlformats.org/officeDocument/2006/relationships/hyperlink" Target="https://support.microsoft.com/en-us/excel/functions/reduce-function" TargetMode="External"/><Relationship Id="rId241" Type="http://schemas.openxmlformats.org/officeDocument/2006/relationships/hyperlink" Target="https://support.microsoft.com/en-us/excel/functions/imreal-function" TargetMode="External"/><Relationship Id="rId437" Type="http://schemas.openxmlformats.org/officeDocument/2006/relationships/hyperlink" Target="https://support.microsoft.com/en-us/excel/functions/syd-function" TargetMode="External"/><Relationship Id="rId479" Type="http://schemas.openxmlformats.org/officeDocument/2006/relationships/hyperlink" Target="https://support.microsoft.com/en-us/excel/functions/var-function" TargetMode="External"/><Relationship Id="rId36" Type="http://schemas.openxmlformats.org/officeDocument/2006/relationships/hyperlink" Target="https://support.microsoft.com/en-us/excel/functions/beta-inv-function" TargetMode="External"/><Relationship Id="rId283" Type="http://schemas.openxmlformats.org/officeDocument/2006/relationships/hyperlink" Target="https://support.microsoft.com/en-us/excel/functions/lookup-function" TargetMode="External"/><Relationship Id="rId339" Type="http://schemas.openxmlformats.org/officeDocument/2006/relationships/hyperlink" Target="https://support.microsoft.com/en-us/excel/functions/or-function" TargetMode="External"/><Relationship Id="rId490" Type="http://schemas.openxmlformats.org/officeDocument/2006/relationships/hyperlink" Target="https://support.microsoft.com/en-us/excel/functions/weeknum-function" TargetMode="External"/><Relationship Id="rId504" Type="http://schemas.openxmlformats.org/officeDocument/2006/relationships/hyperlink" Target="https://support.microsoft.com/en-us/excel/functions/yield-function" TargetMode="External"/><Relationship Id="rId78" Type="http://schemas.openxmlformats.org/officeDocument/2006/relationships/hyperlink" Target="https://support.microsoft.com/en-us/excel/functions/concatenate-function" TargetMode="External"/><Relationship Id="rId101" Type="http://schemas.openxmlformats.org/officeDocument/2006/relationships/hyperlink" Target="https://support.microsoft.com/en-us/excel/functions/covariance-s-function" TargetMode="External"/><Relationship Id="rId143" Type="http://schemas.openxmlformats.org/officeDocument/2006/relationships/hyperlink" Target="https://support.microsoft.com/en-us/excel/functions/dstdev-function" TargetMode="External"/><Relationship Id="rId185" Type="http://schemas.openxmlformats.org/officeDocument/2006/relationships/hyperlink" Target="https://support.microsoft.com/en-us/excel/functions/forecast-ets-function" TargetMode="External"/><Relationship Id="rId350" Type="http://schemas.openxmlformats.org/officeDocument/2006/relationships/hyperlink" Target="https://support.microsoft.com/en-us/excel/functions/permutationa-function" TargetMode="External"/><Relationship Id="rId406" Type="http://schemas.openxmlformats.org/officeDocument/2006/relationships/hyperlink" Target="https://support.microsoft.com/en-us/excel/functions/sheets-function" TargetMode="External"/><Relationship Id="rId9" Type="http://schemas.openxmlformats.org/officeDocument/2006/relationships/hyperlink" Target="https://support.microsoft.com/en-us/excel/functions/acoth-function" TargetMode="External"/><Relationship Id="rId210" Type="http://schemas.openxmlformats.org/officeDocument/2006/relationships/hyperlink" Target="https://support.microsoft.com/en-us/excel/functions/hex2dec-function" TargetMode="External"/><Relationship Id="rId392" Type="http://schemas.openxmlformats.org/officeDocument/2006/relationships/hyperlink" Target="https://support.microsoft.com/en-us/excel/functions/roundup-function" TargetMode="External"/><Relationship Id="rId448" Type="http://schemas.openxmlformats.org/officeDocument/2006/relationships/hyperlink" Target="https://support.microsoft.com/en-us/excel/functions/tbilleq-function" TargetMode="External"/><Relationship Id="rId252" Type="http://schemas.openxmlformats.org/officeDocument/2006/relationships/hyperlink" Target="https://support.microsoft.com/en-us/excel/functions/info-function" TargetMode="External"/><Relationship Id="rId294" Type="http://schemas.openxmlformats.org/officeDocument/2006/relationships/hyperlink" Target="https://support.microsoft.com/en-us/excel/functions/mid-function" TargetMode="External"/><Relationship Id="rId308" Type="http://schemas.openxmlformats.org/officeDocument/2006/relationships/hyperlink" Target="https://support.microsoft.com/en-us/excel/functions/multinomial-function" TargetMode="External"/><Relationship Id="rId515" Type="http://schemas.openxmlformats.org/officeDocument/2006/relationships/hyperlink" Target="https://support.microsoft.com/en-us/excel/functions/is-functions" TargetMode="External"/><Relationship Id="rId47" Type="http://schemas.openxmlformats.org/officeDocument/2006/relationships/hyperlink" Target="https://support.microsoft.com/en-us/excel/functions/bitlshift-function" TargetMode="External"/><Relationship Id="rId89" Type="http://schemas.openxmlformats.org/officeDocument/2006/relationships/hyperlink" Target="https://support.microsoft.com/en-us/excel/functions/count-function" TargetMode="External"/><Relationship Id="rId112" Type="http://schemas.openxmlformats.org/officeDocument/2006/relationships/hyperlink" Target="https://support.microsoft.com/en-us/excel/functions/cumipmt-function" TargetMode="External"/><Relationship Id="rId154" Type="http://schemas.openxmlformats.org/officeDocument/2006/relationships/hyperlink" Target="https://support.microsoft.com/en-us/excel/functions/erf-precise-function" TargetMode="External"/><Relationship Id="rId361" Type="http://schemas.openxmlformats.org/officeDocument/2006/relationships/hyperlink" Target="https://support.microsoft.com/en-us/excel/functions/pricedisc-function" TargetMode="External"/><Relationship Id="rId196" Type="http://schemas.openxmlformats.org/officeDocument/2006/relationships/hyperlink" Target="https://support.microsoft.com/en-us/excel/functions/gamma-inv-function" TargetMode="External"/><Relationship Id="rId417" Type="http://schemas.openxmlformats.org/officeDocument/2006/relationships/hyperlink" Target="https://support.microsoft.com/en-us/excel/functions/standardize-function" TargetMode="External"/><Relationship Id="rId459" Type="http://schemas.openxmlformats.org/officeDocument/2006/relationships/hyperlink" Target="https://support.microsoft.com/en-us/excel/functions/tinv-function" TargetMode="External"/><Relationship Id="rId16" Type="http://schemas.openxmlformats.org/officeDocument/2006/relationships/hyperlink" Target="https://support.microsoft.com/en-us/excel/functions/areas-function" TargetMode="External"/><Relationship Id="rId221" Type="http://schemas.openxmlformats.org/officeDocument/2006/relationships/hyperlink" Target="https://support.microsoft.com/en-us/excel/functions/ifs-function" TargetMode="External"/><Relationship Id="rId263" Type="http://schemas.openxmlformats.org/officeDocument/2006/relationships/hyperlink" Target="https://support.microsoft.com/en-us/excel/functions/isomitted-function" TargetMode="External"/><Relationship Id="rId319" Type="http://schemas.openxmlformats.org/officeDocument/2006/relationships/hyperlink" Target="https://support.microsoft.com/en-us/excel/functions/norm-s-dist-function" TargetMode="External"/><Relationship Id="rId470" Type="http://schemas.openxmlformats.org/officeDocument/2006/relationships/hyperlink" Target="https://support.microsoft.com/en-us/excel/functions/trunc-function" TargetMode="External"/><Relationship Id="rId58" Type="http://schemas.openxmlformats.org/officeDocument/2006/relationships/hyperlink" Target="https://support.microsoft.com/en-us/excel/functions/char-function" TargetMode="External"/><Relationship Id="rId123" Type="http://schemas.openxmlformats.org/officeDocument/2006/relationships/hyperlink" Target="https://support.microsoft.com/en-us/excel/functions/dcount-function" TargetMode="External"/><Relationship Id="rId330" Type="http://schemas.openxmlformats.org/officeDocument/2006/relationships/hyperlink" Target="https://support.microsoft.com/en-us/excel/functions/oct2bin-function" TargetMode="External"/><Relationship Id="rId165" Type="http://schemas.openxmlformats.org/officeDocument/2006/relationships/hyperlink" Target="https://support.microsoft.com/en-us/excel/functions/f-dist-function" TargetMode="External"/><Relationship Id="rId372" Type="http://schemas.openxmlformats.org/officeDocument/2006/relationships/hyperlink" Target="https://support.microsoft.com/en-us/excel/functions/radians-function" TargetMode="External"/><Relationship Id="rId428" Type="http://schemas.openxmlformats.org/officeDocument/2006/relationships/hyperlink" Target="https://support.microsoft.com/en-us/excel/functions/sum-function" TargetMode="External"/><Relationship Id="rId232" Type="http://schemas.openxmlformats.org/officeDocument/2006/relationships/hyperlink" Target="https://support.microsoft.com/en-us/excel/functions/imdiv-function" TargetMode="External"/><Relationship Id="rId274" Type="http://schemas.openxmlformats.org/officeDocument/2006/relationships/hyperlink" Target="https://support.microsoft.com/en-us/excel/functions/linest-function" TargetMode="External"/><Relationship Id="rId481" Type="http://schemas.openxmlformats.org/officeDocument/2006/relationships/hyperlink" Target="https://support.microsoft.com/en-us/excel/functions/var-s-function" TargetMode="External"/><Relationship Id="rId27" Type="http://schemas.openxmlformats.org/officeDocument/2006/relationships/hyperlink" Target="https://support.microsoft.com/en-us/excel/functions/averageif-function" TargetMode="External"/><Relationship Id="rId69" Type="http://schemas.openxmlformats.org/officeDocument/2006/relationships/hyperlink" Target="https://support.microsoft.com/en-us/excel/functions/chooserows-function" TargetMode="External"/><Relationship Id="rId134" Type="http://schemas.openxmlformats.org/officeDocument/2006/relationships/hyperlink" Target="https://support.microsoft.com/en-us/excel/functions/dget-function" TargetMode="External"/><Relationship Id="rId80" Type="http://schemas.openxmlformats.org/officeDocument/2006/relationships/hyperlink" Target="https://support.microsoft.com/en-us/excel/functions/confidence-norm-function" TargetMode="External"/><Relationship Id="rId176" Type="http://schemas.openxmlformats.org/officeDocument/2006/relationships/hyperlink" Target="https://support.microsoft.com/en-us/excel/functions/filterxml-function" TargetMode="External"/><Relationship Id="rId341" Type="http://schemas.openxmlformats.org/officeDocument/2006/relationships/hyperlink" Target="https://support.microsoft.com/en-us/excel/functions/pearson-function" TargetMode="External"/><Relationship Id="rId383" Type="http://schemas.openxmlformats.org/officeDocument/2006/relationships/hyperlink" Target="https://support.microsoft.com/en-us/excel/functions/regexreplace-function" TargetMode="External"/><Relationship Id="rId439" Type="http://schemas.openxmlformats.org/officeDocument/2006/relationships/hyperlink" Target="https://support.microsoft.com/en-us/excel/functions/t-dist-function" TargetMode="External"/><Relationship Id="rId201" Type="http://schemas.openxmlformats.org/officeDocument/2006/relationships/hyperlink" Target="https://support.microsoft.com/en-us/excel/functions/gauss-function" TargetMode="External"/><Relationship Id="rId243" Type="http://schemas.openxmlformats.org/officeDocument/2006/relationships/hyperlink" Target="https://support.microsoft.com/en-us/excel/functions/imsech-function" TargetMode="External"/><Relationship Id="rId285" Type="http://schemas.openxmlformats.org/officeDocument/2006/relationships/hyperlink" Target="https://support.microsoft.com/en-us/excel/functions/makearray-function" TargetMode="External"/><Relationship Id="rId450" Type="http://schemas.openxmlformats.org/officeDocument/2006/relationships/hyperlink" Target="https://support.microsoft.com/en-us/excel/functions/tbillyield-function" TargetMode="External"/><Relationship Id="rId506" Type="http://schemas.openxmlformats.org/officeDocument/2006/relationships/hyperlink" Target="https://support.microsoft.com/en-us/excel/functions/yieldmat-function" TargetMode="External"/><Relationship Id="rId38" Type="http://schemas.openxmlformats.org/officeDocument/2006/relationships/hyperlink" Target="https://support.microsoft.com/en-us/excel/functions/betainv-function" TargetMode="External"/><Relationship Id="rId103" Type="http://schemas.openxmlformats.org/officeDocument/2006/relationships/hyperlink" Target="https://support.microsoft.com/en-us/excel/functions/csc-function" TargetMode="External"/><Relationship Id="rId310" Type="http://schemas.openxmlformats.org/officeDocument/2006/relationships/hyperlink" Target="https://support.microsoft.com/en-us/excel/functions/n-function" TargetMode="External"/><Relationship Id="rId492" Type="http://schemas.openxmlformats.org/officeDocument/2006/relationships/hyperlink" Target="https://support.microsoft.com/en-us/excel/functions/weibull-dist-function" TargetMode="External"/><Relationship Id="rId91" Type="http://schemas.openxmlformats.org/officeDocument/2006/relationships/hyperlink" Target="https://support.microsoft.com/en-us/excel/functions/countblank-function" TargetMode="External"/><Relationship Id="rId145" Type="http://schemas.openxmlformats.org/officeDocument/2006/relationships/hyperlink" Target="https://support.microsoft.com/en-us/excel/functions/dsum-function" TargetMode="External"/><Relationship Id="rId187" Type="http://schemas.openxmlformats.org/officeDocument/2006/relationships/hyperlink" Target="https://support.microsoft.com/en-us/excel/functions/forecast-ets-seasonality-function" TargetMode="External"/><Relationship Id="rId352" Type="http://schemas.openxmlformats.org/officeDocument/2006/relationships/hyperlink" Target="https://support.microsoft.com/en-us/excel/functions/phonetic-function" TargetMode="External"/><Relationship Id="rId394" Type="http://schemas.openxmlformats.org/officeDocument/2006/relationships/hyperlink" Target="https://support.microsoft.com/en-us/excel/functions/rows-function" TargetMode="External"/><Relationship Id="rId408" Type="http://schemas.openxmlformats.org/officeDocument/2006/relationships/hyperlink" Target="https://support.microsoft.com/en-us/excel/functions/sin-function" TargetMode="External"/><Relationship Id="rId212" Type="http://schemas.openxmlformats.org/officeDocument/2006/relationships/hyperlink" Target="https://support.microsoft.com/en-us/excel/functions/hlookup-function" TargetMode="External"/><Relationship Id="rId254" Type="http://schemas.openxmlformats.org/officeDocument/2006/relationships/hyperlink" Target="https://support.microsoft.com/en-us/excel/functions/intercept-function" TargetMode="External"/><Relationship Id="rId49" Type="http://schemas.openxmlformats.org/officeDocument/2006/relationships/hyperlink" Target="https://support.microsoft.com/en-us/excel/functions/bitrshift-function" TargetMode="External"/><Relationship Id="rId114" Type="http://schemas.openxmlformats.org/officeDocument/2006/relationships/hyperlink" Target="https://support.microsoft.com/en-us/excel/functions/date-function" TargetMode="External"/><Relationship Id="rId296" Type="http://schemas.openxmlformats.org/officeDocument/2006/relationships/hyperlink" Target="https://support.microsoft.com/en-us/excel/functions/mina-function" TargetMode="External"/><Relationship Id="rId461" Type="http://schemas.openxmlformats.org/officeDocument/2006/relationships/hyperlink" Target="https://support.microsoft.com/en-us/excel/functions/today-function" TargetMode="External"/><Relationship Id="rId517" Type="http://schemas.openxmlformats.org/officeDocument/2006/relationships/hyperlink" Target="https://support.microsoft.com/en-us/excel/functions/len-function" TargetMode="External"/><Relationship Id="rId60" Type="http://schemas.openxmlformats.org/officeDocument/2006/relationships/hyperlink" Target="https://support.microsoft.com/en-us/excel/functions/chiinv-function" TargetMode="External"/><Relationship Id="rId156" Type="http://schemas.openxmlformats.org/officeDocument/2006/relationships/hyperlink" Target="https://support.microsoft.com/en-us/excel/functions/erfc-precise-function" TargetMode="External"/><Relationship Id="rId198" Type="http://schemas.openxmlformats.org/officeDocument/2006/relationships/hyperlink" Target="https://support.microsoft.com/en-us/excel/functions/gammainv-function" TargetMode="External"/><Relationship Id="rId321" Type="http://schemas.openxmlformats.org/officeDocument/2006/relationships/hyperlink" Target="https://support.microsoft.com/en-us/excel/functions/normdist-function" TargetMode="External"/><Relationship Id="rId363" Type="http://schemas.openxmlformats.org/officeDocument/2006/relationships/hyperlink" Target="https://support.microsoft.com/en-us/excel/functions/prob-function" TargetMode="External"/><Relationship Id="rId419" Type="http://schemas.openxmlformats.org/officeDocument/2006/relationships/hyperlink" Target="https://support.microsoft.com/en-us/excel/functions/stdev-p-function" TargetMode="External"/><Relationship Id="rId223" Type="http://schemas.openxmlformats.org/officeDocument/2006/relationships/hyperlink" Target="https://support.microsoft.com/en-us/excel/functions/image-function" TargetMode="External"/><Relationship Id="rId430" Type="http://schemas.openxmlformats.org/officeDocument/2006/relationships/hyperlink" Target="https://support.microsoft.com/en-us/excel/functions/sumifs-function" TargetMode="External"/><Relationship Id="rId18" Type="http://schemas.openxmlformats.org/officeDocument/2006/relationships/hyperlink" Target="https://support.microsoft.com/en-us/excel/functions/asc-function" TargetMode="External"/><Relationship Id="rId265" Type="http://schemas.openxmlformats.org/officeDocument/2006/relationships/hyperlink" Target="https://support.microsoft.com/en-us/excel/functions/ispmt-function" TargetMode="External"/><Relationship Id="rId472" Type="http://schemas.openxmlformats.org/officeDocument/2006/relationships/hyperlink" Target="https://support.microsoft.com/en-us/excel/functions/type-function" TargetMode="External"/><Relationship Id="rId125" Type="http://schemas.openxmlformats.org/officeDocument/2006/relationships/hyperlink" Target="https://support.microsoft.com/en-us/excel/functions/ddb-function" TargetMode="External"/><Relationship Id="rId167" Type="http://schemas.openxmlformats.org/officeDocument/2006/relationships/hyperlink" Target="https://support.microsoft.com/en-us/excel/functions/f-inv-function" TargetMode="External"/><Relationship Id="rId332" Type="http://schemas.openxmlformats.org/officeDocument/2006/relationships/hyperlink" Target="https://support.microsoft.com/en-us/excel/functions/oct2hex-function" TargetMode="External"/><Relationship Id="rId374" Type="http://schemas.openxmlformats.org/officeDocument/2006/relationships/hyperlink" Target="https://support.microsoft.com/en-us/excel/functions/randarray-function" TargetMode="External"/><Relationship Id="rId71" Type="http://schemas.openxmlformats.org/officeDocument/2006/relationships/hyperlink" Target="https://support.microsoft.com/en-us/excel/functions/code-function" TargetMode="External"/><Relationship Id="rId234" Type="http://schemas.openxmlformats.org/officeDocument/2006/relationships/hyperlink" Target="https://support.microsoft.com/en-us/excel/functions/imln-function" TargetMode="External"/><Relationship Id="rId2" Type="http://schemas.openxmlformats.org/officeDocument/2006/relationships/hyperlink" Target="https://bettersolutions.com/excel/functions/updates.htm" TargetMode="External"/><Relationship Id="rId29" Type="http://schemas.openxmlformats.org/officeDocument/2006/relationships/hyperlink" Target="https://support.microsoft.com/en-us/excel/functions/bahttext-function" TargetMode="External"/><Relationship Id="rId276" Type="http://schemas.openxmlformats.org/officeDocument/2006/relationships/hyperlink" Target="https://support.microsoft.com/en-us/excel/functions/log-function" TargetMode="External"/><Relationship Id="rId441" Type="http://schemas.openxmlformats.org/officeDocument/2006/relationships/hyperlink" Target="https://support.microsoft.com/en-us/excel/functions/t-dist-rt-function" TargetMode="External"/><Relationship Id="rId483" Type="http://schemas.openxmlformats.org/officeDocument/2006/relationships/hyperlink" Target="https://support.microsoft.com/en-us/excel/functions/varp-function" TargetMode="External"/><Relationship Id="rId40" Type="http://schemas.openxmlformats.org/officeDocument/2006/relationships/hyperlink" Target="https://support.microsoft.com/en-us/excel/functions/bin2hex-function" TargetMode="External"/><Relationship Id="rId136" Type="http://schemas.openxmlformats.org/officeDocument/2006/relationships/hyperlink" Target="https://support.microsoft.com/en-us/excel/functions/dmax-function" TargetMode="External"/><Relationship Id="rId178" Type="http://schemas.openxmlformats.org/officeDocument/2006/relationships/hyperlink" Target="https://support.microsoft.com/en-us/excel/functions/fisher-function" TargetMode="External"/><Relationship Id="rId301" Type="http://schemas.openxmlformats.org/officeDocument/2006/relationships/hyperlink" Target="https://support.microsoft.com/en-us/excel/functions/mmult-function" TargetMode="External"/><Relationship Id="rId343" Type="http://schemas.openxmlformats.org/officeDocument/2006/relationships/hyperlink" Target="https://support.microsoft.com/en-us/excel/functions/percentile-exc-function" TargetMode="External"/><Relationship Id="rId82" Type="http://schemas.openxmlformats.org/officeDocument/2006/relationships/hyperlink" Target="https://support.microsoft.com/en-us/excel/functions/convert-function" TargetMode="External"/><Relationship Id="rId203" Type="http://schemas.openxmlformats.org/officeDocument/2006/relationships/hyperlink" Target="https://support.microsoft.com/en-us/excel/functions/geomean-function" TargetMode="External"/><Relationship Id="rId385" Type="http://schemas.openxmlformats.org/officeDocument/2006/relationships/hyperlink" Target="https://support.microsoft.com/en-us/excel/functions/register-id-function" TargetMode="External"/><Relationship Id="rId245" Type="http://schemas.openxmlformats.org/officeDocument/2006/relationships/hyperlink" Target="https://support.microsoft.com/en-us/excel/functions/imsinh-function" TargetMode="External"/><Relationship Id="rId287" Type="http://schemas.openxmlformats.org/officeDocument/2006/relationships/hyperlink" Target="https://support.microsoft.com/en-us/excel/functions/match-function" TargetMode="External"/><Relationship Id="rId410" Type="http://schemas.openxmlformats.org/officeDocument/2006/relationships/hyperlink" Target="https://support.microsoft.com/en-us/excel/functions/skew-function" TargetMode="External"/><Relationship Id="rId452" Type="http://schemas.openxmlformats.org/officeDocument/2006/relationships/hyperlink" Target="https://support.microsoft.com/en-us/excel/functions/text-function" TargetMode="External"/><Relationship Id="rId494" Type="http://schemas.openxmlformats.org/officeDocument/2006/relationships/hyperlink" Target="https://support.microsoft.com/en-us/excel/functions/workday-intl-function" TargetMode="External"/><Relationship Id="rId508" Type="http://schemas.openxmlformats.org/officeDocument/2006/relationships/hyperlink" Target="https://support.microsoft.com/en-us/excel/functions/ztest-function" TargetMode="External"/><Relationship Id="rId105" Type="http://schemas.openxmlformats.org/officeDocument/2006/relationships/hyperlink" Target="https://support.microsoft.com/en-us/excel/functions/cubekpimember-function" TargetMode="External"/><Relationship Id="rId147" Type="http://schemas.openxmlformats.org/officeDocument/2006/relationships/hyperlink" Target="https://support.microsoft.com/en-us/excel/functions/dvar-function" TargetMode="External"/><Relationship Id="rId312" Type="http://schemas.openxmlformats.org/officeDocument/2006/relationships/hyperlink" Target="https://support.microsoft.com/en-us/excel/functions/negbinom-dist-function" TargetMode="External"/><Relationship Id="rId354" Type="http://schemas.openxmlformats.org/officeDocument/2006/relationships/hyperlink" Target="https://support.microsoft.com/en-us/excel/functions/pivotby-function" TargetMode="External"/><Relationship Id="rId51" Type="http://schemas.openxmlformats.org/officeDocument/2006/relationships/hyperlink" Target="https://support.microsoft.com/en-us/excel/functions/bycol-function" TargetMode="External"/><Relationship Id="rId93" Type="http://schemas.openxmlformats.org/officeDocument/2006/relationships/hyperlink" Target="https://support.microsoft.com/en-us/excel/functions/coupdaybs-function" TargetMode="External"/><Relationship Id="rId189" Type="http://schemas.openxmlformats.org/officeDocument/2006/relationships/hyperlink" Target="https://support.microsoft.com/en-us/excel/functions/formulatext-function" TargetMode="External"/><Relationship Id="rId396" Type="http://schemas.openxmlformats.org/officeDocument/2006/relationships/hyperlink" Target="https://support.microsoft.com/en-us/excel/functions/rsq-function" TargetMode="External"/><Relationship Id="rId214" Type="http://schemas.openxmlformats.org/officeDocument/2006/relationships/hyperlink" Target="https://support.microsoft.com/en-us/excel/functions/hstack-function" TargetMode="External"/><Relationship Id="rId256" Type="http://schemas.openxmlformats.org/officeDocument/2006/relationships/hyperlink" Target="https://support.microsoft.com/en-us/excel/functions/ipmt-function" TargetMode="External"/><Relationship Id="rId298" Type="http://schemas.openxmlformats.org/officeDocument/2006/relationships/hyperlink" Target="https://support.microsoft.com/en-us/excel/functions/minute-function" TargetMode="External"/><Relationship Id="rId421" Type="http://schemas.openxmlformats.org/officeDocument/2006/relationships/hyperlink" Target="https://support.microsoft.com/en-us/excel/functions/stdeva-function" TargetMode="External"/><Relationship Id="rId463" Type="http://schemas.openxmlformats.org/officeDocument/2006/relationships/hyperlink" Target="https://support.microsoft.com/en-us/excel/functions/translate-function" TargetMode="External"/><Relationship Id="rId519" Type="http://schemas.openxmlformats.org/officeDocument/2006/relationships/hyperlink" Target="https://support.microsoft.com/en-us/excel/functions/replace-function" TargetMode="External"/><Relationship Id="rId116" Type="http://schemas.openxmlformats.org/officeDocument/2006/relationships/hyperlink" Target="https://support.microsoft.com/en-us/excel/functions/datevalue-function" TargetMode="External"/><Relationship Id="rId158" Type="http://schemas.openxmlformats.org/officeDocument/2006/relationships/hyperlink" Target="https://support.microsoft.com/en-us/excel/functions/euroconvert-function" TargetMode="External"/><Relationship Id="rId323" Type="http://schemas.openxmlformats.org/officeDocument/2006/relationships/hyperlink" Target="https://support.microsoft.com/en-us/excel/functions/normsdist-function" TargetMode="External"/><Relationship Id="rId20" Type="http://schemas.openxmlformats.org/officeDocument/2006/relationships/hyperlink" Target="https://support.microsoft.com/en-us/excel/functions/asinh-function" TargetMode="External"/><Relationship Id="rId62" Type="http://schemas.openxmlformats.org/officeDocument/2006/relationships/hyperlink" Target="https://support.microsoft.com/en-us/excel/functions/chisq-dist-rt-function" TargetMode="External"/><Relationship Id="rId365" Type="http://schemas.openxmlformats.org/officeDocument/2006/relationships/hyperlink" Target="https://support.microsoft.com/en-us/excel/functions/proper-function" TargetMode="External"/><Relationship Id="rId225" Type="http://schemas.openxmlformats.org/officeDocument/2006/relationships/hyperlink" Target="https://support.microsoft.com/en-us/excel/functions/imargument-function" TargetMode="External"/><Relationship Id="rId267" Type="http://schemas.openxmlformats.org/officeDocument/2006/relationships/hyperlink" Target="https://support.microsoft.com/en-us/excel/functions/kurt-function" TargetMode="External"/><Relationship Id="rId432" Type="http://schemas.openxmlformats.org/officeDocument/2006/relationships/hyperlink" Target="https://support.microsoft.com/en-us/excel/functions/sumsq-function" TargetMode="External"/><Relationship Id="rId474" Type="http://schemas.openxmlformats.org/officeDocument/2006/relationships/hyperlink" Target="https://support.microsoft.com/en-us/excel/functions/unicode-function" TargetMode="External"/><Relationship Id="rId127" Type="http://schemas.openxmlformats.org/officeDocument/2006/relationships/hyperlink" Target="https://support.microsoft.com/en-us/excel/functions/dec2hex-function" TargetMode="External"/><Relationship Id="rId31" Type="http://schemas.openxmlformats.org/officeDocument/2006/relationships/hyperlink" Target="https://support.microsoft.com/en-us/excel/functions/besseli-function" TargetMode="External"/><Relationship Id="rId73" Type="http://schemas.openxmlformats.org/officeDocument/2006/relationships/hyperlink" Target="https://support.microsoft.com/en-us/excel/functions/columns-function" TargetMode="External"/><Relationship Id="rId169" Type="http://schemas.openxmlformats.org/officeDocument/2006/relationships/hyperlink" Target="https://support.microsoft.com/en-us/excel/functions/f-test-function" TargetMode="External"/><Relationship Id="rId334" Type="http://schemas.openxmlformats.org/officeDocument/2006/relationships/hyperlink" Target="https://support.microsoft.com/en-us/excel/functions/oddfprice-function" TargetMode="External"/><Relationship Id="rId376" Type="http://schemas.openxmlformats.org/officeDocument/2006/relationships/hyperlink" Target="https://support.microsoft.com/en-us/excel/functions/rank-function" TargetMode="External"/><Relationship Id="rId4" Type="http://schemas.openxmlformats.org/officeDocument/2006/relationships/hyperlink" Target="https://support.microsoft.com/en-us/excel/functions/accrint-function" TargetMode="External"/><Relationship Id="rId180" Type="http://schemas.openxmlformats.org/officeDocument/2006/relationships/hyperlink" Target="https://support.microsoft.com/en-us/excel/functions/fixed-function" TargetMode="External"/><Relationship Id="rId236" Type="http://schemas.openxmlformats.org/officeDocument/2006/relationships/hyperlink" Target="https://support.microsoft.com/en-us/excel/functions/imlog2-function" TargetMode="External"/><Relationship Id="rId278" Type="http://schemas.openxmlformats.org/officeDocument/2006/relationships/hyperlink" Target="https://support.microsoft.com/en-us/excel/functions/logest-function" TargetMode="External"/><Relationship Id="rId401" Type="http://schemas.openxmlformats.org/officeDocument/2006/relationships/hyperlink" Target="https://support.microsoft.com/en-us/excel/functions/sech-function" TargetMode="External"/><Relationship Id="rId443" Type="http://schemas.openxmlformats.org/officeDocument/2006/relationships/hyperlink" Target="https://support.microsoft.com/en-us/excel/functions/t-inv-2t-function" TargetMode="External"/><Relationship Id="rId303" Type="http://schemas.openxmlformats.org/officeDocument/2006/relationships/hyperlink" Target="https://support.microsoft.com/en-us/excel/functions/mode-function" TargetMode="External"/><Relationship Id="rId485" Type="http://schemas.openxmlformats.org/officeDocument/2006/relationships/hyperlink" Target="https://support.microsoft.com/en-us/excel/functions/vdb-function" TargetMode="External"/><Relationship Id="rId42" Type="http://schemas.openxmlformats.org/officeDocument/2006/relationships/hyperlink" Target="https://support.microsoft.com/en-us/excel/functions/binom-dist-function" TargetMode="External"/><Relationship Id="rId84" Type="http://schemas.openxmlformats.org/officeDocument/2006/relationships/hyperlink" Target="https://support.microsoft.com/en-us/excel/functions/correl-function" TargetMode="External"/><Relationship Id="rId138" Type="http://schemas.openxmlformats.org/officeDocument/2006/relationships/hyperlink" Target="https://support.microsoft.com/en-us/excel/functions/dollar-function" TargetMode="External"/><Relationship Id="rId345" Type="http://schemas.openxmlformats.org/officeDocument/2006/relationships/hyperlink" Target="https://support.microsoft.com/en-us/excel/functions/percentof-function" TargetMode="External"/><Relationship Id="rId387" Type="http://schemas.openxmlformats.org/officeDocument/2006/relationships/hyperlink" Target="https://support.microsoft.com/en-us/excel/functions/rept-function" TargetMode="External"/><Relationship Id="rId510" Type="http://schemas.openxmlformats.org/officeDocument/2006/relationships/hyperlink" Target="https://support.microsoft.com/en-us/excel/functions/*" TargetMode="External"/><Relationship Id="rId191" Type="http://schemas.openxmlformats.org/officeDocument/2006/relationships/hyperlink" Target="https://support.microsoft.com/en-us/excel/functions/ftest-function" TargetMode="External"/><Relationship Id="rId205" Type="http://schemas.openxmlformats.org/officeDocument/2006/relationships/hyperlink" Target="https://support.microsoft.com/en-us/excel/functions/getpivotdata-function" TargetMode="External"/><Relationship Id="rId247" Type="http://schemas.openxmlformats.org/officeDocument/2006/relationships/hyperlink" Target="https://support.microsoft.com/en-us/excel/functions/imsub-function" TargetMode="External"/><Relationship Id="rId412" Type="http://schemas.openxmlformats.org/officeDocument/2006/relationships/hyperlink" Target="https://support.microsoft.com/en-us/excel/functions/sln-function" TargetMode="External"/><Relationship Id="rId107" Type="http://schemas.openxmlformats.org/officeDocument/2006/relationships/hyperlink" Target="https://support.microsoft.com/en-us/excel/functions/cubememberproperty-function" TargetMode="External"/><Relationship Id="rId289" Type="http://schemas.openxmlformats.org/officeDocument/2006/relationships/hyperlink" Target="https://support.microsoft.com/en-us/excel/functions/maxa-function" TargetMode="External"/><Relationship Id="rId454" Type="http://schemas.openxmlformats.org/officeDocument/2006/relationships/hyperlink" Target="https://support.microsoft.com/en-us/excel/functions/textbefore-function" TargetMode="External"/><Relationship Id="rId496" Type="http://schemas.openxmlformats.org/officeDocument/2006/relationships/hyperlink" Target="https://support.microsoft.com/en-us/excel/functions/wraprows-function" TargetMode="External"/><Relationship Id="rId11" Type="http://schemas.openxmlformats.org/officeDocument/2006/relationships/hyperlink" Target="https://support.microsoft.com/en-us/excel/functions/aggregate-function" TargetMode="External"/><Relationship Id="rId53" Type="http://schemas.openxmlformats.org/officeDocument/2006/relationships/hyperlink" Target="https://support.microsoft.com/en-us/excel/functions/call-function" TargetMode="External"/><Relationship Id="rId149" Type="http://schemas.openxmlformats.org/officeDocument/2006/relationships/hyperlink" Target="https://support.microsoft.com/en-us/excel/functions/edate-function" TargetMode="External"/><Relationship Id="rId314" Type="http://schemas.openxmlformats.org/officeDocument/2006/relationships/hyperlink" Target="https://support.microsoft.com/en-us/excel/functions/networkdays-function" TargetMode="External"/><Relationship Id="rId356" Type="http://schemas.openxmlformats.org/officeDocument/2006/relationships/hyperlink" Target="https://support.microsoft.com/en-us/excel/functions/poisson-function" TargetMode="External"/><Relationship Id="rId398" Type="http://schemas.openxmlformats.org/officeDocument/2006/relationships/hyperlink" Target="https://support.microsoft.com/en-us/excel/functions/scan-function" TargetMode="External"/><Relationship Id="rId521" Type="http://schemas.openxmlformats.org/officeDocument/2006/relationships/hyperlink" Target="https://support.microsoft.com/en-us/excel/functions/search-function" TargetMode="External"/><Relationship Id="rId95" Type="http://schemas.openxmlformats.org/officeDocument/2006/relationships/hyperlink" Target="https://support.microsoft.com/en-us/excel/functions/coupdaysnc-function" TargetMode="External"/><Relationship Id="rId160" Type="http://schemas.openxmlformats.org/officeDocument/2006/relationships/hyperlink" Target="https://support.microsoft.com/en-us/excel/functions/exact-function" TargetMode="External"/><Relationship Id="rId216" Type="http://schemas.openxmlformats.org/officeDocument/2006/relationships/hyperlink" Target="https://support.microsoft.com/en-us/excel/functions/hypgeom-dist-function" TargetMode="External"/><Relationship Id="rId423" Type="http://schemas.openxmlformats.org/officeDocument/2006/relationships/hyperlink" Target="https://support.microsoft.com/en-us/excel/functions/stdevpa-function" TargetMode="External"/><Relationship Id="rId258" Type="http://schemas.openxmlformats.org/officeDocument/2006/relationships/hyperlink" Target="https://support.microsoft.com/en-us/excel/functions/is-functions" TargetMode="External"/><Relationship Id="rId465" Type="http://schemas.openxmlformats.org/officeDocument/2006/relationships/hyperlink" Target="https://support.microsoft.com/en-us/excel/functions/trend-function" TargetMode="External"/><Relationship Id="rId22" Type="http://schemas.openxmlformats.org/officeDocument/2006/relationships/hyperlink" Target="https://support.microsoft.com/en-us/excel/functions/atan2-function" TargetMode="External"/><Relationship Id="rId64" Type="http://schemas.openxmlformats.org/officeDocument/2006/relationships/hyperlink" Target="https://support.microsoft.com/en-us/excel/functions/chisq-inv-rt-function" TargetMode="External"/><Relationship Id="rId118" Type="http://schemas.openxmlformats.org/officeDocument/2006/relationships/hyperlink" Target="https://support.microsoft.com/en-us/excel/functions/day-function" TargetMode="External"/><Relationship Id="rId325" Type="http://schemas.openxmlformats.org/officeDocument/2006/relationships/hyperlink" Target="https://support.microsoft.com/en-us/excel/functions/not-function" TargetMode="External"/><Relationship Id="rId367" Type="http://schemas.openxmlformats.org/officeDocument/2006/relationships/hyperlink" Target="https://support.microsoft.com/en-us/excel/functions/py-function" TargetMode="External"/><Relationship Id="rId171" Type="http://schemas.openxmlformats.org/officeDocument/2006/relationships/hyperlink" Target="https://support.microsoft.com/en-us/excel/functions/factdouble-function" TargetMode="External"/><Relationship Id="rId227" Type="http://schemas.openxmlformats.org/officeDocument/2006/relationships/hyperlink" Target="https://support.microsoft.com/en-us/excel/functions/imcos-function" TargetMode="External"/><Relationship Id="rId269" Type="http://schemas.openxmlformats.org/officeDocument/2006/relationships/hyperlink" Target="https://support.microsoft.com/en-us/excel/functions/large-function" TargetMode="External"/><Relationship Id="rId434" Type="http://schemas.openxmlformats.org/officeDocument/2006/relationships/hyperlink" Target="https://support.microsoft.com/en-us/excel/functions/sumx2py2-function" TargetMode="External"/><Relationship Id="rId476" Type="http://schemas.openxmlformats.org/officeDocument/2006/relationships/hyperlink" Target="https://support.microsoft.com/en-us/excel/functions/upper-function" TargetMode="External"/><Relationship Id="rId33" Type="http://schemas.openxmlformats.org/officeDocument/2006/relationships/hyperlink" Target="https://support.microsoft.com/en-us/excel/functions/besselk-function" TargetMode="External"/><Relationship Id="rId129" Type="http://schemas.openxmlformats.org/officeDocument/2006/relationships/hyperlink" Target="https://support.microsoft.com/en-us/excel/functions/decimal-function" TargetMode="External"/><Relationship Id="rId280" Type="http://schemas.openxmlformats.org/officeDocument/2006/relationships/hyperlink" Target="https://support.microsoft.com/en-us/excel/functions/lognorm-dist-function" TargetMode="External"/><Relationship Id="rId336" Type="http://schemas.openxmlformats.org/officeDocument/2006/relationships/hyperlink" Target="https://support.microsoft.com/en-us/excel/functions/oddlprice-function" TargetMode="External"/><Relationship Id="rId501" Type="http://schemas.openxmlformats.org/officeDocument/2006/relationships/hyperlink" Target="https://support.microsoft.com/en-us/excel/functions/xor-function" TargetMode="External"/><Relationship Id="rId75" Type="http://schemas.openxmlformats.org/officeDocument/2006/relationships/hyperlink" Target="https://support.microsoft.com/en-us/excel/functions/combina-function" TargetMode="External"/><Relationship Id="rId140" Type="http://schemas.openxmlformats.org/officeDocument/2006/relationships/hyperlink" Target="https://support.microsoft.com/en-us/excel/functions/dollarfr-function" TargetMode="External"/><Relationship Id="rId182" Type="http://schemas.openxmlformats.org/officeDocument/2006/relationships/hyperlink" Target="https://support.microsoft.com/en-us/excel/functions/floor-math-function" TargetMode="External"/><Relationship Id="rId378" Type="http://schemas.openxmlformats.org/officeDocument/2006/relationships/hyperlink" Target="https://support.microsoft.com/en-us/excel/functions/rank-eq-function" TargetMode="External"/><Relationship Id="rId403" Type="http://schemas.openxmlformats.org/officeDocument/2006/relationships/hyperlink" Target="https://support.microsoft.com/en-us/excel/functions/sequence-function" TargetMode="External"/><Relationship Id="rId6" Type="http://schemas.openxmlformats.org/officeDocument/2006/relationships/hyperlink" Target="https://support.microsoft.com/en-us/excel/functions/acos-function" TargetMode="External"/><Relationship Id="rId238" Type="http://schemas.openxmlformats.org/officeDocument/2006/relationships/hyperlink" Target="https://support.microsoft.com/en-us/excel/functions/importtext-function" TargetMode="External"/><Relationship Id="rId445" Type="http://schemas.openxmlformats.org/officeDocument/2006/relationships/hyperlink" Target="https://support.microsoft.com/en-us/excel/functions/take-function" TargetMode="External"/><Relationship Id="rId487" Type="http://schemas.openxmlformats.org/officeDocument/2006/relationships/hyperlink" Target="https://support.microsoft.com/en-us/excel/functions/vstack-function" TargetMode="External"/><Relationship Id="rId291" Type="http://schemas.openxmlformats.org/officeDocument/2006/relationships/hyperlink" Target="https://support.microsoft.com/en-us/excel/functions/mdeterm-function" TargetMode="External"/><Relationship Id="rId305" Type="http://schemas.openxmlformats.org/officeDocument/2006/relationships/hyperlink" Target="https://support.microsoft.com/en-us/excel/functions/mode-sngl-function" TargetMode="External"/><Relationship Id="rId347" Type="http://schemas.openxmlformats.org/officeDocument/2006/relationships/hyperlink" Target="https://support.microsoft.com/en-us/excel/functions/percentrank-exc-function" TargetMode="External"/><Relationship Id="rId512" Type="http://schemas.openxmlformats.org/officeDocument/2006/relationships/hyperlink" Target="https://support.microsoft.com/en-us/excel/functions/is-functions" TargetMode="External"/><Relationship Id="rId44" Type="http://schemas.openxmlformats.org/officeDocument/2006/relationships/hyperlink" Target="https://support.microsoft.com/en-us/excel/functions/binom-inv-function" TargetMode="External"/><Relationship Id="rId86" Type="http://schemas.openxmlformats.org/officeDocument/2006/relationships/hyperlink" Target="https://support.microsoft.com/en-us/excel/functions/cosh-function" TargetMode="External"/><Relationship Id="rId151" Type="http://schemas.openxmlformats.org/officeDocument/2006/relationships/hyperlink" Target="https://support.microsoft.com/en-us/excel/functions/encodeurl-function" TargetMode="External"/><Relationship Id="rId389" Type="http://schemas.openxmlformats.org/officeDocument/2006/relationships/hyperlink" Target="https://support.microsoft.com/en-us/excel/functions/roman-function" TargetMode="External"/><Relationship Id="rId193" Type="http://schemas.openxmlformats.org/officeDocument/2006/relationships/hyperlink" Target="https://support.microsoft.com/en-us/excel/functions/fvschedule-function" TargetMode="External"/><Relationship Id="rId207" Type="http://schemas.openxmlformats.org/officeDocument/2006/relationships/hyperlink" Target="https://support.microsoft.com/en-us/excel/functions/growth-function" TargetMode="External"/><Relationship Id="rId249" Type="http://schemas.openxmlformats.org/officeDocument/2006/relationships/hyperlink" Target="https://support.microsoft.com/en-us/excel/functions/imtan-function" TargetMode="External"/><Relationship Id="rId414" Type="http://schemas.openxmlformats.org/officeDocument/2006/relationships/hyperlink" Target="https://support.microsoft.com/en-us/excel/functions/small-function" TargetMode="External"/><Relationship Id="rId456" Type="http://schemas.openxmlformats.org/officeDocument/2006/relationships/hyperlink" Target="https://support.microsoft.com/en-us/excel/functions/textsplit-function" TargetMode="External"/><Relationship Id="rId498" Type="http://schemas.openxmlformats.org/officeDocument/2006/relationships/hyperlink" Target="https://support.microsoft.com/en-us/excel/functions/xlookup-function" TargetMode="External"/><Relationship Id="rId13" Type="http://schemas.openxmlformats.org/officeDocument/2006/relationships/hyperlink" Target="https://support.microsoft.com/en-us/excel/functions/amorlinc-function" TargetMode="External"/><Relationship Id="rId109" Type="http://schemas.openxmlformats.org/officeDocument/2006/relationships/hyperlink" Target="https://support.microsoft.com/en-us/excel/functions/cubeset-function" TargetMode="External"/><Relationship Id="rId260" Type="http://schemas.openxmlformats.org/officeDocument/2006/relationships/hyperlink" Target="https://support.microsoft.com/en-us/excel/functions/isformula-function" TargetMode="External"/><Relationship Id="rId316" Type="http://schemas.openxmlformats.org/officeDocument/2006/relationships/hyperlink" Target="https://support.microsoft.com/en-us/excel/functions/nominal-function" TargetMode="External"/><Relationship Id="rId523" Type="http://schemas.openxmlformats.org/officeDocument/2006/relationships/hyperlink" Target="https://support.microsoft.com/en-us/excel/functions/sqrtpi-function" TargetMode="External"/><Relationship Id="rId55" Type="http://schemas.openxmlformats.org/officeDocument/2006/relationships/hyperlink" Target="https://support.microsoft.com/en-us/excel/functions/ceiling-math-function" TargetMode="External"/><Relationship Id="rId97" Type="http://schemas.openxmlformats.org/officeDocument/2006/relationships/hyperlink" Target="https://support.microsoft.com/en-us/excel/functions/coupnum-function" TargetMode="External"/><Relationship Id="rId120" Type="http://schemas.openxmlformats.org/officeDocument/2006/relationships/hyperlink" Target="https://support.microsoft.com/en-us/excel/functions/days360-function" TargetMode="External"/><Relationship Id="rId358" Type="http://schemas.openxmlformats.org/officeDocument/2006/relationships/hyperlink" Target="https://support.microsoft.com/en-us/excel/functions/power-function" TargetMode="External"/><Relationship Id="rId162" Type="http://schemas.openxmlformats.org/officeDocument/2006/relationships/hyperlink" Target="https://support.microsoft.com/en-us/excel/functions/expand-function" TargetMode="External"/><Relationship Id="rId218" Type="http://schemas.openxmlformats.org/officeDocument/2006/relationships/hyperlink" Target="https://support.microsoft.com/en-us/excel/functions/if-function" TargetMode="External"/><Relationship Id="rId425" Type="http://schemas.openxmlformats.org/officeDocument/2006/relationships/hyperlink" Target="https://support.microsoft.com/en-us/excel/functions/stockhistory-function" TargetMode="External"/><Relationship Id="rId467" Type="http://schemas.openxmlformats.org/officeDocument/2006/relationships/hyperlink" Target="https://support.microsoft.com/en-us/excel/functions/trimmean-function" TargetMode="External"/><Relationship Id="rId271" Type="http://schemas.openxmlformats.org/officeDocument/2006/relationships/hyperlink" Target="https://support.microsoft.com/en-us/excel/functions/left-function" TargetMode="External"/><Relationship Id="rId24" Type="http://schemas.openxmlformats.org/officeDocument/2006/relationships/hyperlink" Target="https://support.microsoft.com/en-us/excel/functions/avedev-function" TargetMode="External"/><Relationship Id="rId66" Type="http://schemas.openxmlformats.org/officeDocument/2006/relationships/hyperlink" Target="https://support.microsoft.com/en-us/excel/functions/chitest-function" TargetMode="External"/><Relationship Id="rId131" Type="http://schemas.openxmlformats.org/officeDocument/2006/relationships/hyperlink" Target="https://support.microsoft.com/en-us/excel/functions/delta-function" TargetMode="External"/><Relationship Id="rId327" Type="http://schemas.openxmlformats.org/officeDocument/2006/relationships/hyperlink" Target="https://support.microsoft.com/en-us/excel/functions/nper-function" TargetMode="External"/><Relationship Id="rId369" Type="http://schemas.openxmlformats.org/officeDocument/2006/relationships/hyperlink" Target="https://support.microsoft.com/en-us/excel/functions/quartile-exc-function" TargetMode="External"/><Relationship Id="rId173" Type="http://schemas.openxmlformats.org/officeDocument/2006/relationships/hyperlink" Target="https://support.microsoft.com/en-us/excel/functions/fdist-function" TargetMode="External"/><Relationship Id="rId229" Type="http://schemas.openxmlformats.org/officeDocument/2006/relationships/hyperlink" Target="https://support.microsoft.com/en-us/excel/functions/imcot-function" TargetMode="External"/><Relationship Id="rId380" Type="http://schemas.openxmlformats.org/officeDocument/2006/relationships/hyperlink" Target="https://support.microsoft.com/en-us/excel/functions/received-function" TargetMode="External"/><Relationship Id="rId436" Type="http://schemas.openxmlformats.org/officeDocument/2006/relationships/hyperlink" Target="https://support.microsoft.com/en-us/excel/functions/switch-function" TargetMode="External"/><Relationship Id="rId240" Type="http://schemas.openxmlformats.org/officeDocument/2006/relationships/hyperlink" Target="https://support.microsoft.com/en-us/excel/functions/improduct-function" TargetMode="External"/><Relationship Id="rId478" Type="http://schemas.openxmlformats.org/officeDocument/2006/relationships/hyperlink" Target="https://support.microsoft.com/en-us/excel/functions/valuetotext-function" TargetMode="External"/><Relationship Id="rId35" Type="http://schemas.openxmlformats.org/officeDocument/2006/relationships/hyperlink" Target="https://support.microsoft.com/en-us/excel/functions/beta-dist-function" TargetMode="External"/><Relationship Id="rId77" Type="http://schemas.openxmlformats.org/officeDocument/2006/relationships/hyperlink" Target="https://support.microsoft.com/en-us/excel/functions/concat-function" TargetMode="External"/><Relationship Id="rId100" Type="http://schemas.openxmlformats.org/officeDocument/2006/relationships/hyperlink" Target="https://support.microsoft.com/en-us/excel/functions/covariance-p-function" TargetMode="External"/><Relationship Id="rId282" Type="http://schemas.openxmlformats.org/officeDocument/2006/relationships/hyperlink" Target="https://support.microsoft.com/en-us/excel/functions/lognormdist-function" TargetMode="External"/><Relationship Id="rId338" Type="http://schemas.openxmlformats.org/officeDocument/2006/relationships/hyperlink" Target="https://support.microsoft.com/en-us/excel/functions/offset-function" TargetMode="External"/><Relationship Id="rId503" Type="http://schemas.openxmlformats.org/officeDocument/2006/relationships/hyperlink" Target="https://support.microsoft.com/en-us/excel/functions/yearfrac-function" TargetMode="External"/><Relationship Id="rId8" Type="http://schemas.openxmlformats.org/officeDocument/2006/relationships/hyperlink" Target="https://support.microsoft.com/en-us/excel/functions/acot-function" TargetMode="External"/><Relationship Id="rId142" Type="http://schemas.openxmlformats.org/officeDocument/2006/relationships/hyperlink" Target="https://support.microsoft.com/en-us/excel/functions/drop-function" TargetMode="External"/><Relationship Id="rId184" Type="http://schemas.openxmlformats.org/officeDocument/2006/relationships/hyperlink" Target="https://support.microsoft.com/en-us/excel/functions/forecast-and-forecast-linear-functions" TargetMode="External"/><Relationship Id="rId391" Type="http://schemas.openxmlformats.org/officeDocument/2006/relationships/hyperlink" Target="https://support.microsoft.com/en-us/excel/functions/rounddown-function" TargetMode="External"/><Relationship Id="rId405" Type="http://schemas.openxmlformats.org/officeDocument/2006/relationships/hyperlink" Target="https://support.microsoft.com/en-us/excel/functions/sheet-function" TargetMode="External"/><Relationship Id="rId447" Type="http://schemas.openxmlformats.org/officeDocument/2006/relationships/hyperlink" Target="https://support.microsoft.com/en-us/excel/functions/tanh-function" TargetMode="External"/><Relationship Id="rId251" Type="http://schemas.openxmlformats.org/officeDocument/2006/relationships/hyperlink" Target="https://support.microsoft.com/en-us/excel/functions/indirect-function" TargetMode="External"/><Relationship Id="rId489" Type="http://schemas.openxmlformats.org/officeDocument/2006/relationships/hyperlink" Target="https://support.microsoft.com/en-us/excel/functions/weekday-function" TargetMode="External"/><Relationship Id="rId46" Type="http://schemas.openxmlformats.org/officeDocument/2006/relationships/hyperlink" Target="https://support.microsoft.com/en-us/excel/functions/bitand-function" TargetMode="External"/><Relationship Id="rId293" Type="http://schemas.openxmlformats.org/officeDocument/2006/relationships/hyperlink" Target="https://support.microsoft.com/en-us/excel/functions/median-function" TargetMode="External"/><Relationship Id="rId307" Type="http://schemas.openxmlformats.org/officeDocument/2006/relationships/hyperlink" Target="https://support.microsoft.com/en-us/excel/functions/mround-function" TargetMode="External"/><Relationship Id="rId349" Type="http://schemas.openxmlformats.org/officeDocument/2006/relationships/hyperlink" Target="https://support.microsoft.com/en-us/excel/functions/permut-function" TargetMode="External"/><Relationship Id="rId514" Type="http://schemas.openxmlformats.org/officeDocument/2006/relationships/hyperlink" Target="https://support.microsoft.com/en-us/excel/functions/is-functions" TargetMode="External"/><Relationship Id="rId88" Type="http://schemas.openxmlformats.org/officeDocument/2006/relationships/hyperlink" Target="https://support.microsoft.com/en-us/excel/functions/coth-function" TargetMode="External"/><Relationship Id="rId111" Type="http://schemas.openxmlformats.org/officeDocument/2006/relationships/hyperlink" Target="https://support.microsoft.com/en-us/excel/functions/cubevalue-function" TargetMode="External"/><Relationship Id="rId153" Type="http://schemas.openxmlformats.org/officeDocument/2006/relationships/hyperlink" Target="https://support.microsoft.com/en-us/excel/functions/erf-function" TargetMode="External"/><Relationship Id="rId195" Type="http://schemas.openxmlformats.org/officeDocument/2006/relationships/hyperlink" Target="https://support.microsoft.com/en-us/excel/functions/gamma-dist-function" TargetMode="External"/><Relationship Id="rId209" Type="http://schemas.openxmlformats.org/officeDocument/2006/relationships/hyperlink" Target="https://support.microsoft.com/en-us/excel/functions/hex2bin-function" TargetMode="External"/><Relationship Id="rId360" Type="http://schemas.openxmlformats.org/officeDocument/2006/relationships/hyperlink" Target="https://support.microsoft.com/en-us/excel/functions/price-function" TargetMode="External"/><Relationship Id="rId416" Type="http://schemas.openxmlformats.org/officeDocument/2006/relationships/hyperlink" Target="https://support.microsoft.com/en-us/excel/functions/sortby-function" TargetMode="External"/><Relationship Id="rId220" Type="http://schemas.openxmlformats.org/officeDocument/2006/relationships/hyperlink" Target="https://support.microsoft.com/en-us/excel/functions/ifna-function" TargetMode="External"/><Relationship Id="rId458" Type="http://schemas.openxmlformats.org/officeDocument/2006/relationships/hyperlink" Target="https://support.microsoft.com/en-us/excel/functions/timevalue-function" TargetMode="External"/><Relationship Id="rId15" Type="http://schemas.openxmlformats.org/officeDocument/2006/relationships/hyperlink" Target="https://support.microsoft.com/en-us/excel/functions/arabic-function" TargetMode="External"/><Relationship Id="rId57" Type="http://schemas.openxmlformats.org/officeDocument/2006/relationships/hyperlink" Target="https://support.microsoft.com/en-us/excel/functions/cell-function" TargetMode="External"/><Relationship Id="rId262" Type="http://schemas.openxmlformats.org/officeDocument/2006/relationships/hyperlink" Target="https://support.microsoft.com/en-us/excel/functions/isodd-function" TargetMode="External"/><Relationship Id="rId318" Type="http://schemas.openxmlformats.org/officeDocument/2006/relationships/hyperlink" Target="https://support.microsoft.com/en-us/excel/functions/norm-inv-function" TargetMode="External"/><Relationship Id="rId99" Type="http://schemas.openxmlformats.org/officeDocument/2006/relationships/hyperlink" Target="https://support.microsoft.com/en-us/excel/functions/covar-function" TargetMode="External"/><Relationship Id="rId122" Type="http://schemas.openxmlformats.org/officeDocument/2006/relationships/hyperlink" Target="https://support.microsoft.com/en-us/excel/functions/dbcs-function" TargetMode="External"/><Relationship Id="rId164" Type="http://schemas.openxmlformats.org/officeDocument/2006/relationships/hyperlink" Target="https://support.microsoft.com/en-us/excel/functions/expondist-function" TargetMode="External"/><Relationship Id="rId371" Type="http://schemas.openxmlformats.org/officeDocument/2006/relationships/hyperlink" Target="https://support.microsoft.com/en-us/excel/functions/quotient-function" TargetMode="External"/><Relationship Id="rId427" Type="http://schemas.openxmlformats.org/officeDocument/2006/relationships/hyperlink" Target="https://support.microsoft.com/en-us/excel/functions/subtotal-function" TargetMode="External"/><Relationship Id="rId469" Type="http://schemas.openxmlformats.org/officeDocument/2006/relationships/hyperlink" Target="https://support.microsoft.com/en-us/excel/functions/true-function" TargetMode="External"/><Relationship Id="rId26" Type="http://schemas.openxmlformats.org/officeDocument/2006/relationships/hyperlink" Target="https://support.microsoft.com/en-us/excel/functions/averagea-function" TargetMode="External"/><Relationship Id="rId231" Type="http://schemas.openxmlformats.org/officeDocument/2006/relationships/hyperlink" Target="https://support.microsoft.com/en-us/excel/functions/imcsch-function" TargetMode="External"/><Relationship Id="rId273" Type="http://schemas.openxmlformats.org/officeDocument/2006/relationships/hyperlink" Target="https://support.microsoft.com/en-us/excel/functions/let-function" TargetMode="External"/><Relationship Id="rId329" Type="http://schemas.openxmlformats.org/officeDocument/2006/relationships/hyperlink" Target="https://support.microsoft.com/en-us/excel/functions/numbervalue-function" TargetMode="External"/><Relationship Id="rId480" Type="http://schemas.openxmlformats.org/officeDocument/2006/relationships/hyperlink" Target="https://support.microsoft.com/en-us/excel/functions/var-p-function" TargetMode="External"/><Relationship Id="rId68" Type="http://schemas.openxmlformats.org/officeDocument/2006/relationships/hyperlink" Target="https://support.microsoft.com/en-us/excel/functions/choosecols-function" TargetMode="External"/><Relationship Id="rId133" Type="http://schemas.openxmlformats.org/officeDocument/2006/relationships/hyperlink" Target="https://support.microsoft.com/en-us/excel/functions/devsq-function" TargetMode="External"/><Relationship Id="rId175" Type="http://schemas.openxmlformats.org/officeDocument/2006/relationships/hyperlink" Target="https://support.microsoft.com/en-us/excel/functions/filter-function" TargetMode="External"/><Relationship Id="rId340" Type="http://schemas.openxmlformats.org/officeDocument/2006/relationships/hyperlink" Target="https://support.microsoft.com/en-us/excel/functions/pduration-function" TargetMode="External"/><Relationship Id="rId200" Type="http://schemas.openxmlformats.org/officeDocument/2006/relationships/hyperlink" Target="https://support.microsoft.com/en-us/excel/functions/gammaln-precise-function" TargetMode="External"/><Relationship Id="rId382" Type="http://schemas.openxmlformats.org/officeDocument/2006/relationships/hyperlink" Target="https://support.microsoft.com/en-us/excel/functions/regexextract-function" TargetMode="External"/><Relationship Id="rId438" Type="http://schemas.openxmlformats.org/officeDocument/2006/relationships/hyperlink" Target="https://support.microsoft.com/en-us/excel/functions/t-function" TargetMode="External"/><Relationship Id="rId242" Type="http://schemas.openxmlformats.org/officeDocument/2006/relationships/hyperlink" Target="https://support.microsoft.com/en-us/excel/functions/imsec-function" TargetMode="External"/><Relationship Id="rId284" Type="http://schemas.openxmlformats.org/officeDocument/2006/relationships/hyperlink" Target="https://support.microsoft.com/en-us/excel/functions/lower-function" TargetMode="External"/><Relationship Id="rId491" Type="http://schemas.openxmlformats.org/officeDocument/2006/relationships/hyperlink" Target="https://support.microsoft.com/en-us/excel/functions/weibull-function" TargetMode="External"/><Relationship Id="rId505" Type="http://schemas.openxmlformats.org/officeDocument/2006/relationships/hyperlink" Target="https://support.microsoft.com/en-us/excel/functions/yielddisc-function" TargetMode="External"/><Relationship Id="rId37" Type="http://schemas.openxmlformats.org/officeDocument/2006/relationships/hyperlink" Target="https://support.microsoft.com/en-us/excel/functions/betadist-function" TargetMode="External"/><Relationship Id="rId79" Type="http://schemas.openxmlformats.org/officeDocument/2006/relationships/hyperlink" Target="https://support.microsoft.com/en-us/excel/functions/confidence-function" TargetMode="External"/><Relationship Id="rId102" Type="http://schemas.openxmlformats.org/officeDocument/2006/relationships/hyperlink" Target="https://support.microsoft.com/en-us/excel/functions/critbinom-function" TargetMode="External"/><Relationship Id="rId144" Type="http://schemas.openxmlformats.org/officeDocument/2006/relationships/hyperlink" Target="https://support.microsoft.com/en-us/excel/functions/dstdevp-function" TargetMode="External"/><Relationship Id="rId90" Type="http://schemas.openxmlformats.org/officeDocument/2006/relationships/hyperlink" Target="https://support.microsoft.com/en-us/excel/functions/counta-function" TargetMode="External"/><Relationship Id="rId186" Type="http://schemas.openxmlformats.org/officeDocument/2006/relationships/hyperlink" Target="https://support.microsoft.com/en-us/excel/functions/forecast-ets-confint-function" TargetMode="External"/><Relationship Id="rId351" Type="http://schemas.openxmlformats.org/officeDocument/2006/relationships/hyperlink" Target="https://support.microsoft.com/en-us/excel/functions/phi-function" TargetMode="External"/><Relationship Id="rId393" Type="http://schemas.openxmlformats.org/officeDocument/2006/relationships/hyperlink" Target="https://support.microsoft.com/en-us/excel/functions/row-function" TargetMode="External"/><Relationship Id="rId407" Type="http://schemas.openxmlformats.org/officeDocument/2006/relationships/hyperlink" Target="https://support.microsoft.com/en-us/excel/functions/sign-function" TargetMode="External"/><Relationship Id="rId449" Type="http://schemas.openxmlformats.org/officeDocument/2006/relationships/hyperlink" Target="https://support.microsoft.com/en-us/excel/functions/tbillprice-function" TargetMode="External"/><Relationship Id="rId211" Type="http://schemas.openxmlformats.org/officeDocument/2006/relationships/hyperlink" Target="https://support.microsoft.com/en-us/excel/functions/hex2oct-function" TargetMode="External"/><Relationship Id="rId253" Type="http://schemas.openxmlformats.org/officeDocument/2006/relationships/hyperlink" Target="https://support.microsoft.com/en-us/excel/functions/int-function" TargetMode="External"/><Relationship Id="rId295" Type="http://schemas.openxmlformats.org/officeDocument/2006/relationships/hyperlink" Target="https://support.microsoft.com/en-us/excel/functions/min-function" TargetMode="External"/><Relationship Id="rId309" Type="http://schemas.openxmlformats.org/officeDocument/2006/relationships/hyperlink" Target="https://support.microsoft.com/en-us/excel/functions/munit-function" TargetMode="External"/><Relationship Id="rId460" Type="http://schemas.openxmlformats.org/officeDocument/2006/relationships/hyperlink" Target="https://support.microsoft.com/en-us/excel/functions/tocol-function" TargetMode="External"/><Relationship Id="rId516" Type="http://schemas.openxmlformats.org/officeDocument/2006/relationships/hyperlink" Target="https://support.microsoft.com/en-us/excel/functions/left-function" TargetMode="External"/><Relationship Id="rId48" Type="http://schemas.openxmlformats.org/officeDocument/2006/relationships/hyperlink" Target="https://support.microsoft.com/en-us/excel/functions/bitor-function" TargetMode="External"/><Relationship Id="rId113" Type="http://schemas.openxmlformats.org/officeDocument/2006/relationships/hyperlink" Target="https://support.microsoft.com/en-us/excel/functions/cumprinc-function" TargetMode="External"/><Relationship Id="rId320" Type="http://schemas.openxmlformats.org/officeDocument/2006/relationships/hyperlink" Target="https://support.microsoft.com/en-us/excel/functions/norm-s-inv-function" TargetMode="External"/><Relationship Id="rId155" Type="http://schemas.openxmlformats.org/officeDocument/2006/relationships/hyperlink" Target="https://support.microsoft.com/en-us/excel/functions/erfc-function" TargetMode="External"/><Relationship Id="rId197" Type="http://schemas.openxmlformats.org/officeDocument/2006/relationships/hyperlink" Target="https://support.microsoft.com/en-us/excel/functions/gammadist-function" TargetMode="External"/><Relationship Id="rId362" Type="http://schemas.openxmlformats.org/officeDocument/2006/relationships/hyperlink" Target="https://support.microsoft.com/en-us/excel/functions/pricemat-function" TargetMode="External"/><Relationship Id="rId418" Type="http://schemas.openxmlformats.org/officeDocument/2006/relationships/hyperlink" Target="https://support.microsoft.com/en-us/excel/functions/stdev-function" TargetMode="External"/><Relationship Id="rId222" Type="http://schemas.openxmlformats.org/officeDocument/2006/relationships/hyperlink" Target="https://support.microsoft.com/en-us/excel/functions/imabs-function" TargetMode="External"/><Relationship Id="rId264" Type="http://schemas.openxmlformats.org/officeDocument/2006/relationships/hyperlink" Target="https://support.microsoft.com/en-us/excel/functions/isoweeknum-function" TargetMode="External"/><Relationship Id="rId471" Type="http://schemas.openxmlformats.org/officeDocument/2006/relationships/hyperlink" Target="https://support.microsoft.com/en-us/excel/functions/ttest-function" TargetMode="External"/><Relationship Id="rId17" Type="http://schemas.openxmlformats.org/officeDocument/2006/relationships/hyperlink" Target="https://support.microsoft.com/en-us/excel/functions/arraytotext-function" TargetMode="External"/><Relationship Id="rId59" Type="http://schemas.openxmlformats.org/officeDocument/2006/relationships/hyperlink" Target="https://support.microsoft.com/en-us/excel/functions/chidist-function" TargetMode="External"/><Relationship Id="rId124" Type="http://schemas.openxmlformats.org/officeDocument/2006/relationships/hyperlink" Target="https://support.microsoft.com/en-us/excel/functions/dcounta-function" TargetMode="External"/><Relationship Id="rId70" Type="http://schemas.openxmlformats.org/officeDocument/2006/relationships/hyperlink" Target="https://support.microsoft.com/en-us/excel/functions/clean-function" TargetMode="External"/><Relationship Id="rId166" Type="http://schemas.openxmlformats.org/officeDocument/2006/relationships/hyperlink" Target="https://support.microsoft.com/en-us/excel/functions/f-dist-rt-function" TargetMode="External"/><Relationship Id="rId331" Type="http://schemas.openxmlformats.org/officeDocument/2006/relationships/hyperlink" Target="https://support.microsoft.com/en-us/excel/functions/oct2dec-function" TargetMode="External"/><Relationship Id="rId373" Type="http://schemas.openxmlformats.org/officeDocument/2006/relationships/hyperlink" Target="https://support.microsoft.com/en-us/excel/functions/rand-function" TargetMode="External"/><Relationship Id="rId429" Type="http://schemas.openxmlformats.org/officeDocument/2006/relationships/hyperlink" Target="https://support.microsoft.com/en-us/excel/functions/sumif-function" TargetMode="External"/><Relationship Id="rId1" Type="http://schemas.openxmlformats.org/officeDocument/2006/relationships/hyperlink" Target="https://bettersolutions.com/excel/functions/complete-list.htm" TargetMode="External"/><Relationship Id="rId233" Type="http://schemas.openxmlformats.org/officeDocument/2006/relationships/hyperlink" Target="https://support.microsoft.com/en-us/excel/functions/imexp-function" TargetMode="External"/><Relationship Id="rId440" Type="http://schemas.openxmlformats.org/officeDocument/2006/relationships/hyperlink" Target="https://support.microsoft.com/en-us/excel/functions/t-dist-2t-function" TargetMode="External"/><Relationship Id="rId28" Type="http://schemas.openxmlformats.org/officeDocument/2006/relationships/hyperlink" Target="https://support.microsoft.com/en-us/excel/functions/averageifs-function" TargetMode="External"/><Relationship Id="rId275" Type="http://schemas.openxmlformats.org/officeDocument/2006/relationships/hyperlink" Target="https://support.microsoft.com/en-us/excel/functions/ln-function" TargetMode="External"/><Relationship Id="rId300" Type="http://schemas.openxmlformats.org/officeDocument/2006/relationships/hyperlink" Target="https://support.microsoft.com/en-us/excel/functions/mirr-function" TargetMode="External"/><Relationship Id="rId482" Type="http://schemas.openxmlformats.org/officeDocument/2006/relationships/hyperlink" Target="https://support.microsoft.com/en-us/excel/functions/vara-function" TargetMode="External"/><Relationship Id="rId81" Type="http://schemas.openxmlformats.org/officeDocument/2006/relationships/hyperlink" Target="https://support.microsoft.com/en-us/excel/functions/confidence-t-function" TargetMode="External"/><Relationship Id="rId135" Type="http://schemas.openxmlformats.org/officeDocument/2006/relationships/hyperlink" Target="https://support.microsoft.com/en-us/excel/functions/disc-function" TargetMode="External"/><Relationship Id="rId177" Type="http://schemas.openxmlformats.org/officeDocument/2006/relationships/hyperlink" Target="https://support.microsoft.com/en-us/excel/functions/finv-function" TargetMode="External"/><Relationship Id="rId342" Type="http://schemas.openxmlformats.org/officeDocument/2006/relationships/hyperlink" Target="https://support.microsoft.com/en-us/excel/functions/percentile-function" TargetMode="External"/><Relationship Id="rId384" Type="http://schemas.openxmlformats.org/officeDocument/2006/relationships/hyperlink" Target="https://support.microsoft.com/en-us/excel/functions/regextest-function" TargetMode="External"/><Relationship Id="rId202" Type="http://schemas.openxmlformats.org/officeDocument/2006/relationships/hyperlink" Target="https://support.microsoft.com/en-us/excel/functions/gcd-function" TargetMode="External"/><Relationship Id="rId244" Type="http://schemas.openxmlformats.org/officeDocument/2006/relationships/hyperlink" Target="https://support.microsoft.com/en-us/excel/functions/imsin-function" TargetMode="External"/><Relationship Id="rId39" Type="http://schemas.openxmlformats.org/officeDocument/2006/relationships/hyperlink" Target="https://support.microsoft.com/en-us/excel/functions/bin2dec-function" TargetMode="External"/><Relationship Id="rId286" Type="http://schemas.openxmlformats.org/officeDocument/2006/relationships/hyperlink" Target="https://support.microsoft.com/en-us/excel/functions/map-function" TargetMode="External"/><Relationship Id="rId451" Type="http://schemas.openxmlformats.org/officeDocument/2006/relationships/hyperlink" Target="https://support.microsoft.com/en-us/excel/functions/tdist-function" TargetMode="External"/><Relationship Id="rId493" Type="http://schemas.openxmlformats.org/officeDocument/2006/relationships/hyperlink" Target="https://support.microsoft.com/en-us/excel/functions/workday-function" TargetMode="External"/><Relationship Id="rId507" Type="http://schemas.openxmlformats.org/officeDocument/2006/relationships/hyperlink" Target="https://support.microsoft.com/en-us/excel/functions/z-test-function" TargetMode="External"/><Relationship Id="rId50" Type="http://schemas.openxmlformats.org/officeDocument/2006/relationships/hyperlink" Target="https://support.microsoft.com/en-us/excel/functions/bitxor-function" TargetMode="External"/><Relationship Id="rId104" Type="http://schemas.openxmlformats.org/officeDocument/2006/relationships/hyperlink" Target="https://support.microsoft.com/en-us/excel/functions/csch-function" TargetMode="External"/><Relationship Id="rId146" Type="http://schemas.openxmlformats.org/officeDocument/2006/relationships/hyperlink" Target="https://support.microsoft.com/en-us/excel/functions/duration-function" TargetMode="External"/><Relationship Id="rId188" Type="http://schemas.openxmlformats.org/officeDocument/2006/relationships/hyperlink" Target="https://support.microsoft.com/en-us/excel/functions/forecast-ets-stat-function" TargetMode="External"/><Relationship Id="rId311" Type="http://schemas.openxmlformats.org/officeDocument/2006/relationships/hyperlink" Target="https://support.microsoft.com/en-us/excel/functions/na-function" TargetMode="External"/><Relationship Id="rId353" Type="http://schemas.openxmlformats.org/officeDocument/2006/relationships/hyperlink" Target="https://support.microsoft.com/en-us/excel/functions/pi-function" TargetMode="External"/><Relationship Id="rId395" Type="http://schemas.openxmlformats.org/officeDocument/2006/relationships/hyperlink" Target="https://support.microsoft.com/en-us/excel/functions/rri-function" TargetMode="External"/><Relationship Id="rId409" Type="http://schemas.openxmlformats.org/officeDocument/2006/relationships/hyperlink" Target="https://support.microsoft.com/en-us/excel/functions/sinh-function" TargetMode="External"/><Relationship Id="rId92" Type="http://schemas.openxmlformats.org/officeDocument/2006/relationships/hyperlink" Target="https://support.microsoft.com/en-us/excel/functions/countifs-function" TargetMode="External"/><Relationship Id="rId213" Type="http://schemas.openxmlformats.org/officeDocument/2006/relationships/hyperlink" Target="https://support.microsoft.com/en-us/excel/functions/hour-function" TargetMode="External"/><Relationship Id="rId420" Type="http://schemas.openxmlformats.org/officeDocument/2006/relationships/hyperlink" Target="https://support.microsoft.com/en-us/excel/functions/stdev-s-function" TargetMode="External"/><Relationship Id="rId255" Type="http://schemas.openxmlformats.org/officeDocument/2006/relationships/hyperlink" Target="https://support.microsoft.com/en-us/excel/functions/intrate-function" TargetMode="External"/><Relationship Id="rId297" Type="http://schemas.openxmlformats.org/officeDocument/2006/relationships/hyperlink" Target="https://support.microsoft.com/en-us/excel/functions/minifs-function" TargetMode="External"/><Relationship Id="rId462" Type="http://schemas.openxmlformats.org/officeDocument/2006/relationships/hyperlink" Target="https://support.microsoft.com/en-us/excel/functions/torow-function" TargetMode="External"/><Relationship Id="rId518" Type="http://schemas.openxmlformats.org/officeDocument/2006/relationships/hyperlink" Target="https://support.microsoft.com/en-us/excel/functions/mid-function" TargetMode="External"/><Relationship Id="rId115" Type="http://schemas.openxmlformats.org/officeDocument/2006/relationships/hyperlink" Target="https://support.microsoft.com/en-us/excel/functions/datedif-function" TargetMode="External"/><Relationship Id="rId157" Type="http://schemas.openxmlformats.org/officeDocument/2006/relationships/hyperlink" Target="https://support.microsoft.com/en-us/excel/functions/error-type-function" TargetMode="External"/><Relationship Id="rId322" Type="http://schemas.openxmlformats.org/officeDocument/2006/relationships/hyperlink" Target="https://support.microsoft.com/en-us/excel/functions/norminv-function" TargetMode="External"/><Relationship Id="rId364" Type="http://schemas.openxmlformats.org/officeDocument/2006/relationships/hyperlink" Target="https://support.microsoft.com/en-us/excel/functions/product-function" TargetMode="External"/><Relationship Id="rId61" Type="http://schemas.openxmlformats.org/officeDocument/2006/relationships/hyperlink" Target="https://support.microsoft.com/en-us/excel/functions/chisq-dist-function" TargetMode="External"/><Relationship Id="rId199" Type="http://schemas.openxmlformats.org/officeDocument/2006/relationships/hyperlink" Target="https://support.microsoft.com/en-us/excel/functions/gammaln-function" TargetMode="External"/><Relationship Id="rId19" Type="http://schemas.openxmlformats.org/officeDocument/2006/relationships/hyperlink" Target="https://support.microsoft.com/en-us/excel/functions/asin-function" TargetMode="External"/><Relationship Id="rId224" Type="http://schemas.openxmlformats.org/officeDocument/2006/relationships/hyperlink" Target="https://support.microsoft.com/en-us/excel/functions/imaginary-function" TargetMode="External"/><Relationship Id="rId266" Type="http://schemas.openxmlformats.org/officeDocument/2006/relationships/hyperlink" Target="https://support.microsoft.com/en-us/excel/functions/jis-function" TargetMode="External"/><Relationship Id="rId431" Type="http://schemas.openxmlformats.org/officeDocument/2006/relationships/hyperlink" Target="https://support.microsoft.com/en-us/excel/functions/sumproduct-function" TargetMode="External"/><Relationship Id="rId473" Type="http://schemas.openxmlformats.org/officeDocument/2006/relationships/hyperlink" Target="https://support.microsoft.com/en-us/excel/functions/unichar-function" TargetMode="External"/><Relationship Id="rId30" Type="http://schemas.openxmlformats.org/officeDocument/2006/relationships/hyperlink" Target="https://support.microsoft.com/en-us/excel/functions/base-function" TargetMode="External"/><Relationship Id="rId126" Type="http://schemas.openxmlformats.org/officeDocument/2006/relationships/hyperlink" Target="https://support.microsoft.com/en-us/excel/functions/dec2bin-function" TargetMode="External"/><Relationship Id="rId168" Type="http://schemas.openxmlformats.org/officeDocument/2006/relationships/hyperlink" Target="https://support.microsoft.com/en-us/excel/functions/f-inv-rt-function" TargetMode="External"/><Relationship Id="rId333" Type="http://schemas.openxmlformats.org/officeDocument/2006/relationships/hyperlink" Target="https://support.microsoft.com/en-us/excel/functions/odd-function" TargetMode="External"/><Relationship Id="rId72" Type="http://schemas.openxmlformats.org/officeDocument/2006/relationships/hyperlink" Target="https://support.microsoft.com/en-us/excel/functions/column-function" TargetMode="External"/><Relationship Id="rId375" Type="http://schemas.openxmlformats.org/officeDocument/2006/relationships/hyperlink" Target="https://support.microsoft.com/en-us/excel/functions/randbetween-function" TargetMode="External"/><Relationship Id="rId3" Type="http://schemas.openxmlformats.org/officeDocument/2006/relationships/hyperlink" Target="https://support.microsoft.com/en-us/excel/functions/abs-function" TargetMode="External"/><Relationship Id="rId235" Type="http://schemas.openxmlformats.org/officeDocument/2006/relationships/hyperlink" Target="https://support.microsoft.com/en-us/excel/functions/imlog10-function" TargetMode="External"/><Relationship Id="rId277" Type="http://schemas.openxmlformats.org/officeDocument/2006/relationships/hyperlink" Target="https://support.microsoft.com/en-us/excel/functions/log10-function" TargetMode="External"/><Relationship Id="rId400" Type="http://schemas.openxmlformats.org/officeDocument/2006/relationships/hyperlink" Target="https://support.microsoft.com/en-us/excel/functions/sec-function" TargetMode="External"/><Relationship Id="rId442" Type="http://schemas.openxmlformats.org/officeDocument/2006/relationships/hyperlink" Target="https://support.microsoft.com/en-us/excel/functions/t-inv-function" TargetMode="External"/><Relationship Id="rId484" Type="http://schemas.openxmlformats.org/officeDocument/2006/relationships/hyperlink" Target="https://support.microsoft.com/en-us/excel/functions/varpa-function" TargetMode="External"/><Relationship Id="rId137" Type="http://schemas.openxmlformats.org/officeDocument/2006/relationships/hyperlink" Target="https://support.microsoft.com/en-us/excel/functions/dmin-function" TargetMode="External"/><Relationship Id="rId302" Type="http://schemas.openxmlformats.org/officeDocument/2006/relationships/hyperlink" Target="https://support.microsoft.com/en-us/excel/functions/mod-function" TargetMode="External"/><Relationship Id="rId344" Type="http://schemas.openxmlformats.org/officeDocument/2006/relationships/hyperlink" Target="https://support.microsoft.com/en-us/excel/functions/percentile-inc-function" TargetMode="External"/><Relationship Id="rId41" Type="http://schemas.openxmlformats.org/officeDocument/2006/relationships/hyperlink" Target="https://support.microsoft.com/en-us/excel/functions/bin2oct-function" TargetMode="External"/><Relationship Id="rId83" Type="http://schemas.openxmlformats.org/officeDocument/2006/relationships/hyperlink" Target="https://support.microsoft.com/en-us/excel/functions/copilot-function" TargetMode="External"/><Relationship Id="rId179" Type="http://schemas.openxmlformats.org/officeDocument/2006/relationships/hyperlink" Target="https://support.microsoft.com/en-us/excel/functions/fisherinv-function" TargetMode="External"/><Relationship Id="rId386" Type="http://schemas.openxmlformats.org/officeDocument/2006/relationships/hyperlink" Target="https://support.microsoft.com/en-us/excel/functions/replace-function" TargetMode="External"/><Relationship Id="rId190" Type="http://schemas.openxmlformats.org/officeDocument/2006/relationships/hyperlink" Target="https://support.microsoft.com/en-us/excel/functions/frequency-function" TargetMode="External"/><Relationship Id="rId204" Type="http://schemas.openxmlformats.org/officeDocument/2006/relationships/hyperlink" Target="https://support.microsoft.com/en-us/excel/functions/gestep-function" TargetMode="External"/><Relationship Id="rId246" Type="http://schemas.openxmlformats.org/officeDocument/2006/relationships/hyperlink" Target="https://support.microsoft.com/en-us/excel/functions/imsqrt-function" TargetMode="External"/><Relationship Id="rId288" Type="http://schemas.openxmlformats.org/officeDocument/2006/relationships/hyperlink" Target="https://support.microsoft.com/en-us/excel/functions/max-function" TargetMode="External"/><Relationship Id="rId411" Type="http://schemas.openxmlformats.org/officeDocument/2006/relationships/hyperlink" Target="https://support.microsoft.com/en-us/excel/functions/skew-p-function" TargetMode="External"/><Relationship Id="rId453" Type="http://schemas.openxmlformats.org/officeDocument/2006/relationships/hyperlink" Target="https://support.microsoft.com/en-us/excel/functions/textafter-function" TargetMode="External"/><Relationship Id="rId509" Type="http://schemas.openxmlformats.org/officeDocument/2006/relationships/hyperlink" Target="https://support.microsoft.com/en-us/excel/functions/forecast-and-forecast-linear-functions" TargetMode="External"/><Relationship Id="rId106" Type="http://schemas.openxmlformats.org/officeDocument/2006/relationships/hyperlink" Target="https://support.microsoft.com/en-us/excel/functions/cubemember-function" TargetMode="External"/><Relationship Id="rId313" Type="http://schemas.openxmlformats.org/officeDocument/2006/relationships/hyperlink" Target="https://support.microsoft.com/en-us/excel/functions/negbinomdist-function" TargetMode="External"/><Relationship Id="rId495" Type="http://schemas.openxmlformats.org/officeDocument/2006/relationships/hyperlink" Target="https://support.microsoft.com/en-us/excel/functions/wrapcols-function" TargetMode="External"/><Relationship Id="rId10" Type="http://schemas.openxmlformats.org/officeDocument/2006/relationships/hyperlink" Target="https://support.microsoft.com/en-us/excel/functions/address-function" TargetMode="External"/><Relationship Id="rId52" Type="http://schemas.openxmlformats.org/officeDocument/2006/relationships/hyperlink" Target="https://support.microsoft.com/en-us/excel/functions/byrow-function" TargetMode="External"/><Relationship Id="rId94" Type="http://schemas.openxmlformats.org/officeDocument/2006/relationships/hyperlink" Target="https://support.microsoft.com/en-us/excel/functions/coupdays-function" TargetMode="External"/><Relationship Id="rId148" Type="http://schemas.openxmlformats.org/officeDocument/2006/relationships/hyperlink" Target="https://support.microsoft.com/en-us/excel/functions/dvarp-function" TargetMode="External"/><Relationship Id="rId355" Type="http://schemas.openxmlformats.org/officeDocument/2006/relationships/hyperlink" Target="https://support.microsoft.com/en-us/excel/functions/pmt-function" TargetMode="External"/><Relationship Id="rId397" Type="http://schemas.openxmlformats.org/officeDocument/2006/relationships/hyperlink" Target="https://support.microsoft.com/en-us/excel/functions/rtd-function" TargetMode="External"/><Relationship Id="rId520" Type="http://schemas.openxmlformats.org/officeDocument/2006/relationships/hyperlink" Target="https://support.microsoft.com/en-us/excel/functions/right-function" TargetMode="External"/><Relationship Id="rId215" Type="http://schemas.openxmlformats.org/officeDocument/2006/relationships/hyperlink" Target="https://support.microsoft.com/en-us/excel/functions/hyperlink-function" TargetMode="External"/><Relationship Id="rId257" Type="http://schemas.openxmlformats.org/officeDocument/2006/relationships/hyperlink" Target="https://support.microsoft.com/en-us/excel/functions/irr-function" TargetMode="External"/><Relationship Id="rId422" Type="http://schemas.openxmlformats.org/officeDocument/2006/relationships/hyperlink" Target="https://support.microsoft.com/en-us/excel/functions/stdevp-function" TargetMode="External"/><Relationship Id="rId464" Type="http://schemas.openxmlformats.org/officeDocument/2006/relationships/hyperlink" Target="https://support.microsoft.com/en-us/excel/functions/transpose-function" TargetMode="External"/><Relationship Id="rId299" Type="http://schemas.openxmlformats.org/officeDocument/2006/relationships/hyperlink" Target="https://support.microsoft.com/en-us/excel/functions/minverse-function" TargetMode="External"/><Relationship Id="rId63" Type="http://schemas.openxmlformats.org/officeDocument/2006/relationships/hyperlink" Target="https://support.microsoft.com/en-us/excel/functions/chisq-inv-function" TargetMode="External"/><Relationship Id="rId159" Type="http://schemas.openxmlformats.org/officeDocument/2006/relationships/hyperlink" Target="https://support.microsoft.com/en-us/excel/functions/even-function" TargetMode="External"/><Relationship Id="rId366" Type="http://schemas.openxmlformats.org/officeDocument/2006/relationships/hyperlink" Target="https://support.microsoft.com/en-us/excel/functions/pv-function" TargetMode="External"/><Relationship Id="rId226" Type="http://schemas.openxmlformats.org/officeDocument/2006/relationships/hyperlink" Target="https://support.microsoft.com/en-us/excel/functions/imconjugate-function" TargetMode="External"/><Relationship Id="rId433" Type="http://schemas.openxmlformats.org/officeDocument/2006/relationships/hyperlink" Target="https://support.microsoft.com/en-us/excel/functions/sumx2my2-function" TargetMode="Externa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printerSettings" Target="../printerSettings/printerSettings1.bin"/><Relationship Id="rId7" Type="http://schemas.openxmlformats.org/officeDocument/2006/relationships/comments" Target="../comments1.xml"/><Relationship Id="rId2" Type="http://schemas.openxmlformats.org/officeDocument/2006/relationships/hyperlink" Target="https://www.example.com/" TargetMode="External"/><Relationship Id="rId1" Type="http://schemas.openxmlformats.org/officeDocument/2006/relationships/pivotTable" Target="../pivotTables/pivotTable1.xml"/><Relationship Id="rId6" Type="http://schemas.openxmlformats.org/officeDocument/2006/relationships/table" Target="../tables/table1.xml"/><Relationship Id="rId5" Type="http://schemas.openxmlformats.org/officeDocument/2006/relationships/vmlDrawing" Target="../drawings/vmlDrawing1.vml"/><Relationship Id="rId4"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507AE-7EF5-496F-B3CE-8757BEECAABE}">
  <dimension ref="A1"/>
  <sheetViews>
    <sheetView tabSelected="1" workbookViewId="0"/>
  </sheetViews>
  <sheetFormatPr defaultRowHeight="14.4"/>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CDB46E-EC62-491D-A49D-3FBFFC9873E2}">
  <dimension ref="A1:I614"/>
  <sheetViews>
    <sheetView zoomScaleNormal="100" zoomScaleSheetLayoutView="100" workbookViewId="0">
      <selection activeCell="D1" sqref="D1"/>
    </sheetView>
  </sheetViews>
  <sheetFormatPr defaultRowHeight="14.4"/>
  <cols>
    <col min="1" max="1" width="25.6640625" style="51" bestFit="1" customWidth="1"/>
    <col min="2" max="2" width="25.6640625" style="51" customWidth="1"/>
    <col min="3" max="3" width="26" style="51" bestFit="1" customWidth="1"/>
    <col min="4" max="5" width="29.109375" style="51" customWidth="1"/>
    <col min="6" max="6" width="38.44140625" style="51" customWidth="1"/>
    <col min="7" max="7" width="2.6640625" style="51" customWidth="1"/>
    <col min="8" max="8" width="66" style="51" customWidth="1"/>
    <col min="9" max="9" width="39" style="51" customWidth="1"/>
    <col min="10" max="10" width="70" style="51" customWidth="1"/>
    <col min="11" max="16384" width="8.88671875" style="51"/>
  </cols>
  <sheetData>
    <row r="1" spans="1:9">
      <c r="A1" s="59" t="s">
        <v>676</v>
      </c>
      <c r="B1" s="59"/>
    </row>
    <row r="2" spans="1:9">
      <c r="A2" s="51" t="s">
        <v>742</v>
      </c>
    </row>
    <row r="3" spans="1:9">
      <c r="H3" s="59" t="s">
        <v>743</v>
      </c>
    </row>
    <row r="4" spans="1:9">
      <c r="A4" s="52" t="s">
        <v>137</v>
      </c>
      <c r="B4" s="52"/>
      <c r="E4" s="51" t="s">
        <v>678</v>
      </c>
      <c r="F4" s="60">
        <f>COUNTA(A11:A537)</f>
        <v>527</v>
      </c>
      <c r="H4" s="51" t="str" cm="1">
        <f t="array" aca="1" ref="H4:H19" ca="1">_xlfn._xlws.SORT(_xlfn.UNIQUE(E11:E537),,1)</f>
        <v/>
      </c>
    </row>
    <row r="5" spans="1:9">
      <c r="A5" s="57" t="s">
        <v>139</v>
      </c>
      <c r="B5" s="57"/>
      <c r="E5" s="51" t="s">
        <v>677</v>
      </c>
      <c r="F5" s="60">
        <f ca="1">COUNTIF(D11:D537,TRUE)</f>
        <v>512</v>
      </c>
      <c r="H5" s="51" t="str">
        <f ca="1"/>
        <v>?CALL (untested)</v>
      </c>
    </row>
    <row r="6" spans="1:9">
      <c r="A6" s="57" t="s">
        <v>141</v>
      </c>
      <c r="B6" s="57"/>
      <c r="E6" s="51" t="s">
        <v>679</v>
      </c>
      <c r="F6" s="60">
        <f ca="1">COUNTIF(D11:D537,"NOT TESTED")</f>
        <v>10</v>
      </c>
      <c r="H6" s="51" t="str">
        <f ca="1"/>
        <v>?CUBEKPIMEMBER (untested)</v>
      </c>
    </row>
    <row r="7" spans="1:9">
      <c r="A7" s="45" t="s">
        <v>739</v>
      </c>
      <c r="B7" s="45"/>
      <c r="E7" s="51" t="s">
        <v>680</v>
      </c>
      <c r="F7" s="60">
        <f ca="1">COUNTIF(D11:D537,FALSE)</f>
        <v>5</v>
      </c>
      <c r="H7" s="51" t="str">
        <f ca="1"/>
        <v>?CUBEMEMBER (untested)</v>
      </c>
    </row>
    <row r="8" spans="1:9">
      <c r="F8" s="60"/>
      <c r="H8" s="51" t="str">
        <f ca="1"/>
        <v>?CUBEMEMBERPROPERTY (untested)</v>
      </c>
    </row>
    <row r="9" spans="1:9">
      <c r="H9" s="51" t="str">
        <f ca="1"/>
        <v>?CUBERANKEDMEMBER (untested)</v>
      </c>
    </row>
    <row r="10" spans="1:9">
      <c r="A10" s="49" t="s">
        <v>132</v>
      </c>
      <c r="B10" s="49" t="s">
        <v>741</v>
      </c>
      <c r="C10" s="49" t="s">
        <v>133</v>
      </c>
      <c r="D10" s="49" t="s">
        <v>134</v>
      </c>
      <c r="E10" s="50" t="s">
        <v>135</v>
      </c>
      <c r="F10" s="50" t="s">
        <v>136</v>
      </c>
      <c r="H10" s="51" t="str">
        <f ca="1"/>
        <v>?CUBESET (untested)</v>
      </c>
    </row>
    <row r="11" spans="1:9">
      <c r="A11" s="53" t="s">
        <v>138</v>
      </c>
      <c r="B11" s="45" t="s">
        <v>138</v>
      </c>
      <c r="C11" s="53">
        <f>ABS(1)</f>
        <v>1</v>
      </c>
      <c r="D11" s="54" t="b">
        <f ca="1">IF(NOT(_xlfn.ISFORMULA(C11)),"NOT TESTED",IFERROR(AND(ERROR.TYPE(C11)&lt;&gt;5,ISERROR(SEARCH("xlfn",_xlfn.FORMULATEXT(C11)))),TRUE))</f>
        <v>1</v>
      </c>
      <c r="E11" s="55" t="str">
        <f ca="1">IF(D11="NOT TESTED","?"&amp;A11&amp;" (untested)",IF(D11=FALSE,A11,""))</f>
        <v/>
      </c>
      <c r="F11" s="56"/>
      <c r="H11" t="str">
        <f ca="1"/>
        <v>?CUBESETCOUNT (untested)</v>
      </c>
      <c r="I11"/>
    </row>
    <row r="12" spans="1:9">
      <c r="A12" s="53" t="s">
        <v>140</v>
      </c>
      <c r="B12" s="45" t="s">
        <v>140</v>
      </c>
      <c r="C12" s="53">
        <f>ACCRINT(DATE(2020,1,1),DATE(2020,7,1),DATE(2021,1,1),0.05,100,1)</f>
        <v>5</v>
      </c>
      <c r="D12" s="54" t="b">
        <f t="shared" ref="D12:D75" ca="1" si="0">IF(NOT(_xlfn.ISFORMULA(C12)),"NOT TESTED",IFERROR(AND(ERROR.TYPE(C12)&lt;&gt;5,ISERROR(SEARCH("xlfn",_xlfn.FORMULATEXT(C12)))),TRUE))</f>
        <v>1</v>
      </c>
      <c r="E12" s="55" t="str">
        <f t="shared" ref="E12:E75" ca="1" si="1">IF(D12="NOT TESTED","?"&amp;A12&amp;" (untested)",IF(D12=FALSE,A12,""))</f>
        <v/>
      </c>
      <c r="F12" s="56"/>
      <c r="H12" t="str">
        <f ca="1"/>
        <v>?CUBEVALUE (untested)</v>
      </c>
      <c r="I12"/>
    </row>
    <row r="13" spans="1:9">
      <c r="A13" s="53" t="s">
        <v>142</v>
      </c>
      <c r="B13" s="45" t="s">
        <v>142</v>
      </c>
      <c r="C13" s="53">
        <f>ACCRINTM(DATE(2020,1,1),DATE(2021,1,1),0.05,100)</f>
        <v>5</v>
      </c>
      <c r="D13" s="54" t="b">
        <f t="shared" ca="1" si="0"/>
        <v>1</v>
      </c>
      <c r="E13" s="55" t="str">
        <f t="shared" ca="1" si="1"/>
        <v/>
      </c>
      <c r="F13" s="56"/>
      <c r="H13" t="str">
        <f ca="1"/>
        <v>?REGISTER.ID (untested)</v>
      </c>
      <c r="I13"/>
    </row>
    <row r="14" spans="1:9">
      <c r="A14" s="53" t="s">
        <v>143</v>
      </c>
      <c r="B14" s="45" t="s">
        <v>143</v>
      </c>
      <c r="C14" s="53">
        <f>ACOS(1)</f>
        <v>0</v>
      </c>
      <c r="D14" s="54" t="b">
        <f t="shared" ca="1" si="0"/>
        <v>1</v>
      </c>
      <c r="E14" s="55" t="str">
        <f t="shared" ca="1" si="1"/>
        <v/>
      </c>
      <c r="F14" s="56"/>
      <c r="H14" t="str">
        <f ca="1"/>
        <v>?TABLE (untested)</v>
      </c>
      <c r="I14"/>
    </row>
    <row r="15" spans="1:9">
      <c r="A15" s="53" t="s">
        <v>144</v>
      </c>
      <c r="B15" s="45" t="s">
        <v>144</v>
      </c>
      <c r="C15" s="53">
        <f>ACOSH(1)</f>
        <v>0</v>
      </c>
      <c r="D15" s="54" t="b">
        <f t="shared" ca="1" si="0"/>
        <v>1</v>
      </c>
      <c r="E15" s="55" t="str">
        <f t="shared" ca="1" si="1"/>
        <v/>
      </c>
      <c r="F15" s="56"/>
      <c r="H15" t="str">
        <f ca="1"/>
        <v>COPILOT</v>
      </c>
      <c r="I15"/>
    </row>
    <row r="16" spans="1:9">
      <c r="A16" s="53" t="s">
        <v>145</v>
      </c>
      <c r="B16" s="45" t="s">
        <v>145</v>
      </c>
      <c r="C16" s="53">
        <f>_xlfn.ACOT(1)</f>
        <v>0.78539816339744828</v>
      </c>
      <c r="D16" s="54" t="b">
        <f t="shared" ca="1" si="0"/>
        <v>1</v>
      </c>
      <c r="E16" s="55" t="str">
        <f t="shared" ca="1" si="1"/>
        <v/>
      </c>
      <c r="F16" s="56"/>
      <c r="H16" t="str">
        <f ca="1"/>
        <v>EUROCONVERT</v>
      </c>
      <c r="I16"/>
    </row>
    <row r="17" spans="1:9">
      <c r="A17" s="53" t="s">
        <v>146</v>
      </c>
      <c r="B17" s="45" t="s">
        <v>146</v>
      </c>
      <c r="C17" s="53">
        <f>_xlfn.ACOTH(2)</f>
        <v>0.54930614433405489</v>
      </c>
      <c r="D17" s="54" t="b">
        <f t="shared" ca="1" si="0"/>
        <v>1</v>
      </c>
      <c r="E17" s="55" t="str">
        <f t="shared" ca="1" si="1"/>
        <v/>
      </c>
      <c r="F17" s="56"/>
      <c r="H17" t="str">
        <f ca="1"/>
        <v>IMPORTCSV</v>
      </c>
      <c r="I17"/>
    </row>
    <row r="18" spans="1:9">
      <c r="A18" s="53" t="s">
        <v>147</v>
      </c>
      <c r="B18" s="45" t="s">
        <v>147</v>
      </c>
      <c r="C18" s="53" t="str">
        <f>ADDRESS(1,1)</f>
        <v>$A$1</v>
      </c>
      <c r="D18" s="54" t="b">
        <f t="shared" ca="1" si="0"/>
        <v>1</v>
      </c>
      <c r="E18" s="55" t="str">
        <f t="shared" ca="1" si="1"/>
        <v/>
      </c>
      <c r="F18" s="56"/>
      <c r="H18" t="str">
        <f ca="1"/>
        <v>IMPORTTEXT</v>
      </c>
      <c r="I18"/>
    </row>
    <row r="19" spans="1:9">
      <c r="A19" s="53" t="s">
        <v>730</v>
      </c>
      <c r="B19" s="45" t="s">
        <v>730</v>
      </c>
      <c r="C19" s="53" t="e">
        <f>_xlfn.AGGREGATE(1,0,{1,1,1})</f>
        <v>#VALUE!</v>
      </c>
      <c r="D19" s="54" t="b">
        <f t="shared" ca="1" si="0"/>
        <v>1</v>
      </c>
      <c r="E19" s="55" t="str">
        <f t="shared" ca="1" si="1"/>
        <v/>
      </c>
      <c r="F19" s="56"/>
      <c r="H19" t="str">
        <f ca="1"/>
        <v>JIS</v>
      </c>
      <c r="I19"/>
    </row>
    <row r="20" spans="1:9">
      <c r="A20" s="53" t="s">
        <v>148</v>
      </c>
      <c r="B20" s="45" t="s">
        <v>148</v>
      </c>
      <c r="C20" s="53">
        <f>AMORDEGRC(1000,DATE(2020,1,1),DATE(2020,12,31),100,1,0.1)</f>
        <v>188</v>
      </c>
      <c r="D20" s="54" t="b">
        <f t="shared" ca="1" si="0"/>
        <v>1</v>
      </c>
      <c r="E20" s="55" t="str">
        <f t="shared" ca="1" si="1"/>
        <v/>
      </c>
      <c r="F20" s="56"/>
      <c r="H20"/>
      <c r="I20"/>
    </row>
    <row r="21" spans="1:9">
      <c r="A21" s="53" t="s">
        <v>149</v>
      </c>
      <c r="B21" s="45" t="s">
        <v>149</v>
      </c>
      <c r="C21" s="53">
        <f>AMORLINC(1000,DATE(2020,1,1),DATE(2020,12,31),100,1,0.1)</f>
        <v>100</v>
      </c>
      <c r="D21" s="54" t="b">
        <f t="shared" ca="1" si="0"/>
        <v>1</v>
      </c>
      <c r="E21" s="55" t="str">
        <f t="shared" ca="1" si="1"/>
        <v/>
      </c>
      <c r="F21" s="56"/>
      <c r="H21"/>
      <c r="I21"/>
    </row>
    <row r="22" spans="1:9">
      <c r="A22" s="53" t="s">
        <v>150</v>
      </c>
      <c r="B22" s="45" t="s">
        <v>150</v>
      </c>
      <c r="C22" s="53" t="b">
        <f>AND(1)</f>
        <v>1</v>
      </c>
      <c r="D22" s="54" t="b">
        <f t="shared" ca="1" si="0"/>
        <v>1</v>
      </c>
      <c r="E22" s="55" t="str">
        <f t="shared" ca="1" si="1"/>
        <v/>
      </c>
      <c r="F22" s="56"/>
      <c r="H22"/>
      <c r="I22"/>
    </row>
    <row r="23" spans="1:9">
      <c r="A23" s="53" t="s">
        <v>151</v>
      </c>
      <c r="B23" s="45" t="s">
        <v>151</v>
      </c>
      <c r="C23" s="53">
        <f>_xlfn.ARABIC("I")</f>
        <v>1</v>
      </c>
      <c r="D23" s="54" t="b">
        <f t="shared" ca="1" si="0"/>
        <v>1</v>
      </c>
      <c r="E23" s="55" t="str">
        <f t="shared" ca="1" si="1"/>
        <v/>
      </c>
      <c r="F23" s="56"/>
      <c r="H23"/>
      <c r="I23"/>
    </row>
    <row r="24" spans="1:9">
      <c r="A24" s="53" t="s">
        <v>152</v>
      </c>
      <c r="B24" s="45" t="s">
        <v>152</v>
      </c>
      <c r="C24" s="53">
        <f>AREAS(A10)</f>
        <v>1</v>
      </c>
      <c r="D24" s="54" t="b">
        <f t="shared" ca="1" si="0"/>
        <v>1</v>
      </c>
      <c r="E24" s="55" t="str">
        <f t="shared" ca="1" si="1"/>
        <v/>
      </c>
      <c r="F24" s="56"/>
      <c r="H24"/>
      <c r="I24"/>
    </row>
    <row r="25" spans="1:9">
      <c r="A25" s="53" t="s">
        <v>153</v>
      </c>
      <c r="B25" s="45" t="s">
        <v>153</v>
      </c>
      <c r="C25" s="53" t="str">
        <f>_xlfn.ARRAYTOTEXT(1)</f>
        <v>1</v>
      </c>
      <c r="D25" s="54" t="b">
        <f t="shared" ca="1" si="0"/>
        <v>1</v>
      </c>
      <c r="E25" s="55" t="str">
        <f t="shared" ca="1" si="1"/>
        <v/>
      </c>
      <c r="F25" s="56"/>
      <c r="H25"/>
      <c r="I25"/>
    </row>
    <row r="26" spans="1:9">
      <c r="A26" s="53" t="s">
        <v>154</v>
      </c>
      <c r="B26" s="45" t="s">
        <v>154</v>
      </c>
      <c r="C26" s="53" t="str">
        <f>ASC(1)</f>
        <v>1</v>
      </c>
      <c r="D26" s="54" t="b">
        <f t="shared" ca="1" si="0"/>
        <v>1</v>
      </c>
      <c r="E26" s="55" t="str">
        <f t="shared" ca="1" si="1"/>
        <v/>
      </c>
      <c r="F26" s="56"/>
      <c r="H26"/>
      <c r="I26"/>
    </row>
    <row r="27" spans="1:9">
      <c r="A27" s="53" t="s">
        <v>155</v>
      </c>
      <c r="B27" s="45" t="s">
        <v>155</v>
      </c>
      <c r="C27" s="53">
        <f>ASIN(1)</f>
        <v>1.5707963267948966</v>
      </c>
      <c r="D27" s="54" t="b">
        <f t="shared" ca="1" si="0"/>
        <v>1</v>
      </c>
      <c r="E27" s="55" t="str">
        <f t="shared" ca="1" si="1"/>
        <v/>
      </c>
      <c r="F27" s="56"/>
      <c r="H27"/>
      <c r="I27"/>
    </row>
    <row r="28" spans="1:9">
      <c r="A28" s="53" t="s">
        <v>156</v>
      </c>
      <c r="B28" s="45" t="s">
        <v>156</v>
      </c>
      <c r="C28" s="53">
        <f>ASINH(1)</f>
        <v>0.88137358701954294</v>
      </c>
      <c r="D28" s="54" t="b">
        <f t="shared" ca="1" si="0"/>
        <v>1</v>
      </c>
      <c r="E28" s="55" t="str">
        <f t="shared" ca="1" si="1"/>
        <v/>
      </c>
      <c r="F28" s="56"/>
      <c r="H28"/>
      <c r="I28"/>
    </row>
    <row r="29" spans="1:9">
      <c r="A29" s="53" t="s">
        <v>157</v>
      </c>
      <c r="B29" s="45" t="s">
        <v>157</v>
      </c>
      <c r="C29" s="53">
        <f>ATAN(1)</f>
        <v>0.78539816339744828</v>
      </c>
      <c r="D29" s="54" t="b">
        <f t="shared" ca="1" si="0"/>
        <v>1</v>
      </c>
      <c r="E29" s="55" t="str">
        <f t="shared" ca="1" si="1"/>
        <v/>
      </c>
      <c r="F29" s="56"/>
      <c r="H29"/>
      <c r="I29"/>
    </row>
    <row r="30" spans="1:9">
      <c r="A30" s="53" t="s">
        <v>158</v>
      </c>
      <c r="B30" s="45" t="s">
        <v>158</v>
      </c>
      <c r="C30" s="53">
        <f>ATAN2(1,1)</f>
        <v>0.78539816339744828</v>
      </c>
      <c r="D30" s="54" t="b">
        <f t="shared" ca="1" si="0"/>
        <v>1</v>
      </c>
      <c r="E30" s="55" t="str">
        <f t="shared" ca="1" si="1"/>
        <v/>
      </c>
      <c r="F30" s="56"/>
      <c r="H30"/>
      <c r="I30"/>
    </row>
    <row r="31" spans="1:9">
      <c r="A31" s="53" t="s">
        <v>159</v>
      </c>
      <c r="B31" s="45" t="s">
        <v>159</v>
      </c>
      <c r="C31" s="53">
        <f>ATANH(0.5)</f>
        <v>0.54930614433405489</v>
      </c>
      <c r="D31" s="54" t="b">
        <f t="shared" ca="1" si="0"/>
        <v>1</v>
      </c>
      <c r="E31" s="55" t="str">
        <f t="shared" ca="1" si="1"/>
        <v/>
      </c>
      <c r="F31" s="56"/>
      <c r="H31"/>
      <c r="I31"/>
    </row>
    <row r="32" spans="1:9">
      <c r="A32" s="53" t="s">
        <v>160</v>
      </c>
      <c r="B32" s="45" t="s">
        <v>160</v>
      </c>
      <c r="C32" s="53">
        <f>AVEDEV(1)</f>
        <v>0</v>
      </c>
      <c r="D32" s="54" t="b">
        <f t="shared" ca="1" si="0"/>
        <v>1</v>
      </c>
      <c r="E32" s="55" t="str">
        <f t="shared" ca="1" si="1"/>
        <v/>
      </c>
      <c r="F32" s="56"/>
      <c r="H32"/>
      <c r="I32"/>
    </row>
    <row r="33" spans="1:9">
      <c r="A33" s="53" t="s">
        <v>161</v>
      </c>
      <c r="B33" s="45" t="s">
        <v>161</v>
      </c>
      <c r="C33" s="53">
        <f>AVERAGE(1)</f>
        <v>1</v>
      </c>
      <c r="D33" s="54" t="b">
        <f t="shared" ca="1" si="0"/>
        <v>1</v>
      </c>
      <c r="E33" s="55" t="str">
        <f t="shared" ca="1" si="1"/>
        <v/>
      </c>
      <c r="F33" s="56"/>
      <c r="H33"/>
      <c r="I33"/>
    </row>
    <row r="34" spans="1:9">
      <c r="A34" s="53" t="s">
        <v>162</v>
      </c>
      <c r="B34" s="45" t="s">
        <v>162</v>
      </c>
      <c r="C34" s="53">
        <f>AVERAGEA(1)</f>
        <v>1</v>
      </c>
      <c r="D34" s="54" t="b">
        <f t="shared" ca="1" si="0"/>
        <v>1</v>
      </c>
      <c r="E34" s="55" t="str">
        <f t="shared" ca="1" si="1"/>
        <v/>
      </c>
      <c r="F34" s="56"/>
      <c r="H34"/>
      <c r="I34"/>
    </row>
    <row r="35" spans="1:9">
      <c r="A35" s="53" t="s">
        <v>163</v>
      </c>
      <c r="B35" s="45" t="s">
        <v>163</v>
      </c>
      <c r="C35" s="53" t="e">
        <f>AVERAGEIF($A$11:$A$12,"&gt;0")</f>
        <v>#DIV/0!</v>
      </c>
      <c r="D35" s="54" t="b">
        <f t="shared" ca="1" si="0"/>
        <v>1</v>
      </c>
      <c r="E35" s="55" t="str">
        <f t="shared" ca="1" si="1"/>
        <v/>
      </c>
      <c r="F35" s="56"/>
      <c r="H35"/>
      <c r="I35"/>
    </row>
    <row r="36" spans="1:9">
      <c r="A36" s="53" t="s">
        <v>164</v>
      </c>
      <c r="B36" s="45" t="s">
        <v>164</v>
      </c>
      <c r="C36" s="53">
        <f>AVERAGEIFS($C$11:$C$12,$C$11:$C$12,"&gt;0")</f>
        <v>3</v>
      </c>
      <c r="D36" s="54" t="b">
        <f t="shared" ca="1" si="0"/>
        <v>1</v>
      </c>
      <c r="E36" s="55" t="str">
        <f t="shared" ca="1" si="1"/>
        <v/>
      </c>
      <c r="F36" s="56"/>
      <c r="H36"/>
      <c r="I36"/>
    </row>
    <row r="37" spans="1:9">
      <c r="A37" s="53" t="s">
        <v>165</v>
      </c>
      <c r="B37" s="45" t="s">
        <v>165</v>
      </c>
      <c r="C37" s="53" t="str">
        <f>BAHTTEXT(1)</f>
        <v>หนึ่งบาทถ้วน</v>
      </c>
      <c r="D37" s="54" t="b">
        <f t="shared" ca="1" si="0"/>
        <v>1</v>
      </c>
      <c r="E37" s="55" t="str">
        <f t="shared" ca="1" si="1"/>
        <v/>
      </c>
      <c r="F37" s="56"/>
      <c r="H37"/>
      <c r="I37"/>
    </row>
    <row r="38" spans="1:9">
      <c r="A38" s="53" t="s">
        <v>731</v>
      </c>
      <c r="B38" s="45" t="s">
        <v>731</v>
      </c>
      <c r="C38" s="53" t="str">
        <f>_xlfn.BASE(7,2)</f>
        <v>111</v>
      </c>
      <c r="D38" s="54" t="b">
        <f t="shared" ca="1" si="0"/>
        <v>1</v>
      </c>
      <c r="E38" s="55" t="str">
        <f t="shared" ca="1" si="1"/>
        <v/>
      </c>
      <c r="F38" s="56"/>
      <c r="H38"/>
      <c r="I38"/>
    </row>
    <row r="39" spans="1:9">
      <c r="A39" s="53" t="s">
        <v>166</v>
      </c>
      <c r="B39" s="45" t="s">
        <v>166</v>
      </c>
      <c r="C39" s="53">
        <f>BESSELI(1,1)</f>
        <v>0.56515909758194349</v>
      </c>
      <c r="D39" s="54" t="b">
        <f t="shared" ca="1" si="0"/>
        <v>1</v>
      </c>
      <c r="E39" s="55" t="str">
        <f t="shared" ca="1" si="1"/>
        <v/>
      </c>
      <c r="F39" s="56"/>
      <c r="H39"/>
      <c r="I39"/>
    </row>
    <row r="40" spans="1:9">
      <c r="A40" s="53" t="s">
        <v>167</v>
      </c>
      <c r="B40" s="45" t="s">
        <v>167</v>
      </c>
      <c r="C40" s="53">
        <f>BESSELJ(1,1)</f>
        <v>0.44005058567713012</v>
      </c>
      <c r="D40" s="54" t="b">
        <f t="shared" ca="1" si="0"/>
        <v>1</v>
      </c>
      <c r="E40" s="55" t="str">
        <f t="shared" ca="1" si="1"/>
        <v/>
      </c>
      <c r="F40" s="56"/>
      <c r="H40"/>
      <c r="I40"/>
    </row>
    <row r="41" spans="1:9">
      <c r="A41" s="53" t="s">
        <v>168</v>
      </c>
      <c r="B41" s="45" t="s">
        <v>168</v>
      </c>
      <c r="C41" s="53">
        <f>BESSELK(1,1)</f>
        <v>0.60190723166690574</v>
      </c>
      <c r="D41" s="54" t="b">
        <f t="shared" ca="1" si="0"/>
        <v>1</v>
      </c>
      <c r="E41" s="55" t="str">
        <f t="shared" ca="1" si="1"/>
        <v/>
      </c>
      <c r="F41" s="56"/>
      <c r="H41"/>
      <c r="I41"/>
    </row>
    <row r="42" spans="1:9">
      <c r="A42" s="53" t="s">
        <v>169</v>
      </c>
      <c r="B42" s="45" t="s">
        <v>169</v>
      </c>
      <c r="C42" s="53">
        <f>BESSELY(1,1)</f>
        <v>-0.78121282095311972</v>
      </c>
      <c r="D42" s="54" t="b">
        <f t="shared" ca="1" si="0"/>
        <v>1</v>
      </c>
      <c r="E42" s="55" t="str">
        <f t="shared" ca="1" si="1"/>
        <v/>
      </c>
      <c r="F42" s="56"/>
      <c r="H42"/>
      <c r="I42"/>
    </row>
    <row r="43" spans="1:9">
      <c r="A43" s="53" t="s">
        <v>170</v>
      </c>
      <c r="B43" s="45" t="s">
        <v>170</v>
      </c>
      <c r="C43" s="53">
        <f>_xlfn.BETA.DIST(0.5,2,2,TRUE)</f>
        <v>0.5</v>
      </c>
      <c r="D43" s="54" t="b">
        <f t="shared" ca="1" si="0"/>
        <v>1</v>
      </c>
      <c r="E43" s="55" t="str">
        <f t="shared" ca="1" si="1"/>
        <v/>
      </c>
      <c r="F43" s="56"/>
      <c r="H43"/>
      <c r="I43"/>
    </row>
    <row r="44" spans="1:9">
      <c r="A44" s="53" t="s">
        <v>171</v>
      </c>
      <c r="B44" s="45" t="s">
        <v>171</v>
      </c>
      <c r="C44" s="53">
        <f>_xlfn.BETA.INV(0.5,2,2)</f>
        <v>0.5</v>
      </c>
      <c r="D44" s="54" t="b">
        <f t="shared" ca="1" si="0"/>
        <v>1</v>
      </c>
      <c r="E44" s="55" t="str">
        <f t="shared" ca="1" si="1"/>
        <v/>
      </c>
      <c r="F44" s="56"/>
      <c r="H44"/>
      <c r="I44"/>
    </row>
    <row r="45" spans="1:9">
      <c r="A45" s="53" t="s">
        <v>172</v>
      </c>
      <c r="B45" s="45" t="s">
        <v>172</v>
      </c>
      <c r="C45" s="53">
        <f>BETADIST(0.5,2,2)</f>
        <v>0.5</v>
      </c>
      <c r="D45" s="54" t="b">
        <f t="shared" ca="1" si="0"/>
        <v>1</v>
      </c>
      <c r="E45" s="55" t="str">
        <f t="shared" ca="1" si="1"/>
        <v/>
      </c>
      <c r="F45" s="56"/>
      <c r="H45"/>
      <c r="I45"/>
    </row>
    <row r="46" spans="1:9">
      <c r="A46" s="53" t="s">
        <v>173</v>
      </c>
      <c r="B46" s="45" t="s">
        <v>173</v>
      </c>
      <c r="C46" s="53">
        <f>BETAINV(0.5,2,2)</f>
        <v>0.5</v>
      </c>
      <c r="D46" s="54" t="b">
        <f t="shared" ca="1" si="0"/>
        <v>1</v>
      </c>
      <c r="E46" s="55" t="str">
        <f t="shared" ca="1" si="1"/>
        <v/>
      </c>
      <c r="F46" s="56"/>
      <c r="H46"/>
      <c r="I46"/>
    </row>
    <row r="47" spans="1:9">
      <c r="A47" s="53" t="s">
        <v>174</v>
      </c>
      <c r="B47" s="45" t="s">
        <v>174</v>
      </c>
      <c r="C47" s="53">
        <f>BIN2DEC(1)</f>
        <v>1</v>
      </c>
      <c r="D47" s="54" t="b">
        <f t="shared" ca="1" si="0"/>
        <v>1</v>
      </c>
      <c r="E47" s="55" t="str">
        <f t="shared" ca="1" si="1"/>
        <v/>
      </c>
      <c r="F47" s="56"/>
      <c r="H47"/>
      <c r="I47"/>
    </row>
    <row r="48" spans="1:9">
      <c r="A48" s="53" t="s">
        <v>175</v>
      </c>
      <c r="B48" s="45" t="s">
        <v>175</v>
      </c>
      <c r="C48" s="53" t="str">
        <f>BIN2HEX(1)</f>
        <v>1</v>
      </c>
      <c r="D48" s="54" t="b">
        <f t="shared" ca="1" si="0"/>
        <v>1</v>
      </c>
      <c r="E48" s="55" t="str">
        <f t="shared" ca="1" si="1"/>
        <v/>
      </c>
      <c r="F48" s="56"/>
      <c r="H48"/>
      <c r="I48"/>
    </row>
    <row r="49" spans="1:9">
      <c r="A49" s="53" t="s">
        <v>176</v>
      </c>
      <c r="B49" s="45" t="s">
        <v>176</v>
      </c>
      <c r="C49" s="53" t="str">
        <f>BIN2OCT(1)</f>
        <v>1</v>
      </c>
      <c r="D49" s="54" t="b">
        <f t="shared" ca="1" si="0"/>
        <v>1</v>
      </c>
      <c r="E49" s="55" t="str">
        <f t="shared" ca="1" si="1"/>
        <v/>
      </c>
      <c r="F49" s="56"/>
      <c r="H49"/>
      <c r="I49"/>
    </row>
    <row r="50" spans="1:9">
      <c r="A50" s="53" t="s">
        <v>177</v>
      </c>
      <c r="B50" s="45" t="s">
        <v>177</v>
      </c>
      <c r="C50" s="53">
        <f>_xlfn.BINOM.DIST(1,2,0.5,TRUE)</f>
        <v>0.75</v>
      </c>
      <c r="D50" s="54" t="b">
        <f t="shared" ca="1" si="0"/>
        <v>1</v>
      </c>
      <c r="E50" s="55" t="str">
        <f t="shared" ca="1" si="1"/>
        <v/>
      </c>
      <c r="F50" s="56"/>
      <c r="H50"/>
      <c r="I50"/>
    </row>
    <row r="51" spans="1:9">
      <c r="A51" s="53" t="s">
        <v>178</v>
      </c>
      <c r="B51" s="45" t="s">
        <v>178</v>
      </c>
      <c r="C51" s="53">
        <f>_xlfn.BINOM.DIST.RANGE(2,0.5,1)</f>
        <v>0.49999999999999994</v>
      </c>
      <c r="D51" s="54" t="b">
        <f t="shared" ca="1" si="0"/>
        <v>1</v>
      </c>
      <c r="E51" s="55" t="str">
        <f t="shared" ca="1" si="1"/>
        <v/>
      </c>
      <c r="F51" s="56"/>
      <c r="H51"/>
      <c r="I51"/>
    </row>
    <row r="52" spans="1:9">
      <c r="A52" s="53" t="s">
        <v>179</v>
      </c>
      <c r="B52" s="45" t="s">
        <v>179</v>
      </c>
      <c r="C52" s="53">
        <f>_xlfn.BINOM.INV(2,0.5,0.5)</f>
        <v>1</v>
      </c>
      <c r="D52" s="54" t="b">
        <f t="shared" ca="1" si="0"/>
        <v>1</v>
      </c>
      <c r="E52" s="55" t="str">
        <f t="shared" ca="1" si="1"/>
        <v/>
      </c>
      <c r="F52" s="56"/>
      <c r="H52"/>
      <c r="I52"/>
    </row>
    <row r="53" spans="1:9">
      <c r="A53" s="53" t="s">
        <v>180</v>
      </c>
      <c r="B53" s="45" t="s">
        <v>180</v>
      </c>
      <c r="C53" s="53">
        <f>BINOMDIST(1,2,0.5,TRUE)</f>
        <v>0.75</v>
      </c>
      <c r="D53" s="54" t="b">
        <f t="shared" ca="1" si="0"/>
        <v>1</v>
      </c>
      <c r="E53" s="55" t="str">
        <f t="shared" ca="1" si="1"/>
        <v/>
      </c>
      <c r="F53" s="56"/>
      <c r="H53"/>
      <c r="I53"/>
    </row>
    <row r="54" spans="1:9">
      <c r="A54" s="53" t="s">
        <v>181</v>
      </c>
      <c r="B54" s="45" t="s">
        <v>181</v>
      </c>
      <c r="C54" s="53">
        <f>_xlfn.BITAND(1,1)</f>
        <v>1</v>
      </c>
      <c r="D54" s="54" t="b">
        <f t="shared" ca="1" si="0"/>
        <v>1</v>
      </c>
      <c r="E54" s="55" t="str">
        <f t="shared" ca="1" si="1"/>
        <v/>
      </c>
      <c r="F54" s="56"/>
      <c r="H54"/>
      <c r="I54"/>
    </row>
    <row r="55" spans="1:9">
      <c r="A55" s="53" t="s">
        <v>182</v>
      </c>
      <c r="B55" s="45" t="s">
        <v>182</v>
      </c>
      <c r="C55" s="53">
        <f>_xlfn.BITLSHIFT(1,1)</f>
        <v>2</v>
      </c>
      <c r="D55" s="54" t="b">
        <f t="shared" ca="1" si="0"/>
        <v>1</v>
      </c>
      <c r="E55" s="55" t="str">
        <f t="shared" ca="1" si="1"/>
        <v/>
      </c>
      <c r="F55" s="56"/>
      <c r="H55"/>
      <c r="I55"/>
    </row>
    <row r="56" spans="1:9">
      <c r="A56" s="53" t="s">
        <v>183</v>
      </c>
      <c r="B56" s="45" t="s">
        <v>183</v>
      </c>
      <c r="C56" s="53">
        <f>_xlfn.BITOR(1,1)</f>
        <v>1</v>
      </c>
      <c r="D56" s="54" t="b">
        <f t="shared" ca="1" si="0"/>
        <v>1</v>
      </c>
      <c r="E56" s="55" t="str">
        <f t="shared" ca="1" si="1"/>
        <v/>
      </c>
      <c r="F56" s="56"/>
      <c r="H56"/>
      <c r="I56"/>
    </row>
    <row r="57" spans="1:9">
      <c r="A57" s="53" t="s">
        <v>184</v>
      </c>
      <c r="B57" s="45" t="s">
        <v>184</v>
      </c>
      <c r="C57" s="53">
        <f>_xlfn.BITRSHIFT(1,1)</f>
        <v>0</v>
      </c>
      <c r="D57" s="54" t="b">
        <f t="shared" ca="1" si="0"/>
        <v>1</v>
      </c>
      <c r="E57" s="55" t="str">
        <f t="shared" ca="1" si="1"/>
        <v/>
      </c>
      <c r="F57" s="56"/>
      <c r="H57"/>
      <c r="I57"/>
    </row>
    <row r="58" spans="1:9">
      <c r="A58" s="53" t="s">
        <v>185</v>
      </c>
      <c r="B58" s="45" t="s">
        <v>185</v>
      </c>
      <c r="C58" s="53">
        <f>_xlfn.BITXOR(1,1)</f>
        <v>0</v>
      </c>
      <c r="D58" s="54" t="b">
        <f t="shared" ca="1" si="0"/>
        <v>1</v>
      </c>
      <c r="E58" s="55" t="str">
        <f t="shared" ca="1" si="1"/>
        <v/>
      </c>
      <c r="F58" s="56"/>
      <c r="H58"/>
      <c r="I58"/>
    </row>
    <row r="59" spans="1:9">
      <c r="A59" s="53" t="s">
        <v>186</v>
      </c>
      <c r="B59" s="45" t="s">
        <v>186</v>
      </c>
      <c r="C59" s="53">
        <f>INDEX(_xlfn.BYCOL({1,2},_xlfn.LAMBDA(_xlpm.x,SUM(_xlpm.x))),1,1)</f>
        <v>1</v>
      </c>
      <c r="D59" s="54" t="b">
        <f t="shared" ca="1" si="0"/>
        <v>1</v>
      </c>
      <c r="E59" s="55" t="str">
        <f t="shared" ca="1" si="1"/>
        <v/>
      </c>
      <c r="F59" s="56"/>
      <c r="H59"/>
      <c r="I59"/>
    </row>
    <row r="60" spans="1:9">
      <c r="A60" s="53" t="s">
        <v>187</v>
      </c>
      <c r="B60" s="45" t="s">
        <v>187</v>
      </c>
      <c r="C60" s="53">
        <f>INDEX(_xlfn.BYROW({1;2},_xlfn.LAMBDA(_xlpm.x,SUM(_xlpm.x))),1,1)</f>
        <v>1</v>
      </c>
      <c r="D60" s="54" t="b">
        <f t="shared" ca="1" si="0"/>
        <v>1</v>
      </c>
      <c r="E60" s="55" t="str">
        <f t="shared" ca="1" si="1"/>
        <v/>
      </c>
      <c r="F60" s="56"/>
      <c r="H60"/>
      <c r="I60"/>
    </row>
    <row r="61" spans="1:9" ht="57.6">
      <c r="A61" s="53" t="s">
        <v>188</v>
      </c>
      <c r="B61" s="45" t="s">
        <v>188</v>
      </c>
      <c r="C61" s="53" t="s">
        <v>189</v>
      </c>
      <c r="D61" s="54" t="str">
        <f t="shared" ca="1" si="0"/>
        <v>NOT TESTED</v>
      </c>
      <c r="E61" s="55" t="str">
        <f t="shared" ca="1" si="1"/>
        <v>?CALL (untested)</v>
      </c>
      <c r="F61" s="56" t="s">
        <v>190</v>
      </c>
      <c r="H61"/>
      <c r="I61"/>
    </row>
    <row r="62" spans="1:9">
      <c r="A62" s="53" t="s">
        <v>191</v>
      </c>
      <c r="B62" s="45" t="s">
        <v>191</v>
      </c>
      <c r="C62" s="53">
        <f>CEILING(1,1)</f>
        <v>1</v>
      </c>
      <c r="D62" s="54" t="b">
        <f t="shared" ca="1" si="0"/>
        <v>1</v>
      </c>
      <c r="E62" s="55" t="str">
        <f t="shared" ca="1" si="1"/>
        <v/>
      </c>
      <c r="F62" s="56"/>
      <c r="H62"/>
      <c r="I62"/>
    </row>
    <row r="63" spans="1:9">
      <c r="A63" s="53" t="s">
        <v>192</v>
      </c>
      <c r="B63" s="45" t="s">
        <v>192</v>
      </c>
      <c r="C63" s="53">
        <f>_xlfn.CEILING.MATH(1)</f>
        <v>1</v>
      </c>
      <c r="D63" s="54" t="b">
        <f t="shared" ca="1" si="0"/>
        <v>1</v>
      </c>
      <c r="E63" s="55" t="str">
        <f t="shared" ca="1" si="1"/>
        <v/>
      </c>
      <c r="F63" s="56"/>
      <c r="H63"/>
      <c r="I63"/>
    </row>
    <row r="64" spans="1:9">
      <c r="A64" s="53" t="s">
        <v>193</v>
      </c>
      <c r="B64" s="45" t="s">
        <v>193</v>
      </c>
      <c r="C64" s="53">
        <f>_xlfn.CEILING.PRECISE(1)</f>
        <v>1</v>
      </c>
      <c r="D64" s="54" t="b">
        <f t="shared" ca="1" si="0"/>
        <v>1</v>
      </c>
      <c r="E64" s="55" t="str">
        <f t="shared" ca="1" si="1"/>
        <v/>
      </c>
      <c r="F64" s="56"/>
      <c r="H64"/>
      <c r="I64"/>
    </row>
    <row r="65" spans="1:9">
      <c r="A65" s="53" t="s">
        <v>194</v>
      </c>
      <c r="B65" s="45" t="s">
        <v>194</v>
      </c>
      <c r="C65" s="53" t="str" cm="1">
        <f t="array" aca="1" ref="C65" ca="1">CELL("address",A10)</f>
        <v>$A$10</v>
      </c>
      <c r="D65" s="54" t="b">
        <f t="shared" ca="1" si="0"/>
        <v>1</v>
      </c>
      <c r="E65" s="55" t="str">
        <f t="shared" ca="1" si="1"/>
        <v/>
      </c>
      <c r="F65" s="56"/>
      <c r="H65"/>
      <c r="I65"/>
    </row>
    <row r="66" spans="1:9">
      <c r="A66" s="53" t="s">
        <v>195</v>
      </c>
      <c r="B66" s="45" t="s">
        <v>195</v>
      </c>
      <c r="C66" s="53" t="str">
        <f>CHAR(65)</f>
        <v>A</v>
      </c>
      <c r="D66" s="54" t="b">
        <f t="shared" ca="1" si="0"/>
        <v>1</v>
      </c>
      <c r="E66" s="55" t="str">
        <f t="shared" ca="1" si="1"/>
        <v/>
      </c>
      <c r="F66" s="56"/>
      <c r="H66"/>
      <c r="I66"/>
    </row>
    <row r="67" spans="1:9">
      <c r="A67" s="53" t="s">
        <v>196</v>
      </c>
      <c r="B67" s="45" t="s">
        <v>196</v>
      </c>
      <c r="C67" s="53">
        <f>CHIDIST(1,1)</f>
        <v>0.31731050786291398</v>
      </c>
      <c r="D67" s="54" t="b">
        <f t="shared" ca="1" si="0"/>
        <v>1</v>
      </c>
      <c r="E67" s="55" t="str">
        <f t="shared" ca="1" si="1"/>
        <v/>
      </c>
      <c r="F67" s="56"/>
      <c r="H67"/>
      <c r="I67"/>
    </row>
    <row r="68" spans="1:9">
      <c r="A68" s="53" t="s">
        <v>197</v>
      </c>
      <c r="B68" s="45" t="s">
        <v>197</v>
      </c>
      <c r="C68" s="53">
        <f>CHIINV(0.5,1)</f>
        <v>0.45493642311957289</v>
      </c>
      <c r="D68" s="54" t="b">
        <f t="shared" ca="1" si="0"/>
        <v>1</v>
      </c>
      <c r="E68" s="55" t="str">
        <f t="shared" ca="1" si="1"/>
        <v/>
      </c>
      <c r="F68" s="56"/>
      <c r="H68"/>
      <c r="I68"/>
    </row>
    <row r="69" spans="1:9">
      <c r="A69" s="53" t="s">
        <v>198</v>
      </c>
      <c r="B69" s="45" t="s">
        <v>198</v>
      </c>
      <c r="C69" s="53">
        <f>_xlfn.CHISQ.DIST(1,1,TRUE)</f>
        <v>0.68268949213708607</v>
      </c>
      <c r="D69" s="54" t="b">
        <f t="shared" ca="1" si="0"/>
        <v>1</v>
      </c>
      <c r="E69" s="55" t="str">
        <f t="shared" ca="1" si="1"/>
        <v/>
      </c>
      <c r="F69" s="56"/>
      <c r="H69"/>
      <c r="I69"/>
    </row>
    <row r="70" spans="1:9">
      <c r="A70" s="53" t="s">
        <v>199</v>
      </c>
      <c r="B70" s="45" t="s">
        <v>199</v>
      </c>
      <c r="C70" s="53">
        <f>_xlfn.CHISQ.DIST.RT(1,1)</f>
        <v>0.31731050786291398</v>
      </c>
      <c r="D70" s="54" t="b">
        <f t="shared" ca="1" si="0"/>
        <v>1</v>
      </c>
      <c r="E70" s="55" t="str">
        <f t="shared" ca="1" si="1"/>
        <v/>
      </c>
      <c r="F70" s="56"/>
      <c r="H70"/>
      <c r="I70"/>
    </row>
    <row r="71" spans="1:9">
      <c r="A71" s="53" t="s">
        <v>200</v>
      </c>
      <c r="B71" s="45" t="s">
        <v>200</v>
      </c>
      <c r="C71" s="53">
        <f>_xlfn.CHISQ.INV(0.5,1)</f>
        <v>0.45493642311957289</v>
      </c>
      <c r="D71" s="54" t="b">
        <f t="shared" ca="1" si="0"/>
        <v>1</v>
      </c>
      <c r="E71" s="55" t="str">
        <f t="shared" ca="1" si="1"/>
        <v/>
      </c>
      <c r="F71" s="56"/>
      <c r="H71"/>
      <c r="I71"/>
    </row>
    <row r="72" spans="1:9">
      <c r="A72" s="53" t="s">
        <v>201</v>
      </c>
      <c r="B72" s="45" t="s">
        <v>201</v>
      </c>
      <c r="C72" s="53">
        <f>_xlfn.CHISQ.INV.RT(0.5,1)</f>
        <v>0.45493642311957289</v>
      </c>
      <c r="D72" s="54" t="b">
        <f t="shared" ca="1" si="0"/>
        <v>1</v>
      </c>
      <c r="E72" s="55" t="str">
        <f t="shared" ca="1" si="1"/>
        <v/>
      </c>
      <c r="F72" s="56"/>
      <c r="H72"/>
      <c r="I72"/>
    </row>
    <row r="73" spans="1:9">
      <c r="A73" s="53" t="s">
        <v>202</v>
      </c>
      <c r="B73" s="45" t="s">
        <v>202</v>
      </c>
      <c r="C73" s="53">
        <f>_xlfn.CHISQ.TEST({1,2},{1,2})</f>
        <v>1</v>
      </c>
      <c r="D73" s="54" t="b">
        <f t="shared" ca="1" si="0"/>
        <v>1</v>
      </c>
      <c r="E73" s="55" t="str">
        <f t="shared" ca="1" si="1"/>
        <v/>
      </c>
      <c r="F73" s="56"/>
      <c r="H73"/>
      <c r="I73"/>
    </row>
    <row r="74" spans="1:9">
      <c r="A74" s="53" t="s">
        <v>203</v>
      </c>
      <c r="B74" s="45" t="s">
        <v>203</v>
      </c>
      <c r="C74" s="53">
        <f>CHITEST({1,2},{1,2})</f>
        <v>1</v>
      </c>
      <c r="D74" s="54" t="b">
        <f t="shared" ca="1" si="0"/>
        <v>1</v>
      </c>
      <c r="E74" s="55" t="str">
        <f t="shared" ca="1" si="1"/>
        <v/>
      </c>
      <c r="F74" s="56"/>
      <c r="H74"/>
      <c r="I74"/>
    </row>
    <row r="75" spans="1:9">
      <c r="A75" s="53" t="s">
        <v>204</v>
      </c>
      <c r="B75" s="45" t="s">
        <v>204</v>
      </c>
      <c r="C75" s="53">
        <f>CHOOSE(1,1)</f>
        <v>1</v>
      </c>
      <c r="D75" s="54" t="b">
        <f t="shared" ca="1" si="0"/>
        <v>1</v>
      </c>
      <c r="E75" s="55" t="str">
        <f t="shared" ca="1" si="1"/>
        <v/>
      </c>
      <c r="F75" s="56"/>
      <c r="H75"/>
      <c r="I75"/>
    </row>
    <row r="76" spans="1:9">
      <c r="A76" s="53" t="s">
        <v>205</v>
      </c>
      <c r="B76" s="45" t="s">
        <v>205</v>
      </c>
      <c r="C76" s="53" cm="1">
        <f t="array" ref="C76">_xlfn.CHOOSECOLS(1,1)</f>
        <v>1</v>
      </c>
      <c r="D76" s="54" t="b">
        <f t="shared" ref="D76:D139" ca="1" si="2">IF(NOT(_xlfn.ISFORMULA(C76)),"NOT TESTED",IFERROR(AND(ERROR.TYPE(C76)&lt;&gt;5,ISERROR(SEARCH("xlfn",_xlfn.FORMULATEXT(C76)))),TRUE))</f>
        <v>1</v>
      </c>
      <c r="E76" s="55" t="str">
        <f t="shared" ref="E76:E139" ca="1" si="3">IF(D76="NOT TESTED","?"&amp;A76&amp;" (untested)",IF(D76=FALSE,A76,""))</f>
        <v/>
      </c>
      <c r="F76" s="56"/>
      <c r="H76"/>
      <c r="I76"/>
    </row>
    <row r="77" spans="1:9">
      <c r="A77" s="53" t="s">
        <v>206</v>
      </c>
      <c r="B77" s="45" t="s">
        <v>206</v>
      </c>
      <c r="C77" s="53" cm="1">
        <f t="array" ref="C77">_xlfn.CHOOSEROWS(1,1)</f>
        <v>1</v>
      </c>
      <c r="D77" s="54" t="b">
        <f t="shared" ca="1" si="2"/>
        <v>1</v>
      </c>
      <c r="E77" s="55" t="str">
        <f t="shared" ca="1" si="3"/>
        <v/>
      </c>
      <c r="F77" s="56"/>
      <c r="H77"/>
      <c r="I77"/>
    </row>
    <row r="78" spans="1:9">
      <c r="A78" s="53" t="s">
        <v>207</v>
      </c>
      <c r="B78" s="45" t="s">
        <v>207</v>
      </c>
      <c r="C78" s="53" t="str">
        <f>CLEAN(1)</f>
        <v>1</v>
      </c>
      <c r="D78" s="54" t="b">
        <f t="shared" ca="1" si="2"/>
        <v>1</v>
      </c>
      <c r="E78" s="55" t="str">
        <f t="shared" ca="1" si="3"/>
        <v/>
      </c>
      <c r="F78" s="56"/>
      <c r="H78"/>
      <c r="I78"/>
    </row>
    <row r="79" spans="1:9">
      <c r="A79" s="53" t="s">
        <v>208</v>
      </c>
      <c r="B79" s="45" t="s">
        <v>208</v>
      </c>
      <c r="C79" s="53">
        <f>CODE(1)</f>
        <v>49</v>
      </c>
      <c r="D79" s="54" t="b">
        <f t="shared" ca="1" si="2"/>
        <v>1</v>
      </c>
      <c r="E79" s="55" t="str">
        <f t="shared" ca="1" si="3"/>
        <v/>
      </c>
      <c r="F79" s="56"/>
      <c r="H79"/>
      <c r="I79"/>
    </row>
    <row r="80" spans="1:9">
      <c r="A80" s="53" t="s">
        <v>209</v>
      </c>
      <c r="B80" s="45" t="s">
        <v>209</v>
      </c>
      <c r="C80" s="53">
        <f>COLUMN(A10)</f>
        <v>1</v>
      </c>
      <c r="D80" s="54" t="b">
        <f t="shared" ca="1" si="2"/>
        <v>1</v>
      </c>
      <c r="E80" s="55" t="str">
        <f t="shared" ca="1" si="3"/>
        <v/>
      </c>
      <c r="F80" s="56"/>
      <c r="H80"/>
      <c r="I80"/>
    </row>
    <row r="81" spans="1:9">
      <c r="A81" s="53" t="s">
        <v>210</v>
      </c>
      <c r="B81" s="45" t="s">
        <v>210</v>
      </c>
      <c r="C81" s="53">
        <f>COLUMNS(1)</f>
        <v>1</v>
      </c>
      <c r="D81" s="54" t="b">
        <f t="shared" ca="1" si="2"/>
        <v>1</v>
      </c>
      <c r="E81" s="55" t="str">
        <f t="shared" ca="1" si="3"/>
        <v/>
      </c>
      <c r="F81" s="56"/>
      <c r="H81"/>
      <c r="I81"/>
    </row>
    <row r="82" spans="1:9">
      <c r="A82" s="53" t="s">
        <v>211</v>
      </c>
      <c r="B82" s="45" t="s">
        <v>211</v>
      </c>
      <c r="C82" s="53">
        <f>COMBIN(2,1)</f>
        <v>2</v>
      </c>
      <c r="D82" s="54" t="b">
        <f t="shared" ca="1" si="2"/>
        <v>1</v>
      </c>
      <c r="E82" s="55" t="str">
        <f t="shared" ca="1" si="3"/>
        <v/>
      </c>
      <c r="F82" s="56"/>
      <c r="H82"/>
      <c r="I82"/>
    </row>
    <row r="83" spans="1:9">
      <c r="A83" s="53" t="s">
        <v>212</v>
      </c>
      <c r="B83" s="45" t="s">
        <v>732</v>
      </c>
      <c r="C83" s="53" t="str">
        <f>COMPLEX(1,1)</f>
        <v>1+i</v>
      </c>
      <c r="D83" s="54" t="b">
        <f t="shared" ca="1" si="2"/>
        <v>1</v>
      </c>
      <c r="E83" s="55" t="str">
        <f t="shared" ca="1" si="3"/>
        <v/>
      </c>
      <c r="F83" s="56"/>
      <c r="H83"/>
      <c r="I83"/>
    </row>
    <row r="84" spans="1:9">
      <c r="A84" s="53" t="s">
        <v>213</v>
      </c>
      <c r="B84" s="45" t="s">
        <v>212</v>
      </c>
      <c r="C84" s="53" t="str">
        <f>_xlfn.CONCAT(1)</f>
        <v>1</v>
      </c>
      <c r="D84" s="54" t="b">
        <f t="shared" ca="1" si="2"/>
        <v>1</v>
      </c>
      <c r="E84" s="55" t="str">
        <f t="shared" ca="1" si="3"/>
        <v/>
      </c>
      <c r="F84" s="56"/>
      <c r="H84"/>
      <c r="I84"/>
    </row>
    <row r="85" spans="1:9">
      <c r="A85" s="53" t="s">
        <v>214</v>
      </c>
      <c r="B85" s="45" t="s">
        <v>213</v>
      </c>
      <c r="C85" s="53" t="str">
        <f>CONCATENATE(1)</f>
        <v>1</v>
      </c>
      <c r="D85" s="54" t="b">
        <f t="shared" ca="1" si="2"/>
        <v>1</v>
      </c>
      <c r="E85" s="55" t="str">
        <f t="shared" ca="1" si="3"/>
        <v/>
      </c>
      <c r="F85" s="56"/>
      <c r="H85"/>
      <c r="I85"/>
    </row>
    <row r="86" spans="1:9">
      <c r="A86" s="53" t="s">
        <v>215</v>
      </c>
      <c r="B86" s="45" t="s">
        <v>214</v>
      </c>
      <c r="C86" s="53">
        <f>CONFIDENCE(0.05,1,10)</f>
        <v>0.61979503230456146</v>
      </c>
      <c r="D86" s="54" t="b">
        <f t="shared" ca="1" si="2"/>
        <v>1</v>
      </c>
      <c r="E86" s="55" t="str">
        <f t="shared" ca="1" si="3"/>
        <v/>
      </c>
      <c r="F86" s="56"/>
      <c r="H86"/>
      <c r="I86"/>
    </row>
    <row r="87" spans="1:9">
      <c r="A87" s="53" t="s">
        <v>216</v>
      </c>
      <c r="B87" s="45" t="s">
        <v>215</v>
      </c>
      <c r="C87" s="53">
        <f>_xlfn.CONFIDENCE.NORM(0.05,1,10)</f>
        <v>0.61979503230456146</v>
      </c>
      <c r="D87" s="54" t="b">
        <f t="shared" ca="1" si="2"/>
        <v>1</v>
      </c>
      <c r="E87" s="55" t="str">
        <f t="shared" ca="1" si="3"/>
        <v/>
      </c>
      <c r="F87" s="56"/>
      <c r="H87"/>
      <c r="I87"/>
    </row>
    <row r="88" spans="1:9">
      <c r="A88" s="53" t="s">
        <v>217</v>
      </c>
      <c r="B88" s="45" t="s">
        <v>216</v>
      </c>
      <c r="C88" s="53">
        <f>_xlfn.CONFIDENCE.T(0.05,1,10)</f>
        <v>0.71535690597066481</v>
      </c>
      <c r="D88" s="54" t="b">
        <f t="shared" ca="1" si="2"/>
        <v>1</v>
      </c>
      <c r="E88" s="55" t="str">
        <f t="shared" ca="1" si="3"/>
        <v/>
      </c>
      <c r="F88" s="56"/>
      <c r="H88"/>
      <c r="I88"/>
    </row>
    <row r="89" spans="1:9">
      <c r="A89" s="53" t="s">
        <v>218</v>
      </c>
      <c r="B89" s="45" t="s">
        <v>217</v>
      </c>
      <c r="C89" s="53">
        <f>CONVERT(1,"m","cm")</f>
        <v>100</v>
      </c>
      <c r="D89" s="54" t="b">
        <f t="shared" ca="1" si="2"/>
        <v>1</v>
      </c>
      <c r="E89" s="55" t="str">
        <f t="shared" ca="1" si="3"/>
        <v/>
      </c>
      <c r="F89" s="56"/>
      <c r="H89"/>
      <c r="I89"/>
    </row>
    <row r="90" spans="1:9" ht="43.2">
      <c r="A90" s="53" t="s">
        <v>219</v>
      </c>
      <c r="B90" s="45" t="s">
        <v>218</v>
      </c>
      <c r="C90" s="53" t="e" cm="1">
        <f t="array" aca="1" ref="C90" ca="1">COPILOT(1)</f>
        <v>#NAME?</v>
      </c>
      <c r="D90" s="54" t="b">
        <f t="shared" ca="1" si="2"/>
        <v>0</v>
      </c>
      <c r="E90" s="55" t="str">
        <f t="shared" ca="1" si="3"/>
        <v>COPILOT</v>
      </c>
      <c r="F90" s="56" t="s">
        <v>220</v>
      </c>
      <c r="H90"/>
      <c r="I90"/>
    </row>
    <row r="91" spans="1:9">
      <c r="A91" s="53" t="s">
        <v>221</v>
      </c>
      <c r="B91" s="45" t="s">
        <v>219</v>
      </c>
      <c r="C91" s="53">
        <f>CORREL({1,2},{1,2})</f>
        <v>1</v>
      </c>
      <c r="D91" s="54" t="b">
        <f t="shared" ca="1" si="2"/>
        <v>1</v>
      </c>
      <c r="E91" s="55" t="str">
        <f t="shared" ca="1" si="3"/>
        <v/>
      </c>
      <c r="F91" s="56"/>
      <c r="H91"/>
      <c r="I91"/>
    </row>
    <row r="92" spans="1:9">
      <c r="A92" s="53" t="s">
        <v>222</v>
      </c>
      <c r="B92" s="45" t="s">
        <v>221</v>
      </c>
      <c r="C92" s="53">
        <f>COS(1)</f>
        <v>0.54030230586813977</v>
      </c>
      <c r="D92" s="54" t="b">
        <f t="shared" ca="1" si="2"/>
        <v>1</v>
      </c>
      <c r="E92" s="55" t="str">
        <f t="shared" ca="1" si="3"/>
        <v/>
      </c>
      <c r="F92" s="56"/>
      <c r="H92"/>
      <c r="I92"/>
    </row>
    <row r="93" spans="1:9">
      <c r="A93" s="53" t="s">
        <v>223</v>
      </c>
      <c r="B93" s="45" t="s">
        <v>222</v>
      </c>
      <c r="C93" s="53">
        <f>COSH(1)</f>
        <v>1.5430806348152437</v>
      </c>
      <c r="D93" s="54" t="b">
        <f t="shared" ca="1" si="2"/>
        <v>1</v>
      </c>
      <c r="E93" s="55" t="str">
        <f t="shared" ca="1" si="3"/>
        <v/>
      </c>
      <c r="F93" s="56"/>
      <c r="H93"/>
      <c r="I93"/>
    </row>
    <row r="94" spans="1:9">
      <c r="A94" s="53" t="s">
        <v>224</v>
      </c>
      <c r="B94" s="45" t="s">
        <v>223</v>
      </c>
      <c r="C94" s="53">
        <f>_xlfn.COT(1)</f>
        <v>0.64209261593433065</v>
      </c>
      <c r="D94" s="54" t="b">
        <f t="shared" ca="1" si="2"/>
        <v>1</v>
      </c>
      <c r="E94" s="55" t="str">
        <f t="shared" ca="1" si="3"/>
        <v/>
      </c>
      <c r="F94" s="56"/>
      <c r="H94"/>
      <c r="I94"/>
    </row>
    <row r="95" spans="1:9">
      <c r="A95" s="53" t="s">
        <v>225</v>
      </c>
      <c r="B95" s="45" t="s">
        <v>224</v>
      </c>
      <c r="C95" s="53">
        <f>_xlfn.COTH(1)</f>
        <v>1.3130352854993315</v>
      </c>
      <c r="D95" s="54" t="b">
        <f t="shared" ca="1" si="2"/>
        <v>1</v>
      </c>
      <c r="E95" s="55" t="str">
        <f t="shared" ca="1" si="3"/>
        <v/>
      </c>
      <c r="F95" s="56"/>
      <c r="H95"/>
      <c r="I95"/>
    </row>
    <row r="96" spans="1:9">
      <c r="A96" s="53" t="s">
        <v>226</v>
      </c>
      <c r="B96" s="45" t="s">
        <v>225</v>
      </c>
      <c r="C96" s="53">
        <f>COUNT(1)</f>
        <v>1</v>
      </c>
      <c r="D96" s="54" t="b">
        <f t="shared" ca="1" si="2"/>
        <v>1</v>
      </c>
      <c r="E96" s="55" t="str">
        <f t="shared" ca="1" si="3"/>
        <v/>
      </c>
      <c r="F96" s="56"/>
      <c r="H96"/>
      <c r="I96"/>
    </row>
    <row r="97" spans="1:9">
      <c r="A97" s="53" t="s">
        <v>227</v>
      </c>
      <c r="B97" s="45" t="s">
        <v>226</v>
      </c>
      <c r="C97" s="53">
        <f>COUNTA(1)</f>
        <v>1</v>
      </c>
      <c r="D97" s="54" t="b">
        <f t="shared" ca="1" si="2"/>
        <v>1</v>
      </c>
      <c r="E97" s="55" t="str">
        <f t="shared" ca="1" si="3"/>
        <v/>
      </c>
      <c r="F97" s="56"/>
      <c r="H97"/>
      <c r="I97"/>
    </row>
    <row r="98" spans="1:9">
      <c r="A98" s="53" t="s">
        <v>228</v>
      </c>
      <c r="B98" s="45" t="s">
        <v>227</v>
      </c>
      <c r="C98" s="53">
        <f>COUNTBLANK(A10)</f>
        <v>0</v>
      </c>
      <c r="D98" s="54" t="b">
        <f t="shared" ca="1" si="2"/>
        <v>1</v>
      </c>
      <c r="E98" s="55" t="str">
        <f t="shared" ca="1" si="3"/>
        <v/>
      </c>
      <c r="F98" s="56"/>
      <c r="H98"/>
      <c r="I98"/>
    </row>
    <row r="99" spans="1:9">
      <c r="A99" s="53" t="s">
        <v>229</v>
      </c>
      <c r="B99" s="45" t="s">
        <v>228</v>
      </c>
      <c r="C99" s="53">
        <f>COUNTIF($A$11:$A$12,"&gt;0")</f>
        <v>0</v>
      </c>
      <c r="D99" s="54" t="b">
        <f t="shared" ca="1" si="2"/>
        <v>1</v>
      </c>
      <c r="E99" s="55" t="str">
        <f t="shared" ca="1" si="3"/>
        <v/>
      </c>
      <c r="F99" s="56"/>
      <c r="H99"/>
      <c r="I99"/>
    </row>
    <row r="100" spans="1:9">
      <c r="A100" s="53" t="s">
        <v>230</v>
      </c>
      <c r="B100" s="45" t="s">
        <v>230</v>
      </c>
      <c r="C100" s="53">
        <f>COUNTIFS($A$11:$A$12,"&gt;0")</f>
        <v>0</v>
      </c>
      <c r="D100" s="54" t="b">
        <f t="shared" ca="1" si="2"/>
        <v>1</v>
      </c>
      <c r="E100" s="55" t="str">
        <f t="shared" ca="1" si="3"/>
        <v/>
      </c>
      <c r="F100" s="56"/>
      <c r="H100"/>
      <c r="I100"/>
    </row>
    <row r="101" spans="1:9">
      <c r="A101" s="53" t="s">
        <v>231</v>
      </c>
      <c r="B101" s="45" t="s">
        <v>231</v>
      </c>
      <c r="C101" s="53">
        <f>COUPDAYBS(DATE(2020,1,1),DATE(2021,1,1),1)</f>
        <v>0</v>
      </c>
      <c r="D101" s="54" t="b">
        <f t="shared" ca="1" si="2"/>
        <v>1</v>
      </c>
      <c r="E101" s="55" t="str">
        <f t="shared" ca="1" si="3"/>
        <v/>
      </c>
      <c r="F101" s="56"/>
      <c r="H101"/>
      <c r="I101"/>
    </row>
    <row r="102" spans="1:9">
      <c r="A102" s="53" t="s">
        <v>232</v>
      </c>
      <c r="B102" s="45" t="s">
        <v>232</v>
      </c>
      <c r="C102" s="53">
        <f>COUPDAYS(DATE(2020,1,1),DATE(2021,1,1),1)</f>
        <v>360</v>
      </c>
      <c r="D102" s="54" t="b">
        <f t="shared" ca="1" si="2"/>
        <v>1</v>
      </c>
      <c r="E102" s="55" t="str">
        <f t="shared" ca="1" si="3"/>
        <v/>
      </c>
      <c r="F102" s="56"/>
      <c r="H102"/>
      <c r="I102"/>
    </row>
    <row r="103" spans="1:9">
      <c r="A103" s="53" t="s">
        <v>233</v>
      </c>
      <c r="B103" s="45" t="s">
        <v>233</v>
      </c>
      <c r="C103" s="53">
        <f>COUPDAYSNC(DATE(2020,1,1),DATE(2021,1,1),1)</f>
        <v>360</v>
      </c>
      <c r="D103" s="54" t="b">
        <f t="shared" ca="1" si="2"/>
        <v>1</v>
      </c>
      <c r="E103" s="55" t="str">
        <f t="shared" ca="1" si="3"/>
        <v/>
      </c>
      <c r="F103" s="56"/>
      <c r="H103"/>
      <c r="I103"/>
    </row>
    <row r="104" spans="1:9">
      <c r="A104" s="53" t="s">
        <v>234</v>
      </c>
      <c r="B104" s="45" t="s">
        <v>234</v>
      </c>
      <c r="C104" s="53">
        <f>COUPNCD(DATE(2020,1,1),DATE(2021,1,1),1)</f>
        <v>44197</v>
      </c>
      <c r="D104" s="54" t="b">
        <f t="shared" ca="1" si="2"/>
        <v>1</v>
      </c>
      <c r="E104" s="55" t="str">
        <f t="shared" ca="1" si="3"/>
        <v/>
      </c>
      <c r="F104" s="56"/>
      <c r="H104"/>
      <c r="I104"/>
    </row>
    <row r="105" spans="1:9">
      <c r="A105" s="53" t="s">
        <v>235</v>
      </c>
      <c r="B105" s="45" t="s">
        <v>235</v>
      </c>
      <c r="C105" s="53">
        <f>COUPNUM(DATE(2020,1,1),DATE(2021,1,1),1)</f>
        <v>1</v>
      </c>
      <c r="D105" s="54" t="b">
        <f t="shared" ca="1" si="2"/>
        <v>1</v>
      </c>
      <c r="E105" s="55" t="str">
        <f t="shared" ca="1" si="3"/>
        <v/>
      </c>
      <c r="F105" s="56"/>
      <c r="H105"/>
      <c r="I105"/>
    </row>
    <row r="106" spans="1:9">
      <c r="A106" s="53" t="s">
        <v>236</v>
      </c>
      <c r="B106" s="45" t="s">
        <v>236</v>
      </c>
      <c r="C106" s="53">
        <f>COUPPCD(DATE(2020,1,1),DATE(2021,1,1),1)</f>
        <v>43831</v>
      </c>
      <c r="D106" s="54" t="b">
        <f t="shared" ca="1" si="2"/>
        <v>1</v>
      </c>
      <c r="E106" s="55" t="str">
        <f t="shared" ca="1" si="3"/>
        <v/>
      </c>
      <c r="F106" s="56"/>
      <c r="H106"/>
      <c r="I106"/>
    </row>
    <row r="107" spans="1:9">
      <c r="A107" s="53" t="s">
        <v>237</v>
      </c>
      <c r="B107" s="45" t="s">
        <v>237</v>
      </c>
      <c r="C107" s="53">
        <f>COVAR({1,2},{1,2})</f>
        <v>0.25</v>
      </c>
      <c r="D107" s="54" t="b">
        <f t="shared" ca="1" si="2"/>
        <v>1</v>
      </c>
      <c r="E107" s="55" t="str">
        <f t="shared" ca="1" si="3"/>
        <v/>
      </c>
      <c r="F107" s="56"/>
      <c r="H107"/>
      <c r="I107"/>
    </row>
    <row r="108" spans="1:9">
      <c r="A108" s="53" t="s">
        <v>238</v>
      </c>
      <c r="B108" s="45" t="s">
        <v>238</v>
      </c>
      <c r="C108" s="53">
        <f>_xlfn.COVARIANCE.P({1,2},{1,2})</f>
        <v>0.25</v>
      </c>
      <c r="D108" s="54" t="b">
        <f t="shared" ca="1" si="2"/>
        <v>1</v>
      </c>
      <c r="E108" s="55" t="str">
        <f t="shared" ca="1" si="3"/>
        <v/>
      </c>
      <c r="F108" s="56"/>
      <c r="H108"/>
      <c r="I108"/>
    </row>
    <row r="109" spans="1:9">
      <c r="A109" s="53" t="s">
        <v>239</v>
      </c>
      <c r="B109" s="45" t="s">
        <v>239</v>
      </c>
      <c r="C109" s="53">
        <f>_xlfn.COVARIANCE.S({1,2},{1,2})</f>
        <v>0.5</v>
      </c>
      <c r="D109" s="54" t="b">
        <f t="shared" ca="1" si="2"/>
        <v>1</v>
      </c>
      <c r="E109" s="55" t="str">
        <f t="shared" ca="1" si="3"/>
        <v/>
      </c>
      <c r="F109" s="56"/>
      <c r="H109"/>
      <c r="I109"/>
    </row>
    <row r="110" spans="1:9">
      <c r="A110" s="53" t="s">
        <v>240</v>
      </c>
      <c r="B110" s="45" t="s">
        <v>240</v>
      </c>
      <c r="C110" s="53">
        <f>CRITBINOM(2,0.5,0.5)</f>
        <v>1</v>
      </c>
      <c r="D110" s="54" t="b">
        <f t="shared" ca="1" si="2"/>
        <v>1</v>
      </c>
      <c r="E110" s="55" t="str">
        <f t="shared" ca="1" si="3"/>
        <v/>
      </c>
      <c r="F110" s="56"/>
      <c r="H110"/>
      <c r="I110"/>
    </row>
    <row r="111" spans="1:9">
      <c r="A111" s="53" t="s">
        <v>241</v>
      </c>
      <c r="B111" s="45" t="s">
        <v>241</v>
      </c>
      <c r="C111" s="53">
        <f>_xlfn.CSC(1)</f>
        <v>1.1883951057781212</v>
      </c>
      <c r="D111" s="54" t="b">
        <f t="shared" ca="1" si="2"/>
        <v>1</v>
      </c>
      <c r="E111" s="55" t="str">
        <f t="shared" ca="1" si="3"/>
        <v/>
      </c>
      <c r="F111" s="56"/>
      <c r="H111"/>
      <c r="I111"/>
    </row>
    <row r="112" spans="1:9">
      <c r="A112" s="53" t="s">
        <v>242</v>
      </c>
      <c r="B112" s="45" t="s">
        <v>242</v>
      </c>
      <c r="C112" s="53">
        <f>_xlfn.CSCH(1)</f>
        <v>0.85091812823932156</v>
      </c>
      <c r="D112" s="54" t="b">
        <f t="shared" ca="1" si="2"/>
        <v>1</v>
      </c>
      <c r="E112" s="55" t="str">
        <f t="shared" ca="1" si="3"/>
        <v/>
      </c>
      <c r="F112" s="56"/>
      <c r="H112"/>
      <c r="I112"/>
    </row>
    <row r="113" spans="1:9" ht="72">
      <c r="A113" s="53" t="s">
        <v>243</v>
      </c>
      <c r="B113" s="45" t="s">
        <v>243</v>
      </c>
      <c r="C113" s="53" t="s">
        <v>244</v>
      </c>
      <c r="D113" s="54" t="str">
        <f t="shared" ca="1" si="2"/>
        <v>NOT TESTED</v>
      </c>
      <c r="E113" s="55" t="str">
        <f t="shared" ca="1" si="3"/>
        <v>?CUBEKPIMEMBER (untested)</v>
      </c>
      <c r="F113" s="56" t="s">
        <v>245</v>
      </c>
      <c r="H113"/>
      <c r="I113"/>
    </row>
    <row r="114" spans="1:9" ht="72">
      <c r="A114" s="53" t="s">
        <v>246</v>
      </c>
      <c r="B114" s="45" t="s">
        <v>246</v>
      </c>
      <c r="C114" s="53" t="s">
        <v>247</v>
      </c>
      <c r="D114" s="54" t="str">
        <f t="shared" ca="1" si="2"/>
        <v>NOT TESTED</v>
      </c>
      <c r="E114" s="55" t="str">
        <f t="shared" ca="1" si="3"/>
        <v>?CUBEMEMBER (untested)</v>
      </c>
      <c r="F114" s="56" t="s">
        <v>245</v>
      </c>
      <c r="H114"/>
      <c r="I114"/>
    </row>
    <row r="115" spans="1:9" ht="72">
      <c r="A115" s="53" t="s">
        <v>248</v>
      </c>
      <c r="B115" s="45" t="s">
        <v>248</v>
      </c>
      <c r="C115" s="53" t="s">
        <v>249</v>
      </c>
      <c r="D115" s="54" t="str">
        <f t="shared" ca="1" si="2"/>
        <v>NOT TESTED</v>
      </c>
      <c r="E115" s="55" t="str">
        <f t="shared" ca="1" si="3"/>
        <v>?CUBEMEMBERPROPERTY (untested)</v>
      </c>
      <c r="F115" s="56" t="s">
        <v>245</v>
      </c>
      <c r="H115"/>
      <c r="I115"/>
    </row>
    <row r="116" spans="1:9" ht="72">
      <c r="A116" s="53" t="s">
        <v>250</v>
      </c>
      <c r="B116" s="45" t="s">
        <v>250</v>
      </c>
      <c r="C116" s="53" t="s">
        <v>251</v>
      </c>
      <c r="D116" s="54" t="str">
        <f t="shared" ca="1" si="2"/>
        <v>NOT TESTED</v>
      </c>
      <c r="E116" s="55" t="str">
        <f t="shared" ca="1" si="3"/>
        <v>?CUBERANKEDMEMBER (untested)</v>
      </c>
      <c r="F116" s="56" t="s">
        <v>245</v>
      </c>
      <c r="H116"/>
      <c r="I116"/>
    </row>
    <row r="117" spans="1:9" ht="72">
      <c r="A117" s="53" t="s">
        <v>252</v>
      </c>
      <c r="B117" s="45" t="s">
        <v>252</v>
      </c>
      <c r="C117" s="53" t="s">
        <v>253</v>
      </c>
      <c r="D117" s="54" t="str">
        <f t="shared" ca="1" si="2"/>
        <v>NOT TESTED</v>
      </c>
      <c r="E117" s="55" t="str">
        <f t="shared" ca="1" si="3"/>
        <v>?CUBESET (untested)</v>
      </c>
      <c r="F117" s="56" t="s">
        <v>245</v>
      </c>
      <c r="H117"/>
      <c r="I117"/>
    </row>
    <row r="118" spans="1:9" ht="72">
      <c r="A118" s="53" t="s">
        <v>254</v>
      </c>
      <c r="B118" s="45" t="s">
        <v>254</v>
      </c>
      <c r="C118" s="53" t="s">
        <v>255</v>
      </c>
      <c r="D118" s="54" t="str">
        <f t="shared" ca="1" si="2"/>
        <v>NOT TESTED</v>
      </c>
      <c r="E118" s="55" t="str">
        <f t="shared" ca="1" si="3"/>
        <v>?CUBESETCOUNT (untested)</v>
      </c>
      <c r="F118" s="56" t="s">
        <v>245</v>
      </c>
      <c r="H118"/>
      <c r="I118"/>
    </row>
    <row r="119" spans="1:9" ht="72">
      <c r="A119" s="53" t="s">
        <v>256</v>
      </c>
      <c r="B119" s="45" t="s">
        <v>256</v>
      </c>
      <c r="C119" s="53" t="s">
        <v>257</v>
      </c>
      <c r="D119" s="54" t="str">
        <f t="shared" ca="1" si="2"/>
        <v>NOT TESTED</v>
      </c>
      <c r="E119" s="55" t="str">
        <f t="shared" ca="1" si="3"/>
        <v>?CUBEVALUE (untested)</v>
      </c>
      <c r="F119" s="56" t="s">
        <v>245</v>
      </c>
      <c r="H119"/>
      <c r="I119"/>
    </row>
    <row r="120" spans="1:9">
      <c r="A120" s="53" t="s">
        <v>258</v>
      </c>
      <c r="B120" s="45" t="s">
        <v>258</v>
      </c>
      <c r="C120" s="53">
        <f>CUMIPMT(0.01,12,1000,1,1,0)</f>
        <v>-9.9999999999999716</v>
      </c>
      <c r="D120" s="54" t="b">
        <f t="shared" ca="1" si="2"/>
        <v>1</v>
      </c>
      <c r="E120" s="55" t="str">
        <f t="shared" ca="1" si="3"/>
        <v/>
      </c>
      <c r="F120" s="56"/>
      <c r="H120"/>
      <c r="I120"/>
    </row>
    <row r="121" spans="1:9">
      <c r="A121" s="53" t="s">
        <v>259</v>
      </c>
      <c r="B121" s="45" t="s">
        <v>259</v>
      </c>
      <c r="C121" s="53">
        <f>CUMPRINC(0.01,12,1000,1,1,0)</f>
        <v>-78.848788678341705</v>
      </c>
      <c r="D121" s="54" t="b">
        <f t="shared" ca="1" si="2"/>
        <v>1</v>
      </c>
      <c r="E121" s="55" t="str">
        <f t="shared" ca="1" si="3"/>
        <v/>
      </c>
      <c r="F121" s="56"/>
      <c r="H121"/>
      <c r="I121"/>
    </row>
    <row r="122" spans="1:9">
      <c r="A122" s="53" t="s">
        <v>260</v>
      </c>
      <c r="B122" s="45" t="s">
        <v>260</v>
      </c>
      <c r="C122" s="53">
        <f>DATE(2020,1,1)</f>
        <v>43831</v>
      </c>
      <c r="D122" s="54" t="b">
        <f t="shared" ca="1" si="2"/>
        <v>1</v>
      </c>
      <c r="E122" s="55" t="str">
        <f t="shared" ca="1" si="3"/>
        <v/>
      </c>
      <c r="F122" s="56"/>
      <c r="H122"/>
      <c r="I122"/>
    </row>
    <row r="123" spans="1:9">
      <c r="A123" s="53" t="s">
        <v>261</v>
      </c>
      <c r="B123" s="45" t="s">
        <v>261</v>
      </c>
      <c r="C123" s="53">
        <f>DATEDIF(DATE(2020,1,1),DATE(2021,1,1),"Y")</f>
        <v>1</v>
      </c>
      <c r="D123" s="54" t="b">
        <f t="shared" ca="1" si="2"/>
        <v>1</v>
      </c>
      <c r="E123" s="55" t="str">
        <f t="shared" ca="1" si="3"/>
        <v/>
      </c>
      <c r="F123" s="56"/>
      <c r="H123"/>
      <c r="I123"/>
    </row>
    <row r="124" spans="1:9">
      <c r="A124" s="53" t="s">
        <v>262</v>
      </c>
      <c r="B124" s="45" t="s">
        <v>262</v>
      </c>
      <c r="C124" s="53">
        <f>DATEVALUE("1/1/2020")</f>
        <v>43831</v>
      </c>
      <c r="D124" s="54" t="b">
        <f t="shared" ca="1" si="2"/>
        <v>1</v>
      </c>
      <c r="E124" s="55" t="str">
        <f t="shared" ca="1" si="3"/>
        <v/>
      </c>
      <c r="F124" s="56"/>
      <c r="H124"/>
      <c r="I124"/>
    </row>
    <row r="125" spans="1:9">
      <c r="A125" s="53" t="s">
        <v>263</v>
      </c>
      <c r="B125" s="45" t="s">
        <v>263</v>
      </c>
      <c r="C125" s="53" t="e">
        <f>DAVERAGE(A10:A11,1,A10:A11)</f>
        <v>#DIV/0!</v>
      </c>
      <c r="D125" s="54" t="b">
        <f t="shared" ca="1" si="2"/>
        <v>1</v>
      </c>
      <c r="E125" s="55" t="str">
        <f t="shared" ca="1" si="3"/>
        <v/>
      </c>
      <c r="F125" s="56"/>
      <c r="H125"/>
      <c r="I125"/>
    </row>
    <row r="126" spans="1:9">
      <c r="A126" s="53" t="s">
        <v>264</v>
      </c>
      <c r="B126" s="45" t="s">
        <v>264</v>
      </c>
      <c r="C126" s="53">
        <f>DAY(1)</f>
        <v>1</v>
      </c>
      <c r="D126" s="54" t="b">
        <f t="shared" ca="1" si="2"/>
        <v>1</v>
      </c>
      <c r="E126" s="55" t="str">
        <f t="shared" ca="1" si="3"/>
        <v/>
      </c>
      <c r="F126" s="56"/>
      <c r="H126"/>
      <c r="I126"/>
    </row>
    <row r="127" spans="1:9">
      <c r="A127" s="53" t="s">
        <v>265</v>
      </c>
      <c r="B127" s="45" t="s">
        <v>265</v>
      </c>
      <c r="C127" s="53">
        <f>_xlfn.DAYS(DATE(2021,1,1),DATE(2020,1,1))</f>
        <v>366</v>
      </c>
      <c r="D127" s="54" t="b">
        <f t="shared" ca="1" si="2"/>
        <v>1</v>
      </c>
      <c r="E127" s="55" t="str">
        <f t="shared" ca="1" si="3"/>
        <v/>
      </c>
      <c r="F127" s="56"/>
      <c r="H127"/>
      <c r="I127"/>
    </row>
    <row r="128" spans="1:9">
      <c r="A128" s="53" t="s">
        <v>266</v>
      </c>
      <c r="B128" s="45" t="s">
        <v>266</v>
      </c>
      <c r="C128" s="53">
        <f>DAYS360(DATE(2020,1,1),DATE(2021,1,1))</f>
        <v>360</v>
      </c>
      <c r="D128" s="54" t="b">
        <f t="shared" ca="1" si="2"/>
        <v>1</v>
      </c>
      <c r="E128" s="55" t="str">
        <f t="shared" ca="1" si="3"/>
        <v/>
      </c>
      <c r="F128" s="56"/>
      <c r="H128"/>
      <c r="I128"/>
    </row>
    <row r="129" spans="1:9">
      <c r="A129" s="53" t="s">
        <v>267</v>
      </c>
      <c r="B129" s="45" t="s">
        <v>267</v>
      </c>
      <c r="C129" s="53">
        <f>DB(1000,100,10,1)</f>
        <v>206</v>
      </c>
      <c r="D129" s="54" t="b">
        <f t="shared" ca="1" si="2"/>
        <v>1</v>
      </c>
      <c r="E129" s="55" t="str">
        <f t="shared" ca="1" si="3"/>
        <v/>
      </c>
      <c r="F129" s="56"/>
      <c r="H129"/>
      <c r="I129"/>
    </row>
    <row r="130" spans="1:9">
      <c r="A130" s="53" t="s">
        <v>268</v>
      </c>
      <c r="B130" s="45" t="s">
        <v>268</v>
      </c>
      <c r="C130" s="53" t="str">
        <f>DBCS(1)</f>
        <v>1</v>
      </c>
      <c r="D130" s="54" t="b">
        <f t="shared" ca="1" si="2"/>
        <v>1</v>
      </c>
      <c r="E130" s="55" t="str">
        <f t="shared" ca="1" si="3"/>
        <v/>
      </c>
      <c r="F130" s="56"/>
      <c r="H130"/>
      <c r="I130"/>
    </row>
    <row r="131" spans="1:9">
      <c r="A131" s="53" t="s">
        <v>269</v>
      </c>
      <c r="B131" s="45" t="s">
        <v>269</v>
      </c>
      <c r="C131" s="53">
        <f>DCOUNT(A10:A11,1,A10:A11)</f>
        <v>0</v>
      </c>
      <c r="D131" s="54" t="b">
        <f t="shared" ca="1" si="2"/>
        <v>1</v>
      </c>
      <c r="E131" s="55" t="str">
        <f t="shared" ca="1" si="3"/>
        <v/>
      </c>
      <c r="F131" s="56"/>
      <c r="H131"/>
      <c r="I131"/>
    </row>
    <row r="132" spans="1:9">
      <c r="A132" s="53" t="s">
        <v>270</v>
      </c>
      <c r="B132" s="45" t="s">
        <v>270</v>
      </c>
      <c r="C132" s="53">
        <f>DCOUNTA(A10:A11,1,A10:A11)</f>
        <v>1</v>
      </c>
      <c r="D132" s="54" t="b">
        <f t="shared" ca="1" si="2"/>
        <v>1</v>
      </c>
      <c r="E132" s="55" t="str">
        <f t="shared" ca="1" si="3"/>
        <v/>
      </c>
      <c r="F132" s="56"/>
      <c r="H132"/>
      <c r="I132"/>
    </row>
    <row r="133" spans="1:9">
      <c r="A133" s="53" t="s">
        <v>271</v>
      </c>
      <c r="B133" s="45" t="s">
        <v>271</v>
      </c>
      <c r="C133" s="53">
        <f>DDB(1000,100,10,1)</f>
        <v>200</v>
      </c>
      <c r="D133" s="54" t="b">
        <f t="shared" ca="1" si="2"/>
        <v>1</v>
      </c>
      <c r="E133" s="55" t="str">
        <f t="shared" ca="1" si="3"/>
        <v/>
      </c>
      <c r="F133" s="56"/>
      <c r="H133"/>
      <c r="I133"/>
    </row>
    <row r="134" spans="1:9">
      <c r="A134" s="53" t="s">
        <v>272</v>
      </c>
      <c r="B134" s="45" t="s">
        <v>272</v>
      </c>
      <c r="C134" s="53" t="str">
        <f>DEC2BIN(1)</f>
        <v>1</v>
      </c>
      <c r="D134" s="54" t="b">
        <f t="shared" ca="1" si="2"/>
        <v>1</v>
      </c>
      <c r="E134" s="55" t="str">
        <f t="shared" ca="1" si="3"/>
        <v/>
      </c>
      <c r="F134" s="56"/>
      <c r="H134"/>
      <c r="I134"/>
    </row>
    <row r="135" spans="1:9">
      <c r="A135" s="53" t="s">
        <v>273</v>
      </c>
      <c r="B135" s="45" t="s">
        <v>273</v>
      </c>
      <c r="C135" s="53" t="str">
        <f>DEC2HEX(1)</f>
        <v>1</v>
      </c>
      <c r="D135" s="54" t="b">
        <f t="shared" ca="1" si="2"/>
        <v>1</v>
      </c>
      <c r="E135" s="55" t="str">
        <f t="shared" ca="1" si="3"/>
        <v/>
      </c>
      <c r="F135" s="56"/>
      <c r="H135"/>
      <c r="I135"/>
    </row>
    <row r="136" spans="1:9">
      <c r="A136" s="53" t="s">
        <v>274</v>
      </c>
      <c r="B136" s="45" t="s">
        <v>274</v>
      </c>
      <c r="C136" s="53" t="str">
        <f>DEC2OCT(1)</f>
        <v>1</v>
      </c>
      <c r="D136" s="54" t="b">
        <f t="shared" ca="1" si="2"/>
        <v>1</v>
      </c>
      <c r="E136" s="55" t="str">
        <f t="shared" ca="1" si="3"/>
        <v/>
      </c>
      <c r="F136" s="56"/>
      <c r="H136"/>
      <c r="I136"/>
    </row>
    <row r="137" spans="1:9">
      <c r="A137" s="53" t="s">
        <v>275</v>
      </c>
      <c r="B137" s="45" t="s">
        <v>275</v>
      </c>
      <c r="C137" s="53">
        <f>_xlfn.DECIMAL("10",10)</f>
        <v>10</v>
      </c>
      <c r="D137" s="54" t="b">
        <f t="shared" ca="1" si="2"/>
        <v>1</v>
      </c>
      <c r="E137" s="55" t="str">
        <f t="shared" ca="1" si="3"/>
        <v/>
      </c>
      <c r="F137" s="56"/>
      <c r="H137"/>
      <c r="I137"/>
    </row>
    <row r="138" spans="1:9">
      <c r="A138" s="53" t="s">
        <v>276</v>
      </c>
      <c r="B138" s="45" t="s">
        <v>276</v>
      </c>
      <c r="C138" s="53">
        <f>DEGREES(1)</f>
        <v>57.295779513082323</v>
      </c>
      <c r="D138" s="54" t="b">
        <f t="shared" ca="1" si="2"/>
        <v>1</v>
      </c>
      <c r="E138" s="55" t="str">
        <f t="shared" ca="1" si="3"/>
        <v/>
      </c>
      <c r="F138" s="56"/>
      <c r="H138"/>
      <c r="I138"/>
    </row>
    <row r="139" spans="1:9">
      <c r="A139" s="53" t="s">
        <v>277</v>
      </c>
      <c r="B139" s="45" t="s">
        <v>277</v>
      </c>
      <c r="C139" s="53">
        <f>DELTA(1)</f>
        <v>0</v>
      </c>
      <c r="D139" s="54" t="b">
        <f t="shared" ca="1" si="2"/>
        <v>1</v>
      </c>
      <c r="E139" s="55" t="str">
        <f t="shared" ca="1" si="3"/>
        <v/>
      </c>
      <c r="F139" s="56"/>
      <c r="H139"/>
      <c r="I139"/>
    </row>
    <row r="140" spans="1:9">
      <c r="A140" s="53" t="s">
        <v>278</v>
      </c>
      <c r="B140" s="45" t="s">
        <v>278</v>
      </c>
      <c r="C140" s="53" t="str">
        <f>_xlfn.DETECTLANGUAGE(1)</f>
        <v>en</v>
      </c>
      <c r="D140" s="54" t="b">
        <f t="shared" ref="D140:D203" ca="1" si="4">IF(NOT(_xlfn.ISFORMULA(C140)),"NOT TESTED",IFERROR(AND(ERROR.TYPE(C140)&lt;&gt;5,ISERROR(SEARCH("xlfn",_xlfn.FORMULATEXT(C140)))),TRUE))</f>
        <v>1</v>
      </c>
      <c r="E140" s="55" t="str">
        <f t="shared" ref="E140:E203" ca="1" si="5">IF(D140="NOT TESTED","?"&amp;A140&amp;" (untested)",IF(D140=FALSE,A140,""))</f>
        <v/>
      </c>
      <c r="F140" s="56"/>
      <c r="H140"/>
      <c r="I140"/>
    </row>
    <row r="141" spans="1:9">
      <c r="A141" s="53" t="s">
        <v>279</v>
      </c>
      <c r="B141" s="45" t="s">
        <v>279</v>
      </c>
      <c r="C141" s="53">
        <f>DEVSQ(1)</f>
        <v>0</v>
      </c>
      <c r="D141" s="54" t="b">
        <f t="shared" ca="1" si="4"/>
        <v>1</v>
      </c>
      <c r="E141" s="55" t="str">
        <f t="shared" ca="1" si="5"/>
        <v/>
      </c>
      <c r="F141" s="56"/>
      <c r="H141"/>
      <c r="I141"/>
    </row>
    <row r="142" spans="1:9">
      <c r="A142" s="53" t="s">
        <v>280</v>
      </c>
      <c r="B142" s="45" t="s">
        <v>280</v>
      </c>
      <c r="C142" s="53" t="str">
        <f>DGET(A10:A11,1,A10:A11)</f>
        <v>ABS</v>
      </c>
      <c r="D142" s="54" t="b">
        <f t="shared" ca="1" si="4"/>
        <v>1</v>
      </c>
      <c r="E142" s="55" t="str">
        <f t="shared" ca="1" si="5"/>
        <v/>
      </c>
      <c r="F142" s="56"/>
      <c r="H142"/>
      <c r="I142"/>
    </row>
    <row r="143" spans="1:9">
      <c r="A143" s="53" t="s">
        <v>281</v>
      </c>
      <c r="B143" s="45" t="s">
        <v>281</v>
      </c>
      <c r="C143" s="53">
        <f>DISC(DATE(2020,1,1),DATE(2021,1,1),95,100)</f>
        <v>5.0000000000000044E-2</v>
      </c>
      <c r="D143" s="54" t="b">
        <f t="shared" ca="1" si="4"/>
        <v>1</v>
      </c>
      <c r="E143" s="55" t="str">
        <f t="shared" ca="1" si="5"/>
        <v/>
      </c>
      <c r="F143" s="56"/>
      <c r="H143"/>
      <c r="I143"/>
    </row>
    <row r="144" spans="1:9">
      <c r="A144" s="53" t="s">
        <v>282</v>
      </c>
      <c r="B144" s="45" t="s">
        <v>282</v>
      </c>
      <c r="C144" s="53">
        <f>DMAX(A10:A11,1,A10:A11)</f>
        <v>0</v>
      </c>
      <c r="D144" s="54" t="b">
        <f t="shared" ca="1" si="4"/>
        <v>1</v>
      </c>
      <c r="E144" s="55" t="str">
        <f t="shared" ca="1" si="5"/>
        <v/>
      </c>
      <c r="F144" s="56"/>
      <c r="H144"/>
      <c r="I144"/>
    </row>
    <row r="145" spans="1:9">
      <c r="A145" s="53" t="s">
        <v>283</v>
      </c>
      <c r="B145" s="45" t="s">
        <v>283</v>
      </c>
      <c r="C145" s="53">
        <f>DMIN(A10:A11,1,A10:A11)</f>
        <v>0</v>
      </c>
      <c r="D145" s="54" t="b">
        <f t="shared" ca="1" si="4"/>
        <v>1</v>
      </c>
      <c r="E145" s="55" t="str">
        <f t="shared" ca="1" si="5"/>
        <v/>
      </c>
      <c r="F145" s="56"/>
      <c r="H145"/>
      <c r="I145"/>
    </row>
    <row r="146" spans="1:9">
      <c r="A146" s="53" t="s">
        <v>284</v>
      </c>
      <c r="B146" s="45" t="s">
        <v>284</v>
      </c>
      <c r="C146" s="53" t="str">
        <f>DOLLAR(1)</f>
        <v>£1.00</v>
      </c>
      <c r="D146" s="54" t="b">
        <f t="shared" ca="1" si="4"/>
        <v>1</v>
      </c>
      <c r="E146" s="55" t="str">
        <f t="shared" ca="1" si="5"/>
        <v/>
      </c>
      <c r="F146" s="56"/>
      <c r="H146"/>
      <c r="I146"/>
    </row>
    <row r="147" spans="1:9">
      <c r="A147" s="53" t="s">
        <v>285</v>
      </c>
      <c r="B147" s="45" t="s">
        <v>285</v>
      </c>
      <c r="C147" s="53">
        <f>DOLLARDE(1.1,16)</f>
        <v>1.6250000000000004</v>
      </c>
      <c r="D147" s="54" t="b">
        <f t="shared" ca="1" si="4"/>
        <v>1</v>
      </c>
      <c r="E147" s="55" t="str">
        <f t="shared" ca="1" si="5"/>
        <v/>
      </c>
      <c r="F147" s="56"/>
      <c r="H147"/>
      <c r="I147"/>
    </row>
    <row r="148" spans="1:9">
      <c r="A148" s="53" t="s">
        <v>286</v>
      </c>
      <c r="B148" s="45" t="s">
        <v>286</v>
      </c>
      <c r="C148" s="53">
        <f>DOLLARFR(1.1,16)</f>
        <v>1.016</v>
      </c>
      <c r="D148" s="54" t="b">
        <f t="shared" ca="1" si="4"/>
        <v>1</v>
      </c>
      <c r="E148" s="55" t="str">
        <f t="shared" ca="1" si="5"/>
        <v/>
      </c>
      <c r="F148" s="56"/>
      <c r="H148"/>
      <c r="I148"/>
    </row>
    <row r="149" spans="1:9">
      <c r="A149" s="53" t="s">
        <v>287</v>
      </c>
      <c r="B149" s="45" t="s">
        <v>287</v>
      </c>
      <c r="C149" s="53">
        <f>DPRODUCT(A10:A11,1,A10:A11)</f>
        <v>0</v>
      </c>
      <c r="D149" s="54" t="b">
        <f t="shared" ca="1" si="4"/>
        <v>1</v>
      </c>
      <c r="E149" s="55" t="str">
        <f t="shared" ca="1" si="5"/>
        <v/>
      </c>
      <c r="F149" s="56"/>
      <c r="H149"/>
      <c r="I149"/>
    </row>
    <row r="150" spans="1:9">
      <c r="A150" s="53" t="s">
        <v>288</v>
      </c>
      <c r="B150" s="45" t="s">
        <v>288</v>
      </c>
      <c r="C150" s="53" cm="1">
        <f t="array" ref="C150">_xlfn.DROP({1;2},1)</f>
        <v>2</v>
      </c>
      <c r="D150" s="54" t="b">
        <f t="shared" ca="1" si="4"/>
        <v>1</v>
      </c>
      <c r="E150" s="55" t="str">
        <f t="shared" ca="1" si="5"/>
        <v/>
      </c>
      <c r="F150" s="56"/>
      <c r="H150"/>
      <c r="I150"/>
    </row>
    <row r="151" spans="1:9">
      <c r="A151" s="53" t="s">
        <v>289</v>
      </c>
      <c r="B151" s="45" t="s">
        <v>289</v>
      </c>
      <c r="C151" s="53" t="e">
        <f>DSTDEV(A10:A11,1,A10:A11)</f>
        <v>#DIV/0!</v>
      </c>
      <c r="D151" s="54" t="b">
        <f t="shared" ca="1" si="4"/>
        <v>1</v>
      </c>
      <c r="E151" s="55" t="str">
        <f t="shared" ca="1" si="5"/>
        <v/>
      </c>
      <c r="F151" s="56"/>
      <c r="H151"/>
      <c r="I151"/>
    </row>
    <row r="152" spans="1:9">
      <c r="A152" s="53" t="s">
        <v>290</v>
      </c>
      <c r="B152" s="45" t="s">
        <v>290</v>
      </c>
      <c r="C152" s="53" t="e">
        <f>DSTDEVP(A10:A11,1,A10:A11)</f>
        <v>#DIV/0!</v>
      </c>
      <c r="D152" s="54" t="b">
        <f t="shared" ca="1" si="4"/>
        <v>1</v>
      </c>
      <c r="E152" s="55" t="str">
        <f t="shared" ca="1" si="5"/>
        <v/>
      </c>
      <c r="F152" s="56"/>
      <c r="H152"/>
      <c r="I152"/>
    </row>
    <row r="153" spans="1:9">
      <c r="A153" s="53" t="s">
        <v>291</v>
      </c>
      <c r="B153" s="45" t="s">
        <v>291</v>
      </c>
      <c r="C153" s="53">
        <f>DSUM(A10:A11,1,A10:A11)</f>
        <v>0</v>
      </c>
      <c r="D153" s="54" t="b">
        <f t="shared" ca="1" si="4"/>
        <v>1</v>
      </c>
      <c r="E153" s="55" t="str">
        <f t="shared" ca="1" si="5"/>
        <v/>
      </c>
      <c r="F153" s="56"/>
      <c r="H153"/>
      <c r="I153"/>
    </row>
    <row r="154" spans="1:9">
      <c r="A154" s="53" t="s">
        <v>292</v>
      </c>
      <c r="B154" s="45" t="s">
        <v>292</v>
      </c>
      <c r="C154" s="53">
        <f>DURATION(DATE(2020,1,1),DATE(2021,1,1),0.05,0.05,1)</f>
        <v>1</v>
      </c>
      <c r="D154" s="54" t="b">
        <f t="shared" ca="1" si="4"/>
        <v>1</v>
      </c>
      <c r="E154" s="55" t="str">
        <f t="shared" ca="1" si="5"/>
        <v/>
      </c>
      <c r="F154" s="56"/>
      <c r="H154"/>
      <c r="I154"/>
    </row>
    <row r="155" spans="1:9">
      <c r="A155" s="53" t="s">
        <v>293</v>
      </c>
      <c r="B155" s="45" t="s">
        <v>293</v>
      </c>
      <c r="C155" s="53" t="e">
        <f>DVAR(A10:A11,1,A10:A11)</f>
        <v>#DIV/0!</v>
      </c>
      <c r="D155" s="54" t="b">
        <f t="shared" ca="1" si="4"/>
        <v>1</v>
      </c>
      <c r="E155" s="55" t="str">
        <f t="shared" ca="1" si="5"/>
        <v/>
      </c>
      <c r="F155" s="56"/>
      <c r="H155"/>
      <c r="I155"/>
    </row>
    <row r="156" spans="1:9">
      <c r="A156" s="53" t="s">
        <v>294</v>
      </c>
      <c r="B156" s="45" t="s">
        <v>294</v>
      </c>
      <c r="C156" s="53" t="e">
        <f>DVARP(A10:A11,1,A10:A11)</f>
        <v>#DIV/0!</v>
      </c>
      <c r="D156" s="54" t="b">
        <f t="shared" ca="1" si="4"/>
        <v>1</v>
      </c>
      <c r="E156" s="55" t="str">
        <f t="shared" ca="1" si="5"/>
        <v/>
      </c>
      <c r="F156" s="56"/>
      <c r="H156"/>
      <c r="I156"/>
    </row>
    <row r="157" spans="1:9" ht="28.8">
      <c r="A157" s="53" t="s">
        <v>295</v>
      </c>
      <c r="C157" s="53">
        <f>ECMA.CEILING(1,1)</f>
        <v>1</v>
      </c>
      <c r="D157" s="54" t="b">
        <f t="shared" ca="1" si="4"/>
        <v>1</v>
      </c>
      <c r="E157" s="55" t="str">
        <f t="shared" ca="1" si="5"/>
        <v/>
      </c>
      <c r="F157" s="56" t="s">
        <v>738</v>
      </c>
      <c r="H157"/>
      <c r="I157"/>
    </row>
    <row r="158" spans="1:9">
      <c r="A158" s="53" t="s">
        <v>296</v>
      </c>
      <c r="B158" s="45" t="s">
        <v>296</v>
      </c>
      <c r="C158" s="53">
        <f>EDATE(DATE(2020,1,1),1)</f>
        <v>43862</v>
      </c>
      <c r="D158" s="54" t="b">
        <f t="shared" ca="1" si="4"/>
        <v>1</v>
      </c>
      <c r="E158" s="55" t="str">
        <f t="shared" ca="1" si="5"/>
        <v/>
      </c>
      <c r="F158" s="56"/>
      <c r="H158"/>
      <c r="I158"/>
    </row>
    <row r="159" spans="1:9">
      <c r="A159" s="53" t="s">
        <v>297</v>
      </c>
      <c r="B159" s="45" t="s">
        <v>297</v>
      </c>
      <c r="C159" s="53">
        <f>EFFECT(0.1,12)</f>
        <v>0.10471306744129683</v>
      </c>
      <c r="D159" s="54" t="b">
        <f t="shared" ca="1" si="4"/>
        <v>1</v>
      </c>
      <c r="E159" s="55" t="str">
        <f t="shared" ca="1" si="5"/>
        <v/>
      </c>
      <c r="F159" s="56"/>
      <c r="H159"/>
      <c r="I159"/>
    </row>
    <row r="160" spans="1:9">
      <c r="A160" s="53" t="s">
        <v>298</v>
      </c>
      <c r="B160" s="45" t="s">
        <v>298</v>
      </c>
      <c r="C160" s="53" t="str">
        <f>_xlfn.ENCODEURL(1)</f>
        <v>1</v>
      </c>
      <c r="D160" s="54" t="b">
        <f t="shared" ca="1" si="4"/>
        <v>1</v>
      </c>
      <c r="E160" s="55" t="str">
        <f t="shared" ca="1" si="5"/>
        <v/>
      </c>
      <c r="F160" s="56"/>
      <c r="H160"/>
      <c r="I160"/>
    </row>
    <row r="161" spans="1:9">
      <c r="A161" s="53" t="s">
        <v>299</v>
      </c>
      <c r="B161" s="45" t="s">
        <v>299</v>
      </c>
      <c r="C161" s="53">
        <f>EOMONTH(DATE(2020,1,1),1)</f>
        <v>43890</v>
      </c>
      <c r="D161" s="54" t="b">
        <f t="shared" ca="1" si="4"/>
        <v>1</v>
      </c>
      <c r="E161" s="55" t="str">
        <f t="shared" ca="1" si="5"/>
        <v/>
      </c>
      <c r="F161" s="56"/>
      <c r="H161"/>
      <c r="I161"/>
    </row>
    <row r="162" spans="1:9">
      <c r="A162" s="53" t="s">
        <v>300</v>
      </c>
      <c r="B162" s="45" t="s">
        <v>300</v>
      </c>
      <c r="C162" s="53">
        <f>ERF(1)</f>
        <v>0.84270079294971489</v>
      </c>
      <c r="D162" s="54" t="b">
        <f t="shared" ca="1" si="4"/>
        <v>1</v>
      </c>
      <c r="E162" s="55" t="str">
        <f t="shared" ca="1" si="5"/>
        <v/>
      </c>
      <c r="F162" s="56"/>
      <c r="H162"/>
      <c r="I162"/>
    </row>
    <row r="163" spans="1:9">
      <c r="A163" s="53" t="s">
        <v>301</v>
      </c>
      <c r="B163" s="45" t="s">
        <v>301</v>
      </c>
      <c r="C163" s="53">
        <f>_xlfn.ERF.PRECISE(1)</f>
        <v>0.84270079294971489</v>
      </c>
      <c r="D163" s="54" t="b">
        <f t="shared" ca="1" si="4"/>
        <v>1</v>
      </c>
      <c r="E163" s="55" t="str">
        <f t="shared" ca="1" si="5"/>
        <v/>
      </c>
      <c r="F163" s="56"/>
      <c r="H163"/>
      <c r="I163"/>
    </row>
    <row r="164" spans="1:9">
      <c r="A164" s="53" t="s">
        <v>302</v>
      </c>
      <c r="B164" s="45" t="s">
        <v>302</v>
      </c>
      <c r="C164" s="53">
        <f>ERFC(1)</f>
        <v>0.15729920705028513</v>
      </c>
      <c r="D164" s="54" t="b">
        <f t="shared" ca="1" si="4"/>
        <v>1</v>
      </c>
      <c r="E164" s="55" t="str">
        <f t="shared" ca="1" si="5"/>
        <v/>
      </c>
      <c r="F164" s="56"/>
      <c r="H164"/>
      <c r="I164"/>
    </row>
    <row r="165" spans="1:9">
      <c r="A165" s="53" t="s">
        <v>303</v>
      </c>
      <c r="B165" s="45" t="s">
        <v>303</v>
      </c>
      <c r="C165" s="53">
        <f>_xlfn.ERFC.PRECISE(1)</f>
        <v>0.15729920705028513</v>
      </c>
      <c r="D165" s="54" t="b">
        <f t="shared" ca="1" si="4"/>
        <v>1</v>
      </c>
      <c r="E165" s="55" t="str">
        <f t="shared" ca="1" si="5"/>
        <v/>
      </c>
      <c r="F165" s="56"/>
      <c r="H165"/>
      <c r="I165"/>
    </row>
    <row r="166" spans="1:9">
      <c r="A166" s="53" t="s">
        <v>304</v>
      </c>
      <c r="B166" s="45" t="s">
        <v>304</v>
      </c>
      <c r="C166" s="53">
        <f>ERROR.TYPE(NA())</f>
        <v>7</v>
      </c>
      <c r="D166" s="54" t="b">
        <f t="shared" ca="1" si="4"/>
        <v>1</v>
      </c>
      <c r="E166" s="55" t="str">
        <f t="shared" ca="1" si="5"/>
        <v/>
      </c>
      <c r="F166" s="56"/>
      <c r="H166"/>
      <c r="I166"/>
    </row>
    <row r="167" spans="1:9" ht="43.2">
      <c r="A167" s="53" t="s">
        <v>305</v>
      </c>
      <c r="B167" s="45" t="s">
        <v>305</v>
      </c>
      <c r="C167" s="53" t="e" cm="1">
        <f t="array" aca="1" ref="C167" ca="1">EUROCONVERT(1,"EUR","DEM")</f>
        <v>#NAME?</v>
      </c>
      <c r="D167" s="54" t="b">
        <f t="shared" ca="1" si="4"/>
        <v>0</v>
      </c>
      <c r="E167" s="55" t="str">
        <f t="shared" ca="1" si="5"/>
        <v>EUROCONVERT</v>
      </c>
      <c r="F167" s="56" t="s">
        <v>306</v>
      </c>
      <c r="H167"/>
      <c r="I167"/>
    </row>
    <row r="168" spans="1:9">
      <c r="A168" s="53" t="s">
        <v>307</v>
      </c>
      <c r="B168" s="45" t="s">
        <v>307</v>
      </c>
      <c r="C168" s="53">
        <f>EVEN(1)</f>
        <v>2</v>
      </c>
      <c r="D168" s="54" t="b">
        <f t="shared" ca="1" si="4"/>
        <v>1</v>
      </c>
      <c r="E168" s="55" t="str">
        <f t="shared" ca="1" si="5"/>
        <v/>
      </c>
      <c r="F168" s="56"/>
      <c r="H168"/>
      <c r="I168"/>
    </row>
    <row r="169" spans="1:9">
      <c r="A169" s="53" t="s">
        <v>308</v>
      </c>
      <c r="B169" s="45" t="s">
        <v>308</v>
      </c>
      <c r="C169" s="53" t="b">
        <f>EXACT("a","a")</f>
        <v>1</v>
      </c>
      <c r="D169" s="54" t="b">
        <f t="shared" ca="1" si="4"/>
        <v>1</v>
      </c>
      <c r="E169" s="55" t="str">
        <f t="shared" ca="1" si="5"/>
        <v/>
      </c>
      <c r="F169" s="56"/>
      <c r="H169"/>
      <c r="I169"/>
    </row>
    <row r="170" spans="1:9">
      <c r="A170" s="53" t="s">
        <v>309</v>
      </c>
      <c r="B170" s="45" t="s">
        <v>309</v>
      </c>
      <c r="C170" s="53">
        <f>EXP(1)</f>
        <v>2.7182818284590451</v>
      </c>
      <c r="D170" s="54" t="b">
        <f t="shared" ca="1" si="4"/>
        <v>1</v>
      </c>
      <c r="E170" s="55" t="str">
        <f t="shared" ca="1" si="5"/>
        <v/>
      </c>
      <c r="F170" s="56"/>
      <c r="H170"/>
      <c r="I170"/>
    </row>
    <row r="171" spans="1:9">
      <c r="A171" s="53" t="s">
        <v>310</v>
      </c>
      <c r="B171" s="45" t="s">
        <v>310</v>
      </c>
      <c r="C171" s="53" cm="1">
        <f t="array" ref="C171">_xlfn.EXPAND(1,1,1)</f>
        <v>1</v>
      </c>
      <c r="D171" s="54" t="b">
        <f t="shared" ca="1" si="4"/>
        <v>1</v>
      </c>
      <c r="E171" s="55" t="str">
        <f t="shared" ca="1" si="5"/>
        <v/>
      </c>
      <c r="F171" s="56"/>
      <c r="H171"/>
      <c r="I171"/>
    </row>
    <row r="172" spans="1:9">
      <c r="A172" s="53" t="s">
        <v>311</v>
      </c>
      <c r="B172" s="45" t="s">
        <v>311</v>
      </c>
      <c r="C172" s="53">
        <f>_xlfn.EXPON.DIST(1,1,TRUE)</f>
        <v>0.63212055882855767</v>
      </c>
      <c r="D172" s="54" t="b">
        <f t="shared" ca="1" si="4"/>
        <v>1</v>
      </c>
      <c r="E172" s="55" t="str">
        <f t="shared" ca="1" si="5"/>
        <v/>
      </c>
      <c r="F172" s="56"/>
      <c r="H172"/>
      <c r="I172"/>
    </row>
    <row r="173" spans="1:9">
      <c r="A173" s="53" t="s">
        <v>312</v>
      </c>
      <c r="B173" s="45" t="s">
        <v>312</v>
      </c>
      <c r="C173" s="53">
        <f>EXPONDIST(1,1,TRUE)</f>
        <v>0.63212055882855767</v>
      </c>
      <c r="D173" s="54" t="b">
        <f t="shared" ca="1" si="4"/>
        <v>1</v>
      </c>
      <c r="E173" s="55" t="str">
        <f t="shared" ca="1" si="5"/>
        <v/>
      </c>
      <c r="F173" s="56"/>
      <c r="H173"/>
      <c r="I173"/>
    </row>
    <row r="174" spans="1:9">
      <c r="A174" s="53" t="s">
        <v>313</v>
      </c>
      <c r="B174" s="45" t="s">
        <v>313</v>
      </c>
      <c r="C174" s="53">
        <f>_xlfn.F.DIST(1,1,1,TRUE)</f>
        <v>0.50000000000000011</v>
      </c>
      <c r="D174" s="54" t="b">
        <f t="shared" ca="1" si="4"/>
        <v>1</v>
      </c>
      <c r="E174" s="55" t="str">
        <f t="shared" ca="1" si="5"/>
        <v/>
      </c>
      <c r="F174" s="56"/>
      <c r="H174"/>
      <c r="I174"/>
    </row>
    <row r="175" spans="1:9">
      <c r="A175" s="53" t="s">
        <v>314</v>
      </c>
      <c r="B175" s="45" t="s">
        <v>314</v>
      </c>
      <c r="C175" s="53">
        <f>_xlfn.F.DIST.RT(1,1,1)</f>
        <v>0.49999999999999989</v>
      </c>
      <c r="D175" s="54" t="b">
        <f t="shared" ca="1" si="4"/>
        <v>1</v>
      </c>
      <c r="E175" s="55" t="str">
        <f t="shared" ca="1" si="5"/>
        <v/>
      </c>
      <c r="F175" s="56"/>
      <c r="H175"/>
      <c r="I175"/>
    </row>
    <row r="176" spans="1:9">
      <c r="A176" s="53" t="s">
        <v>315</v>
      </c>
      <c r="B176" s="45" t="s">
        <v>315</v>
      </c>
      <c r="C176" s="53">
        <f>_xlfn.F.INV(0.5,1,1)</f>
        <v>0.99999999999999989</v>
      </c>
      <c r="D176" s="54" t="b">
        <f t="shared" ca="1" si="4"/>
        <v>1</v>
      </c>
      <c r="E176" s="55" t="str">
        <f t="shared" ca="1" si="5"/>
        <v/>
      </c>
      <c r="F176" s="56"/>
      <c r="H176"/>
      <c r="I176"/>
    </row>
    <row r="177" spans="1:9">
      <c r="A177" s="53" t="s">
        <v>316</v>
      </c>
      <c r="B177" s="45" t="s">
        <v>316</v>
      </c>
      <c r="C177" s="53">
        <f>_xlfn.F.INV.RT(0.5,1,1)</f>
        <v>1</v>
      </c>
      <c r="D177" s="54" t="b">
        <f t="shared" ca="1" si="4"/>
        <v>1</v>
      </c>
      <c r="E177" s="55" t="str">
        <f t="shared" ca="1" si="5"/>
        <v/>
      </c>
      <c r="F177" s="56"/>
      <c r="H177"/>
      <c r="I177"/>
    </row>
    <row r="178" spans="1:9">
      <c r="A178" s="53" t="s">
        <v>317</v>
      </c>
      <c r="B178" s="45" t="s">
        <v>317</v>
      </c>
      <c r="C178" s="53">
        <f>_xlfn.F.TEST({1,2},{1,2})</f>
        <v>0.99999999999999978</v>
      </c>
      <c r="D178" s="54" t="b">
        <f t="shared" ca="1" si="4"/>
        <v>1</v>
      </c>
      <c r="E178" s="55" t="str">
        <f t="shared" ca="1" si="5"/>
        <v/>
      </c>
      <c r="F178" s="56"/>
      <c r="H178"/>
      <c r="I178"/>
    </row>
    <row r="179" spans="1:9">
      <c r="A179" s="53" t="s">
        <v>318</v>
      </c>
      <c r="B179" s="45" t="s">
        <v>318</v>
      </c>
      <c r="C179" s="53">
        <f>FACT(1)</f>
        <v>1</v>
      </c>
      <c r="D179" s="54" t="b">
        <f t="shared" ca="1" si="4"/>
        <v>1</v>
      </c>
      <c r="E179" s="55" t="str">
        <f t="shared" ca="1" si="5"/>
        <v/>
      </c>
      <c r="F179" s="56"/>
      <c r="H179"/>
      <c r="I179"/>
    </row>
    <row r="180" spans="1:9">
      <c r="A180" s="53" t="s">
        <v>319</v>
      </c>
      <c r="B180" s="45" t="s">
        <v>319</v>
      </c>
      <c r="C180" s="53">
        <f>FACTDOUBLE(1)</f>
        <v>1</v>
      </c>
      <c r="D180" s="54" t="b">
        <f t="shared" ca="1" si="4"/>
        <v>1</v>
      </c>
      <c r="E180" s="55" t="str">
        <f t="shared" ca="1" si="5"/>
        <v/>
      </c>
      <c r="F180" s="56"/>
      <c r="H180"/>
      <c r="I180"/>
    </row>
    <row r="181" spans="1:9">
      <c r="A181" s="53" t="s">
        <v>320</v>
      </c>
      <c r="B181" s="75" t="s">
        <v>320</v>
      </c>
      <c r="C181" s="53" t="b">
        <f>FALSE()</f>
        <v>0</v>
      </c>
      <c r="D181" s="54" t="b">
        <f t="shared" ca="1" si="4"/>
        <v>1</v>
      </c>
      <c r="E181" s="55" t="str">
        <f t="shared" ca="1" si="5"/>
        <v/>
      </c>
      <c r="F181" s="56"/>
      <c r="H181"/>
      <c r="I181"/>
    </row>
    <row r="182" spans="1:9">
      <c r="A182" s="53" t="s">
        <v>321</v>
      </c>
      <c r="B182" s="45" t="s">
        <v>321</v>
      </c>
      <c r="C182" s="53">
        <f>FDIST(1,1,1)</f>
        <v>0.49999999999999989</v>
      </c>
      <c r="D182" s="54" t="b">
        <f t="shared" ca="1" si="4"/>
        <v>1</v>
      </c>
      <c r="E182" s="55" t="str">
        <f t="shared" ca="1" si="5"/>
        <v/>
      </c>
      <c r="F182" s="56"/>
      <c r="H182"/>
      <c r="I182"/>
    </row>
    <row r="183" spans="1:9">
      <c r="A183" s="53" t="s">
        <v>322</v>
      </c>
      <c r="B183" s="45" t="s">
        <v>322</v>
      </c>
      <c r="C183" s="53" t="e" cm="1" vm="1">
        <f t="array" ref="C183">_xlfn.FIELDVALUE("x","x")</f>
        <v>#VALUE!</v>
      </c>
      <c r="D183" s="54" t="b">
        <f t="shared" ca="1" si="4"/>
        <v>1</v>
      </c>
      <c r="E183" s="55" t="str">
        <f t="shared" ca="1" si="5"/>
        <v/>
      </c>
      <c r="F183" s="56"/>
      <c r="H183"/>
      <c r="I183"/>
    </row>
    <row r="184" spans="1:9">
      <c r="A184" s="53" t="s">
        <v>323</v>
      </c>
      <c r="B184" s="45" t="s">
        <v>323</v>
      </c>
      <c r="C184" s="53" cm="1">
        <f t="array" ref="C184">_xlfn._xlws.FILTER(1,TRUE)</f>
        <v>1</v>
      </c>
      <c r="D184" s="54" t="b">
        <f t="shared" ca="1" si="4"/>
        <v>1</v>
      </c>
      <c r="E184" s="55" t="str">
        <f t="shared" ca="1" si="5"/>
        <v/>
      </c>
      <c r="F184" s="56"/>
      <c r="H184"/>
      <c r="I184"/>
    </row>
    <row r="185" spans="1:9">
      <c r="A185" s="53" t="s">
        <v>324</v>
      </c>
      <c r="B185" s="45" t="s">
        <v>324</v>
      </c>
      <c r="C185" s="53" cm="1">
        <f t="array" ref="C185">_xlfn.FILTERXML("&lt;a&gt;1&lt;/a&gt;","//a")</f>
        <v>1</v>
      </c>
      <c r="D185" s="54" t="b">
        <f t="shared" ca="1" si="4"/>
        <v>1</v>
      </c>
      <c r="E185" s="55" t="str">
        <f t="shared" ca="1" si="5"/>
        <v/>
      </c>
      <c r="F185" s="56"/>
      <c r="H185"/>
      <c r="I185"/>
    </row>
    <row r="186" spans="1:9">
      <c r="A186" s="53" t="s">
        <v>325</v>
      </c>
      <c r="C186" s="53">
        <f>FIND("a","a")</f>
        <v>1</v>
      </c>
      <c r="D186" s="54" t="b">
        <f t="shared" ca="1" si="4"/>
        <v>1</v>
      </c>
      <c r="E186" s="55" t="str">
        <f t="shared" ca="1" si="5"/>
        <v/>
      </c>
      <c r="F186" s="56"/>
      <c r="H186"/>
      <c r="I186"/>
    </row>
    <row r="187" spans="1:9">
      <c r="A187" s="53" t="s">
        <v>326</v>
      </c>
      <c r="C187" s="53">
        <f>FINDB("a","a")</f>
        <v>1</v>
      </c>
      <c r="D187" s="54" t="b">
        <f t="shared" ca="1" si="4"/>
        <v>1</v>
      </c>
      <c r="E187" s="55" t="str">
        <f t="shared" ca="1" si="5"/>
        <v/>
      </c>
      <c r="F187" s="56"/>
      <c r="H187"/>
      <c r="I187"/>
    </row>
    <row r="188" spans="1:9">
      <c r="A188" s="53" t="s">
        <v>327</v>
      </c>
      <c r="B188" s="45" t="s">
        <v>327</v>
      </c>
      <c r="C188" s="53">
        <f>FINV(0.5,1,1)</f>
        <v>1</v>
      </c>
      <c r="D188" s="54" t="b">
        <f t="shared" ca="1" si="4"/>
        <v>1</v>
      </c>
      <c r="E188" s="55" t="str">
        <f t="shared" ca="1" si="5"/>
        <v/>
      </c>
      <c r="F188" s="56"/>
      <c r="H188"/>
      <c r="I188"/>
    </row>
    <row r="189" spans="1:9">
      <c r="A189" s="53" t="s">
        <v>328</v>
      </c>
      <c r="B189" s="45" t="s">
        <v>328</v>
      </c>
      <c r="C189" s="53">
        <f>FISHER(0.5)</f>
        <v>0.54930614433405489</v>
      </c>
      <c r="D189" s="54" t="b">
        <f t="shared" ca="1" si="4"/>
        <v>1</v>
      </c>
      <c r="E189" s="55" t="str">
        <f t="shared" ca="1" si="5"/>
        <v/>
      </c>
      <c r="F189" s="56"/>
      <c r="H189"/>
      <c r="I189"/>
    </row>
    <row r="190" spans="1:9">
      <c r="A190" s="53" t="s">
        <v>329</v>
      </c>
      <c r="B190" s="45" t="s">
        <v>329</v>
      </c>
      <c r="C190" s="53">
        <f>FISHERINV(1)</f>
        <v>0.76159415595576485</v>
      </c>
      <c r="D190" s="54" t="b">
        <f t="shared" ca="1" si="4"/>
        <v>1</v>
      </c>
      <c r="E190" s="55" t="str">
        <f t="shared" ca="1" si="5"/>
        <v/>
      </c>
      <c r="F190" s="56"/>
      <c r="H190"/>
      <c r="I190"/>
    </row>
    <row r="191" spans="1:9">
      <c r="A191" s="53" t="s">
        <v>330</v>
      </c>
      <c r="B191" s="45" t="s">
        <v>330</v>
      </c>
      <c r="C191" s="53" t="str">
        <f>FIXED(1)</f>
        <v>1.00</v>
      </c>
      <c r="D191" s="54" t="b">
        <f t="shared" ca="1" si="4"/>
        <v>1</v>
      </c>
      <c r="E191" s="55" t="str">
        <f t="shared" ca="1" si="5"/>
        <v/>
      </c>
      <c r="F191" s="56"/>
      <c r="H191"/>
      <c r="I191"/>
    </row>
    <row r="192" spans="1:9">
      <c r="A192" s="53" t="s">
        <v>331</v>
      </c>
      <c r="B192" s="45" t="s">
        <v>331</v>
      </c>
      <c r="C192" s="53">
        <f>FLOOR(1,1)</f>
        <v>1</v>
      </c>
      <c r="D192" s="54" t="b">
        <f t="shared" ca="1" si="4"/>
        <v>1</v>
      </c>
      <c r="E192" s="55" t="str">
        <f t="shared" ca="1" si="5"/>
        <v/>
      </c>
      <c r="F192" s="56"/>
      <c r="H192"/>
      <c r="I192"/>
    </row>
    <row r="193" spans="1:9">
      <c r="A193" s="53" t="s">
        <v>332</v>
      </c>
      <c r="B193" s="45" t="s">
        <v>332</v>
      </c>
      <c r="C193" s="53">
        <f>_xlfn.FLOOR.MATH(1)</f>
        <v>1</v>
      </c>
      <c r="D193" s="54" t="b">
        <f t="shared" ca="1" si="4"/>
        <v>1</v>
      </c>
      <c r="E193" s="55" t="str">
        <f t="shared" ca="1" si="5"/>
        <v/>
      </c>
      <c r="F193" s="56"/>
      <c r="H193"/>
      <c r="I193"/>
    </row>
    <row r="194" spans="1:9">
      <c r="A194" s="53" t="s">
        <v>333</v>
      </c>
      <c r="B194" s="45" t="s">
        <v>333</v>
      </c>
      <c r="C194" s="53">
        <f>_xlfn.FLOOR.PRECISE(1)</f>
        <v>1</v>
      </c>
      <c r="D194" s="54" t="b">
        <f t="shared" ca="1" si="4"/>
        <v>1</v>
      </c>
      <c r="E194" s="55" t="str">
        <f t="shared" ca="1" si="5"/>
        <v/>
      </c>
      <c r="F194" s="56"/>
      <c r="H194"/>
      <c r="I194"/>
    </row>
    <row r="195" spans="1:9">
      <c r="A195" s="53" t="s">
        <v>334</v>
      </c>
      <c r="B195" s="45" t="s">
        <v>334</v>
      </c>
      <c r="C195" s="53">
        <f>FORECAST(3,{1,2},{1,2})</f>
        <v>3</v>
      </c>
      <c r="D195" s="54" t="b">
        <f t="shared" ca="1" si="4"/>
        <v>1</v>
      </c>
      <c r="E195" s="55" t="str">
        <f t="shared" ca="1" si="5"/>
        <v/>
      </c>
      <c r="F195" s="56"/>
      <c r="H195"/>
      <c r="I195"/>
    </row>
    <row r="196" spans="1:9">
      <c r="A196" s="53" t="s">
        <v>335</v>
      </c>
      <c r="B196" s="45" t="s">
        <v>335</v>
      </c>
      <c r="C196" s="53">
        <f>_xlfn.FORECAST.ETS(4,{1,2,3},{1,2,3})</f>
        <v>4</v>
      </c>
      <c r="D196" s="54" t="b">
        <f t="shared" ca="1" si="4"/>
        <v>1</v>
      </c>
      <c r="E196" s="55" t="str">
        <f t="shared" ca="1" si="5"/>
        <v/>
      </c>
      <c r="F196" s="56"/>
      <c r="H196"/>
      <c r="I196"/>
    </row>
    <row r="197" spans="1:9">
      <c r="A197" s="53" t="s">
        <v>336</v>
      </c>
      <c r="B197" s="45" t="s">
        <v>336</v>
      </c>
      <c r="C197" s="53">
        <f>_xlfn.FORECAST.ETS.CONFINT(4,{1,2,3},{1,2,3})</f>
        <v>0</v>
      </c>
      <c r="D197" s="54" t="b">
        <f t="shared" ca="1" si="4"/>
        <v>1</v>
      </c>
      <c r="E197" s="55" t="str">
        <f t="shared" ca="1" si="5"/>
        <v/>
      </c>
      <c r="F197" s="56"/>
      <c r="H197"/>
      <c r="I197"/>
    </row>
    <row r="198" spans="1:9">
      <c r="A198" s="53" t="s">
        <v>337</v>
      </c>
      <c r="B198" s="45" t="s">
        <v>337</v>
      </c>
      <c r="C198" s="53">
        <f>_xlfn.FORECAST.ETS.SEASONALITY({1,2,3},{1,2,3})</f>
        <v>0</v>
      </c>
      <c r="D198" s="54" t="b">
        <f t="shared" ca="1" si="4"/>
        <v>1</v>
      </c>
      <c r="E198" s="55" t="str">
        <f t="shared" ca="1" si="5"/>
        <v/>
      </c>
      <c r="F198" s="56"/>
      <c r="H198"/>
      <c r="I198"/>
    </row>
    <row r="199" spans="1:9">
      <c r="A199" s="53" t="s">
        <v>338</v>
      </c>
      <c r="B199" s="45" t="s">
        <v>338</v>
      </c>
      <c r="C199" s="53">
        <f>_xlfn.FORECAST.ETS.STAT({1,2,3},{1,2,3},1)</f>
        <v>0.9</v>
      </c>
      <c r="D199" s="54" t="b">
        <f t="shared" ca="1" si="4"/>
        <v>1</v>
      </c>
      <c r="E199" s="55" t="str">
        <f t="shared" ca="1" si="5"/>
        <v/>
      </c>
      <c r="F199" s="56"/>
      <c r="H199"/>
      <c r="I199"/>
    </row>
    <row r="200" spans="1:9">
      <c r="A200" s="53" t="s">
        <v>339</v>
      </c>
      <c r="B200" s="45" t="s">
        <v>339</v>
      </c>
      <c r="C200" s="53">
        <f>_xlfn.FORECAST.LINEAR(3,{1,2},{1,2})</f>
        <v>3</v>
      </c>
      <c r="D200" s="54" t="b">
        <f t="shared" ca="1" si="4"/>
        <v>1</v>
      </c>
      <c r="E200" s="55" t="str">
        <f t="shared" ca="1" si="5"/>
        <v/>
      </c>
      <c r="F200" s="56"/>
      <c r="H200"/>
      <c r="I200"/>
    </row>
    <row r="201" spans="1:9">
      <c r="A201" s="53" t="s">
        <v>733</v>
      </c>
      <c r="B201" s="45" t="s">
        <v>733</v>
      </c>
      <c r="C201" s="53" t="str">
        <f ca="1">_xlfn.FORMULATEXT(D201)</f>
        <v>=IF(NOT(ISFORMULA(C201)),"NOT TESTED",IFERROR(AND(ERROR.TYPE(C201)&lt;&gt;5,ISERROR(SEARCH("xlfn",FORMULATEXT(C201)))),TRUE))</v>
      </c>
      <c r="D201" s="54" t="b">
        <f t="shared" ca="1" si="4"/>
        <v>1</v>
      </c>
      <c r="E201" s="55" t="str">
        <f t="shared" ca="1" si="5"/>
        <v/>
      </c>
      <c r="F201" s="56"/>
      <c r="H201"/>
      <c r="I201"/>
    </row>
    <row r="202" spans="1:9">
      <c r="A202" s="53" t="s">
        <v>340</v>
      </c>
      <c r="B202" s="45" t="s">
        <v>340</v>
      </c>
      <c r="C202" s="53" cm="1">
        <f t="array" ref="C202">INDEX(FREQUENCY({1,2},{1}),1)</f>
        <v>1</v>
      </c>
      <c r="D202" s="54" t="b">
        <f t="shared" ca="1" si="4"/>
        <v>1</v>
      </c>
      <c r="E202" s="55" t="str">
        <f t="shared" ca="1" si="5"/>
        <v/>
      </c>
      <c r="F202" s="56"/>
      <c r="H202"/>
      <c r="I202"/>
    </row>
    <row r="203" spans="1:9">
      <c r="A203" s="53" t="s">
        <v>341</v>
      </c>
      <c r="B203" s="45" t="s">
        <v>341</v>
      </c>
      <c r="C203" s="53">
        <f>FTEST({1,2},{1,2})</f>
        <v>0.99999999999999978</v>
      </c>
      <c r="D203" s="54" t="b">
        <f t="shared" ca="1" si="4"/>
        <v>1</v>
      </c>
      <c r="E203" s="55" t="str">
        <f t="shared" ca="1" si="5"/>
        <v/>
      </c>
      <c r="F203" s="56"/>
      <c r="H203"/>
      <c r="I203"/>
    </row>
    <row r="204" spans="1:9">
      <c r="A204" s="53" t="s">
        <v>342</v>
      </c>
      <c r="B204" s="45" t="s">
        <v>342</v>
      </c>
      <c r="C204" s="53">
        <f>FV(0.01,12,-100)</f>
        <v>1268.2503013196977</v>
      </c>
      <c r="D204" s="54" t="b">
        <f t="shared" ref="D204:D267" ca="1" si="6">IF(NOT(_xlfn.ISFORMULA(C204)),"NOT TESTED",IFERROR(AND(ERROR.TYPE(C204)&lt;&gt;5,ISERROR(SEARCH("xlfn",_xlfn.FORMULATEXT(C204)))),TRUE))</f>
        <v>1</v>
      </c>
      <c r="E204" s="55" t="str">
        <f t="shared" ref="E204:E267" ca="1" si="7">IF(D204="NOT TESTED","?"&amp;A204&amp;" (untested)",IF(D204=FALSE,A204,""))</f>
        <v/>
      </c>
      <c r="F204" s="56"/>
      <c r="H204"/>
      <c r="I204"/>
    </row>
    <row r="205" spans="1:9">
      <c r="A205" s="53" t="s">
        <v>343</v>
      </c>
      <c r="B205" s="45" t="s">
        <v>343</v>
      </c>
      <c r="C205" s="53">
        <f>FVSCHEDULE(100,{0.1})</f>
        <v>110.00000000000001</v>
      </c>
      <c r="D205" s="54" t="b">
        <f t="shared" ca="1" si="6"/>
        <v>1</v>
      </c>
      <c r="E205" s="55" t="str">
        <f t="shared" ca="1" si="7"/>
        <v/>
      </c>
      <c r="F205" s="56"/>
      <c r="H205"/>
      <c r="I205"/>
    </row>
    <row r="206" spans="1:9">
      <c r="A206" s="53" t="s">
        <v>344</v>
      </c>
      <c r="B206" s="45" t="s">
        <v>344</v>
      </c>
      <c r="C206" s="53">
        <f>_xlfn.GAMMA(1)</f>
        <v>1</v>
      </c>
      <c r="D206" s="54" t="b">
        <f t="shared" ca="1" si="6"/>
        <v>1</v>
      </c>
      <c r="E206" s="55" t="str">
        <f t="shared" ca="1" si="7"/>
        <v/>
      </c>
      <c r="F206" s="56"/>
      <c r="H206"/>
      <c r="I206"/>
    </row>
    <row r="207" spans="1:9">
      <c r="A207" s="53" t="s">
        <v>345</v>
      </c>
      <c r="B207" s="45" t="s">
        <v>345</v>
      </c>
      <c r="C207" s="53">
        <f>_xlfn.GAMMA.DIST(1,2,2,TRUE)</f>
        <v>9.0204010431049864E-2</v>
      </c>
      <c r="D207" s="54" t="b">
        <f t="shared" ca="1" si="6"/>
        <v>1</v>
      </c>
      <c r="E207" s="55" t="str">
        <f t="shared" ca="1" si="7"/>
        <v/>
      </c>
      <c r="F207" s="56"/>
      <c r="H207"/>
      <c r="I207"/>
    </row>
    <row r="208" spans="1:9">
      <c r="A208" s="53" t="s">
        <v>346</v>
      </c>
      <c r="B208" s="45" t="s">
        <v>346</v>
      </c>
      <c r="C208" s="53">
        <f>_xlfn.GAMMA.INV(0.5,2,2)</f>
        <v>3.3566939800333215</v>
      </c>
      <c r="D208" s="54" t="b">
        <f t="shared" ca="1" si="6"/>
        <v>1</v>
      </c>
      <c r="E208" s="55" t="str">
        <f t="shared" ca="1" si="7"/>
        <v/>
      </c>
      <c r="F208" s="56"/>
      <c r="H208"/>
      <c r="I208"/>
    </row>
    <row r="209" spans="1:9">
      <c r="A209" s="53" t="s">
        <v>347</v>
      </c>
      <c r="B209" s="45" t="s">
        <v>347</v>
      </c>
      <c r="C209" s="53">
        <f>GAMMADIST(1,2,2,TRUE)</f>
        <v>9.0204010431049864E-2</v>
      </c>
      <c r="D209" s="54" t="b">
        <f t="shared" ca="1" si="6"/>
        <v>1</v>
      </c>
      <c r="E209" s="55" t="str">
        <f t="shared" ca="1" si="7"/>
        <v/>
      </c>
      <c r="F209" s="56"/>
      <c r="H209"/>
      <c r="I209"/>
    </row>
    <row r="210" spans="1:9">
      <c r="A210" s="53" t="s">
        <v>348</v>
      </c>
      <c r="B210" s="45" t="s">
        <v>348</v>
      </c>
      <c r="C210" s="53">
        <f>GAMMAINV(0.5,2,2)</f>
        <v>3.3566939800333215</v>
      </c>
      <c r="D210" s="54" t="b">
        <f t="shared" ca="1" si="6"/>
        <v>1</v>
      </c>
      <c r="E210" s="55" t="str">
        <f t="shared" ca="1" si="7"/>
        <v/>
      </c>
      <c r="F210" s="56"/>
      <c r="H210"/>
      <c r="I210"/>
    </row>
    <row r="211" spans="1:9">
      <c r="A211" s="53" t="s">
        <v>349</v>
      </c>
      <c r="B211" s="45" t="s">
        <v>349</v>
      </c>
      <c r="C211" s="53">
        <f>GAMMALN(1)</f>
        <v>0</v>
      </c>
      <c r="D211" s="54" t="b">
        <f t="shared" ca="1" si="6"/>
        <v>1</v>
      </c>
      <c r="E211" s="55" t="str">
        <f t="shared" ca="1" si="7"/>
        <v/>
      </c>
      <c r="F211" s="56"/>
      <c r="H211"/>
      <c r="I211"/>
    </row>
    <row r="212" spans="1:9">
      <c r="A212" s="53" t="s">
        <v>350</v>
      </c>
      <c r="B212" s="45" t="s">
        <v>350</v>
      </c>
      <c r="C212" s="53">
        <f>_xlfn.GAMMALN.PRECISE(1)</f>
        <v>0</v>
      </c>
      <c r="D212" s="54" t="b">
        <f t="shared" ca="1" si="6"/>
        <v>1</v>
      </c>
      <c r="E212" s="55" t="str">
        <f t="shared" ca="1" si="7"/>
        <v/>
      </c>
      <c r="F212" s="56"/>
      <c r="H212"/>
      <c r="I212"/>
    </row>
    <row r="213" spans="1:9">
      <c r="A213" s="53" t="s">
        <v>351</v>
      </c>
      <c r="B213" s="45" t="s">
        <v>351</v>
      </c>
      <c r="C213" s="53">
        <f>_xlfn.GAUSS(1)</f>
        <v>0.34134474606854304</v>
      </c>
      <c r="D213" s="54" t="b">
        <f t="shared" ca="1" si="6"/>
        <v>1</v>
      </c>
      <c r="E213" s="55" t="str">
        <f t="shared" ca="1" si="7"/>
        <v/>
      </c>
      <c r="F213" s="56"/>
      <c r="H213"/>
      <c r="I213"/>
    </row>
    <row r="214" spans="1:9">
      <c r="A214" s="53" t="s">
        <v>352</v>
      </c>
      <c r="B214" s="45" t="s">
        <v>352</v>
      </c>
      <c r="C214" s="53">
        <f>GCD(1)</f>
        <v>1</v>
      </c>
      <c r="D214" s="54" t="b">
        <f t="shared" ca="1" si="6"/>
        <v>1</v>
      </c>
      <c r="E214" s="55" t="str">
        <f t="shared" ca="1" si="7"/>
        <v/>
      </c>
      <c r="F214" s="56"/>
      <c r="H214"/>
      <c r="I214"/>
    </row>
    <row r="215" spans="1:9">
      <c r="A215" s="53" t="s">
        <v>353</v>
      </c>
      <c r="B215" s="45" t="s">
        <v>353</v>
      </c>
      <c r="C215" s="53">
        <f>GEOMEAN(1)</f>
        <v>1</v>
      </c>
      <c r="D215" s="54" t="b">
        <f t="shared" ca="1" si="6"/>
        <v>1</v>
      </c>
      <c r="E215" s="55" t="str">
        <f t="shared" ca="1" si="7"/>
        <v/>
      </c>
      <c r="F215" s="56"/>
      <c r="H215"/>
      <c r="I215"/>
    </row>
    <row r="216" spans="1:9">
      <c r="A216" s="53" t="s">
        <v>354</v>
      </c>
      <c r="B216" s="45" t="s">
        <v>354</v>
      </c>
      <c r="C216" s="53">
        <f>GESTEP(1)</f>
        <v>1</v>
      </c>
      <c r="D216" s="54" t="b">
        <f t="shared" ca="1" si="6"/>
        <v>1</v>
      </c>
      <c r="E216" s="55" t="str">
        <f t="shared" ca="1" si="7"/>
        <v/>
      </c>
      <c r="F216" s="56"/>
      <c r="H216"/>
      <c r="I216"/>
    </row>
    <row r="217" spans="1:9" ht="57.6">
      <c r="A217" s="53" t="s">
        <v>355</v>
      </c>
      <c r="B217" s="45" t="s">
        <v>355</v>
      </c>
      <c r="C217" s="53" t="e">
        <f>GETPIVOTDATA("x",A10)</f>
        <v>#REF!</v>
      </c>
      <c r="D217" s="54" t="b">
        <f t="shared" ca="1" si="6"/>
        <v>1</v>
      </c>
      <c r="E217" s="55" t="str">
        <f t="shared" ca="1" si="7"/>
        <v/>
      </c>
      <c r="F217" s="56" t="s">
        <v>356</v>
      </c>
      <c r="H217"/>
      <c r="I217"/>
    </row>
    <row r="218" spans="1:9">
      <c r="A218" s="53" t="s">
        <v>357</v>
      </c>
      <c r="B218" s="45" t="s">
        <v>357</v>
      </c>
      <c r="C218" s="53">
        <f>INDEX(_xlfn.GROUPBY({1},{1},_xleta.SUM),1,1)</f>
        <v>1</v>
      </c>
      <c r="D218" s="54" t="b">
        <f t="shared" ca="1" si="6"/>
        <v>1</v>
      </c>
      <c r="E218" s="55" t="str">
        <f t="shared" ca="1" si="7"/>
        <v/>
      </c>
      <c r="F218" s="56"/>
      <c r="H218"/>
      <c r="I218"/>
    </row>
    <row r="219" spans="1:9">
      <c r="A219" s="53" t="s">
        <v>358</v>
      </c>
      <c r="B219" s="45" t="s">
        <v>358</v>
      </c>
      <c r="C219" s="53" cm="1">
        <f t="array" ref="C219">GROWTH(1)</f>
        <v>1</v>
      </c>
      <c r="D219" s="54" t="b">
        <f t="shared" ca="1" si="6"/>
        <v>1</v>
      </c>
      <c r="E219" s="55" t="str">
        <f t="shared" ca="1" si="7"/>
        <v/>
      </c>
      <c r="F219" s="56"/>
      <c r="H219"/>
      <c r="I219"/>
    </row>
    <row r="220" spans="1:9">
      <c r="A220" s="53" t="s">
        <v>359</v>
      </c>
      <c r="B220" s="45" t="s">
        <v>359</v>
      </c>
      <c r="C220" s="53">
        <f>HARMEAN(1)</f>
        <v>1</v>
      </c>
      <c r="D220" s="54" t="b">
        <f t="shared" ca="1" si="6"/>
        <v>1</v>
      </c>
      <c r="E220" s="55" t="str">
        <f t="shared" ca="1" si="7"/>
        <v/>
      </c>
      <c r="F220" s="56"/>
      <c r="H220"/>
      <c r="I220"/>
    </row>
    <row r="221" spans="1:9">
      <c r="A221" s="53" t="s">
        <v>360</v>
      </c>
      <c r="B221" s="45" t="s">
        <v>360</v>
      </c>
      <c r="C221" s="53" t="str">
        <f>HEX2BIN(1)</f>
        <v>1</v>
      </c>
      <c r="D221" s="54" t="b">
        <f t="shared" ca="1" si="6"/>
        <v>1</v>
      </c>
      <c r="E221" s="55" t="str">
        <f t="shared" ca="1" si="7"/>
        <v/>
      </c>
      <c r="F221" s="56"/>
      <c r="H221"/>
      <c r="I221"/>
    </row>
    <row r="222" spans="1:9">
      <c r="A222" s="53" t="s">
        <v>361</v>
      </c>
      <c r="B222" s="45" t="s">
        <v>361</v>
      </c>
      <c r="C222" s="53">
        <f>HEX2DEC(1)</f>
        <v>1</v>
      </c>
      <c r="D222" s="54" t="b">
        <f t="shared" ca="1" si="6"/>
        <v>1</v>
      </c>
      <c r="E222" s="55" t="str">
        <f t="shared" ca="1" si="7"/>
        <v/>
      </c>
      <c r="F222" s="56"/>
      <c r="H222"/>
      <c r="I222"/>
    </row>
    <row r="223" spans="1:9">
      <c r="A223" s="53" t="s">
        <v>362</v>
      </c>
      <c r="B223" s="45" t="s">
        <v>362</v>
      </c>
      <c r="C223" s="53" t="str">
        <f>HEX2OCT(1)</f>
        <v>1</v>
      </c>
      <c r="D223" s="54" t="b">
        <f t="shared" ca="1" si="6"/>
        <v>1</v>
      </c>
      <c r="E223" s="55" t="str">
        <f t="shared" ca="1" si="7"/>
        <v/>
      </c>
      <c r="F223" s="56"/>
      <c r="H223"/>
      <c r="I223"/>
    </row>
    <row r="224" spans="1:9">
      <c r="A224" s="53" t="s">
        <v>363</v>
      </c>
      <c r="B224" s="45" t="s">
        <v>363</v>
      </c>
      <c r="C224" s="53">
        <f>HLOOKUP(1,{1;1},1,FALSE)</f>
        <v>1</v>
      </c>
      <c r="D224" s="54" t="b">
        <f t="shared" ca="1" si="6"/>
        <v>1</v>
      </c>
      <c r="E224" s="55" t="str">
        <f t="shared" ca="1" si="7"/>
        <v/>
      </c>
      <c r="F224" s="56"/>
      <c r="H224"/>
      <c r="I224"/>
    </row>
    <row r="225" spans="1:9">
      <c r="A225" s="53" t="s">
        <v>364</v>
      </c>
      <c r="B225" s="45" t="s">
        <v>364</v>
      </c>
      <c r="C225" s="53">
        <f>HOUR(1)</f>
        <v>0</v>
      </c>
      <c r="D225" s="54" t="b">
        <f t="shared" ca="1" si="6"/>
        <v>1</v>
      </c>
      <c r="E225" s="55" t="str">
        <f t="shared" ca="1" si="7"/>
        <v/>
      </c>
      <c r="F225" s="56"/>
      <c r="H225"/>
      <c r="I225"/>
    </row>
    <row r="226" spans="1:9">
      <c r="A226" s="53" t="s">
        <v>365</v>
      </c>
      <c r="B226" s="45" t="s">
        <v>365</v>
      </c>
      <c r="C226" s="53" cm="1">
        <f t="array" ref="C226">_xlfn.HSTACK(1)</f>
        <v>1</v>
      </c>
      <c r="D226" s="54" t="b">
        <f t="shared" ca="1" si="6"/>
        <v>1</v>
      </c>
      <c r="E226" s="55" t="str">
        <f t="shared" ca="1" si="7"/>
        <v/>
      </c>
      <c r="F226" s="56"/>
      <c r="H226"/>
      <c r="I226"/>
    </row>
    <row r="227" spans="1:9">
      <c r="A227" s="53" t="s">
        <v>366</v>
      </c>
      <c r="B227" s="45" t="s">
        <v>366</v>
      </c>
      <c r="C227" s="58" t="str">
        <f>HYPERLINK("http://example.com")</f>
        <v>http://example.com</v>
      </c>
      <c r="D227" s="54" t="b">
        <f t="shared" ca="1" si="6"/>
        <v>1</v>
      </c>
      <c r="E227" s="55" t="str">
        <f t="shared" ca="1" si="7"/>
        <v/>
      </c>
      <c r="F227" s="56"/>
      <c r="H227"/>
      <c r="I227"/>
    </row>
    <row r="228" spans="1:9">
      <c r="A228" s="53" t="s">
        <v>367</v>
      </c>
      <c r="B228" s="45" t="s">
        <v>367</v>
      </c>
      <c r="C228" s="53">
        <f>_xlfn.HYPGEOM.DIST(1,2,2,4,TRUE)</f>
        <v>0.83333333333333315</v>
      </c>
      <c r="D228" s="54" t="b">
        <f t="shared" ca="1" si="6"/>
        <v>1</v>
      </c>
      <c r="E228" s="55" t="str">
        <f t="shared" ca="1" si="7"/>
        <v/>
      </c>
      <c r="F228" s="56"/>
      <c r="H228"/>
      <c r="I228"/>
    </row>
    <row r="229" spans="1:9">
      <c r="A229" s="53" t="s">
        <v>368</v>
      </c>
      <c r="B229" s="45" t="s">
        <v>368</v>
      </c>
      <c r="C229" s="53">
        <f>HYPGEOMDIST(1,2,2,4)</f>
        <v>0.66666666666666652</v>
      </c>
      <c r="D229" s="54" t="b">
        <f t="shared" ca="1" si="6"/>
        <v>1</v>
      </c>
      <c r="E229" s="55" t="str">
        <f t="shared" ca="1" si="7"/>
        <v/>
      </c>
      <c r="F229" s="56"/>
      <c r="H229"/>
      <c r="I229"/>
    </row>
    <row r="230" spans="1:9">
      <c r="A230" s="53" t="s">
        <v>369</v>
      </c>
      <c r="B230" s="45" t="s">
        <v>369</v>
      </c>
      <c r="C230" s="53">
        <f>IF(TRUE,1,0)</f>
        <v>1</v>
      </c>
      <c r="D230" s="54" t="b">
        <f t="shared" ca="1" si="6"/>
        <v>1</v>
      </c>
      <c r="E230" s="55" t="str">
        <f t="shared" ca="1" si="7"/>
        <v/>
      </c>
      <c r="F230" s="56"/>
      <c r="H230"/>
      <c r="I230"/>
    </row>
    <row r="231" spans="1:9">
      <c r="A231" s="53" t="s">
        <v>370</v>
      </c>
      <c r="B231" s="45" t="s">
        <v>370</v>
      </c>
      <c r="C231" s="53">
        <f>IFERROR(1,0)</f>
        <v>1</v>
      </c>
      <c r="D231" s="54" t="b">
        <f t="shared" ca="1" si="6"/>
        <v>1</v>
      </c>
      <c r="E231" s="55" t="str">
        <f t="shared" ca="1" si="7"/>
        <v/>
      </c>
      <c r="F231" s="56"/>
      <c r="H231"/>
      <c r="I231"/>
    </row>
    <row r="232" spans="1:9">
      <c r="A232" s="53" t="s">
        <v>371</v>
      </c>
      <c r="B232" s="45" t="s">
        <v>371</v>
      </c>
      <c r="C232" s="53">
        <f>_xlfn.IFNA(1,0)</f>
        <v>1</v>
      </c>
      <c r="D232" s="54" t="b">
        <f t="shared" ca="1" si="6"/>
        <v>1</v>
      </c>
      <c r="E232" s="55" t="str">
        <f t="shared" ca="1" si="7"/>
        <v/>
      </c>
      <c r="F232" s="56"/>
      <c r="H232"/>
      <c r="I232"/>
    </row>
    <row r="233" spans="1:9">
      <c r="A233" s="53" t="s">
        <v>372</v>
      </c>
      <c r="B233" s="45" t="s">
        <v>372</v>
      </c>
      <c r="C233" s="53" cm="1">
        <f t="array" ref="C233">_xlfn.IFS(TRUE,1)</f>
        <v>1</v>
      </c>
      <c r="D233" s="54" t="b">
        <f t="shared" ca="1" si="6"/>
        <v>1</v>
      </c>
      <c r="E233" s="55" t="str">
        <f t="shared" ca="1" si="7"/>
        <v/>
      </c>
      <c r="F233" s="56"/>
      <c r="H233"/>
      <c r="I233"/>
    </row>
    <row r="234" spans="1:9">
      <c r="A234" s="53" t="s">
        <v>373</v>
      </c>
      <c r="B234" s="45" t="s">
        <v>373</v>
      </c>
      <c r="C234" s="53">
        <f>IMABS(1)</f>
        <v>1</v>
      </c>
      <c r="D234" s="54" t="b">
        <f t="shared" ca="1" si="6"/>
        <v>1</v>
      </c>
      <c r="E234" s="55" t="str">
        <f t="shared" ca="1" si="7"/>
        <v/>
      </c>
      <c r="F234" s="56"/>
      <c r="H234"/>
      <c r="I234"/>
    </row>
    <row r="235" spans="1:9">
      <c r="A235" s="53" t="s">
        <v>374</v>
      </c>
      <c r="B235" s="45" t="s">
        <v>374</v>
      </c>
      <c r="C235" s="53" t="e" vm="2">
        <f ca="1">_xlfn.IMAGE("https://example.com/1.jpg")</f>
        <v>#VALUE!</v>
      </c>
      <c r="D235" s="54" t="b">
        <f t="shared" ca="1" si="6"/>
        <v>1</v>
      </c>
      <c r="E235" s="55" t="str">
        <f t="shared" ca="1" si="7"/>
        <v/>
      </c>
      <c r="F235" s="56"/>
      <c r="H235"/>
      <c r="I235"/>
    </row>
    <row r="236" spans="1:9">
      <c r="A236" s="53" t="s">
        <v>375</v>
      </c>
      <c r="B236" s="45" t="s">
        <v>375</v>
      </c>
      <c r="C236" s="53">
        <f>IMAGINARY(1)</f>
        <v>0</v>
      </c>
      <c r="D236" s="54" t="b">
        <f t="shared" ca="1" si="6"/>
        <v>1</v>
      </c>
      <c r="E236" s="55" t="str">
        <f t="shared" ca="1" si="7"/>
        <v/>
      </c>
      <c r="F236" s="56"/>
      <c r="H236"/>
      <c r="I236"/>
    </row>
    <row r="237" spans="1:9">
      <c r="A237" s="53" t="s">
        <v>376</v>
      </c>
      <c r="B237" s="45" t="s">
        <v>376</v>
      </c>
      <c r="C237" s="53">
        <f>IMARGUMENT(1)</f>
        <v>0</v>
      </c>
      <c r="D237" s="54" t="b">
        <f t="shared" ca="1" si="6"/>
        <v>1</v>
      </c>
      <c r="E237" s="55" t="str">
        <f t="shared" ca="1" si="7"/>
        <v/>
      </c>
      <c r="F237" s="56"/>
      <c r="H237"/>
      <c r="I237"/>
    </row>
    <row r="238" spans="1:9">
      <c r="A238" s="53" t="s">
        <v>377</v>
      </c>
      <c r="B238" s="45" t="s">
        <v>377</v>
      </c>
      <c r="C238" s="53" t="str">
        <f>IMCONJUGATE(1)</f>
        <v>1</v>
      </c>
      <c r="D238" s="54" t="b">
        <f t="shared" ca="1" si="6"/>
        <v>1</v>
      </c>
      <c r="E238" s="55" t="str">
        <f t="shared" ca="1" si="7"/>
        <v/>
      </c>
      <c r="F238" s="56"/>
      <c r="H238"/>
      <c r="I238"/>
    </row>
    <row r="239" spans="1:9">
      <c r="A239" s="53" t="s">
        <v>378</v>
      </c>
      <c r="B239" s="45" t="s">
        <v>378</v>
      </c>
      <c r="C239" s="53" t="str">
        <f>IMCOS(1)</f>
        <v>0.54030230586814</v>
      </c>
      <c r="D239" s="54" t="b">
        <f t="shared" ca="1" si="6"/>
        <v>1</v>
      </c>
      <c r="E239" s="55" t="str">
        <f t="shared" ca="1" si="7"/>
        <v/>
      </c>
      <c r="F239" s="56"/>
      <c r="H239"/>
      <c r="I239"/>
    </row>
    <row r="240" spans="1:9">
      <c r="A240" s="53" t="s">
        <v>379</v>
      </c>
      <c r="B240" s="45" t="s">
        <v>379</v>
      </c>
      <c r="C240" s="53" t="str">
        <f>_xlfn.IMCOSH(1)</f>
        <v>1.54308063481524</v>
      </c>
      <c r="D240" s="54" t="b">
        <f t="shared" ca="1" si="6"/>
        <v>1</v>
      </c>
      <c r="E240" s="55" t="str">
        <f t="shared" ca="1" si="7"/>
        <v/>
      </c>
      <c r="F240" s="56"/>
      <c r="H240"/>
      <c r="I240"/>
    </row>
    <row r="241" spans="1:9">
      <c r="A241" s="53" t="s">
        <v>380</v>
      </c>
      <c r="B241" s="45" t="s">
        <v>380</v>
      </c>
      <c r="C241" s="53" t="str">
        <f>_xlfn.IMCOT(1)</f>
        <v>0.642092615934331</v>
      </c>
      <c r="D241" s="54" t="b">
        <f t="shared" ca="1" si="6"/>
        <v>1</v>
      </c>
      <c r="E241" s="55" t="str">
        <f t="shared" ca="1" si="7"/>
        <v/>
      </c>
      <c r="F241" s="56"/>
      <c r="H241"/>
      <c r="I241"/>
    </row>
    <row r="242" spans="1:9">
      <c r="A242" s="53" t="s">
        <v>381</v>
      </c>
      <c r="B242" s="45" t="s">
        <v>381</v>
      </c>
      <c r="C242" s="53" t="str">
        <f>_xlfn.IMCSC(1)</f>
        <v>1.18839510577812</v>
      </c>
      <c r="D242" s="54" t="b">
        <f t="shared" ca="1" si="6"/>
        <v>1</v>
      </c>
      <c r="E242" s="55" t="str">
        <f t="shared" ca="1" si="7"/>
        <v/>
      </c>
      <c r="F242" s="56"/>
      <c r="H242"/>
      <c r="I242"/>
    </row>
    <row r="243" spans="1:9">
      <c r="A243" s="53" t="s">
        <v>382</v>
      </c>
      <c r="B243" s="45" t="s">
        <v>382</v>
      </c>
      <c r="C243" s="53" t="str">
        <f>_xlfn.IMCSCH(1)</f>
        <v>0.850918128239322</v>
      </c>
      <c r="D243" s="54" t="b">
        <f t="shared" ca="1" si="6"/>
        <v>1</v>
      </c>
      <c r="E243" s="55" t="str">
        <f t="shared" ca="1" si="7"/>
        <v/>
      </c>
      <c r="F243" s="56"/>
      <c r="H243"/>
      <c r="I243"/>
    </row>
    <row r="244" spans="1:9">
      <c r="A244" s="53" t="s">
        <v>383</v>
      </c>
      <c r="B244" s="45" t="s">
        <v>383</v>
      </c>
      <c r="C244" s="53" t="str">
        <f>IMDIV("1+i","1+i")</f>
        <v>1</v>
      </c>
      <c r="D244" s="54" t="b">
        <f t="shared" ca="1" si="6"/>
        <v>1</v>
      </c>
      <c r="E244" s="55" t="str">
        <f t="shared" ca="1" si="7"/>
        <v/>
      </c>
      <c r="F244" s="56"/>
      <c r="H244"/>
      <c r="I244"/>
    </row>
    <row r="245" spans="1:9">
      <c r="A245" s="53" t="s">
        <v>384</v>
      </c>
      <c r="B245" s="45" t="s">
        <v>384</v>
      </c>
      <c r="C245" s="53" t="str">
        <f>IMEXP(1)</f>
        <v>2.71828182845905</v>
      </c>
      <c r="D245" s="54" t="b">
        <f t="shared" ca="1" si="6"/>
        <v>1</v>
      </c>
      <c r="E245" s="55" t="str">
        <f t="shared" ca="1" si="7"/>
        <v/>
      </c>
      <c r="F245" s="56"/>
      <c r="H245"/>
      <c r="I245"/>
    </row>
    <row r="246" spans="1:9">
      <c r="A246" s="53" t="s">
        <v>385</v>
      </c>
      <c r="B246" s="45" t="s">
        <v>385</v>
      </c>
      <c r="C246" s="53" t="str">
        <f>IMLN(1)</f>
        <v>0</v>
      </c>
      <c r="D246" s="54" t="b">
        <f t="shared" ca="1" si="6"/>
        <v>1</v>
      </c>
      <c r="E246" s="55" t="str">
        <f t="shared" ca="1" si="7"/>
        <v/>
      </c>
      <c r="F246" s="56"/>
      <c r="H246"/>
      <c r="I246"/>
    </row>
    <row r="247" spans="1:9">
      <c r="A247" s="53" t="s">
        <v>386</v>
      </c>
      <c r="B247" s="45" t="s">
        <v>386</v>
      </c>
      <c r="C247" s="53" t="str">
        <f>IMLOG10(1)</f>
        <v>0</v>
      </c>
      <c r="D247" s="54" t="b">
        <f t="shared" ca="1" si="6"/>
        <v>1</v>
      </c>
      <c r="E247" s="55" t="str">
        <f t="shared" ca="1" si="7"/>
        <v/>
      </c>
      <c r="F247" s="56"/>
      <c r="H247"/>
      <c r="I247"/>
    </row>
    <row r="248" spans="1:9">
      <c r="A248" s="53" t="s">
        <v>387</v>
      </c>
      <c r="B248" s="45" t="s">
        <v>387</v>
      </c>
      <c r="C248" s="53" t="str">
        <f>IMLOG2(1)</f>
        <v>0</v>
      </c>
      <c r="D248" s="54" t="b">
        <f t="shared" ca="1" si="6"/>
        <v>1</v>
      </c>
      <c r="E248" s="55" t="str">
        <f t="shared" ca="1" si="7"/>
        <v/>
      </c>
      <c r="F248" s="56"/>
      <c r="H248"/>
      <c r="I248"/>
    </row>
    <row r="249" spans="1:9" ht="72">
      <c r="A249" s="53" t="s">
        <v>388</v>
      </c>
      <c r="B249" s="45" t="s">
        <v>388</v>
      </c>
      <c r="C249" s="53" t="e" cm="1">
        <f t="array" aca="1" ref="C249" ca="1">IMPORTCSV("")</f>
        <v>#NAME?</v>
      </c>
      <c r="D249" s="54" t="b">
        <f t="shared" ca="1" si="6"/>
        <v>0</v>
      </c>
      <c r="E249" s="55" t="str">
        <f t="shared" ca="1" si="7"/>
        <v>IMPORTCSV</v>
      </c>
      <c r="F249" s="56" t="s">
        <v>389</v>
      </c>
      <c r="H249"/>
      <c r="I249"/>
    </row>
    <row r="250" spans="1:9" ht="72">
      <c r="A250" s="53" t="s">
        <v>390</v>
      </c>
      <c r="B250" s="45" t="s">
        <v>390</v>
      </c>
      <c r="C250" s="53" t="e" cm="1">
        <f t="array" aca="1" ref="C250" ca="1">IMPORTTEXT("")</f>
        <v>#NAME?</v>
      </c>
      <c r="D250" s="54" t="b">
        <f t="shared" ca="1" si="6"/>
        <v>0</v>
      </c>
      <c r="E250" s="55" t="str">
        <f t="shared" ca="1" si="7"/>
        <v>IMPORTTEXT</v>
      </c>
      <c r="F250" s="56" t="s">
        <v>389</v>
      </c>
      <c r="H250"/>
      <c r="I250"/>
    </row>
    <row r="251" spans="1:9">
      <c r="A251" s="53" t="s">
        <v>391</v>
      </c>
      <c r="B251" s="45" t="s">
        <v>391</v>
      </c>
      <c r="C251" s="53" t="str">
        <f>IMPOWER("1+i",2)</f>
        <v>1.22514845490862E-16+2i</v>
      </c>
      <c r="D251" s="54" t="b">
        <f t="shared" ca="1" si="6"/>
        <v>1</v>
      </c>
      <c r="E251" s="55" t="str">
        <f t="shared" ca="1" si="7"/>
        <v/>
      </c>
      <c r="F251" s="56"/>
      <c r="H251"/>
      <c r="I251"/>
    </row>
    <row r="252" spans="1:9">
      <c r="A252" s="53" t="s">
        <v>392</v>
      </c>
      <c r="B252" s="45" t="s">
        <v>392</v>
      </c>
      <c r="C252" s="53" t="str">
        <f>IMPRODUCT(1)</f>
        <v>1</v>
      </c>
      <c r="D252" s="54" t="b">
        <f t="shared" ca="1" si="6"/>
        <v>1</v>
      </c>
      <c r="E252" s="55" t="str">
        <f t="shared" ca="1" si="7"/>
        <v/>
      </c>
      <c r="F252" s="56"/>
      <c r="H252"/>
      <c r="I252"/>
    </row>
    <row r="253" spans="1:9">
      <c r="A253" s="53" t="s">
        <v>393</v>
      </c>
      <c r="B253" s="45" t="s">
        <v>393</v>
      </c>
      <c r="C253" s="53">
        <f>IMREAL(1)</f>
        <v>1</v>
      </c>
      <c r="D253" s="54" t="b">
        <f t="shared" ca="1" si="6"/>
        <v>1</v>
      </c>
      <c r="E253" s="55" t="str">
        <f t="shared" ca="1" si="7"/>
        <v/>
      </c>
      <c r="F253" s="56"/>
      <c r="H253"/>
      <c r="I253"/>
    </row>
    <row r="254" spans="1:9">
      <c r="A254" s="53" t="s">
        <v>394</v>
      </c>
      <c r="B254" s="45" t="s">
        <v>394</v>
      </c>
      <c r="C254" s="53" t="str">
        <f>_xlfn.IMSEC(1)</f>
        <v>1.85081571768093</v>
      </c>
      <c r="D254" s="54" t="b">
        <f t="shared" ca="1" si="6"/>
        <v>1</v>
      </c>
      <c r="E254" s="55" t="str">
        <f t="shared" ca="1" si="7"/>
        <v/>
      </c>
      <c r="F254" s="56"/>
      <c r="H254"/>
      <c r="I254"/>
    </row>
    <row r="255" spans="1:9">
      <c r="A255" s="53" t="s">
        <v>395</v>
      </c>
      <c r="B255" s="45" t="s">
        <v>395</v>
      </c>
      <c r="C255" s="53" t="str">
        <f>_xlfn.IMSECH(1)</f>
        <v>0.648054273663885</v>
      </c>
      <c r="D255" s="54" t="b">
        <f t="shared" ca="1" si="6"/>
        <v>1</v>
      </c>
      <c r="E255" s="55" t="str">
        <f t="shared" ca="1" si="7"/>
        <v/>
      </c>
      <c r="F255" s="56"/>
      <c r="H255"/>
      <c r="I255"/>
    </row>
    <row r="256" spans="1:9">
      <c r="A256" s="53" t="s">
        <v>396</v>
      </c>
      <c r="B256" s="45" t="s">
        <v>396</v>
      </c>
      <c r="C256" s="53" t="str">
        <f>IMSIN(1)</f>
        <v>0.841470984807897</v>
      </c>
      <c r="D256" s="54" t="b">
        <f t="shared" ca="1" si="6"/>
        <v>1</v>
      </c>
      <c r="E256" s="55" t="str">
        <f t="shared" ca="1" si="7"/>
        <v/>
      </c>
      <c r="F256" s="56"/>
      <c r="H256"/>
      <c r="I256"/>
    </row>
    <row r="257" spans="1:9">
      <c r="A257" s="53" t="s">
        <v>397</v>
      </c>
      <c r="B257" s="45" t="s">
        <v>397</v>
      </c>
      <c r="C257" s="53" t="str">
        <f>_xlfn.IMSINH(1)</f>
        <v>1.1752011936438</v>
      </c>
      <c r="D257" s="54" t="b">
        <f t="shared" ca="1" si="6"/>
        <v>1</v>
      </c>
      <c r="E257" s="55" t="str">
        <f t="shared" ca="1" si="7"/>
        <v/>
      </c>
      <c r="F257" s="56"/>
      <c r="H257"/>
      <c r="I257"/>
    </row>
    <row r="258" spans="1:9">
      <c r="A258" s="53" t="s">
        <v>398</v>
      </c>
      <c r="B258" s="45" t="s">
        <v>398</v>
      </c>
      <c r="C258" s="53" t="str">
        <f>IMSQRT(1)</f>
        <v>1</v>
      </c>
      <c r="D258" s="54" t="b">
        <f t="shared" ca="1" si="6"/>
        <v>1</v>
      </c>
      <c r="E258" s="55" t="str">
        <f t="shared" ca="1" si="7"/>
        <v/>
      </c>
      <c r="F258" s="56"/>
      <c r="H258"/>
      <c r="I258"/>
    </row>
    <row r="259" spans="1:9">
      <c r="A259" s="53" t="s">
        <v>399</v>
      </c>
      <c r="B259" s="45" t="s">
        <v>399</v>
      </c>
      <c r="C259" s="53" t="str">
        <f>IMSUB("1+i","1+i")</f>
        <v>0</v>
      </c>
      <c r="D259" s="54" t="b">
        <f t="shared" ca="1" si="6"/>
        <v>1</v>
      </c>
      <c r="E259" s="55" t="str">
        <f t="shared" ca="1" si="7"/>
        <v/>
      </c>
      <c r="F259" s="56"/>
      <c r="H259"/>
      <c r="I259"/>
    </row>
    <row r="260" spans="1:9">
      <c r="A260" s="53" t="s">
        <v>400</v>
      </c>
      <c r="B260" s="45" t="s">
        <v>400</v>
      </c>
      <c r="C260" s="53" t="str">
        <f>IMSUM(1)</f>
        <v>1</v>
      </c>
      <c r="D260" s="54" t="b">
        <f t="shared" ca="1" si="6"/>
        <v>1</v>
      </c>
      <c r="E260" s="55" t="str">
        <f t="shared" ca="1" si="7"/>
        <v/>
      </c>
      <c r="F260" s="56"/>
      <c r="H260"/>
      <c r="I260"/>
    </row>
    <row r="261" spans="1:9">
      <c r="A261" s="53" t="s">
        <v>401</v>
      </c>
      <c r="B261" s="45" t="s">
        <v>401</v>
      </c>
      <c r="C261" s="53" t="str">
        <f>_xlfn.IMTAN(1)</f>
        <v>1.5574077246549</v>
      </c>
      <c r="D261" s="54" t="b">
        <f t="shared" ca="1" si="6"/>
        <v>1</v>
      </c>
      <c r="E261" s="55" t="str">
        <f t="shared" ca="1" si="7"/>
        <v/>
      </c>
      <c r="F261" s="56"/>
      <c r="H261"/>
      <c r="I261"/>
    </row>
    <row r="262" spans="1:9">
      <c r="A262" s="53" t="s">
        <v>402</v>
      </c>
      <c r="B262" s="45" t="s">
        <v>402</v>
      </c>
      <c r="C262" s="53" cm="1">
        <f t="array" ref="C262">INDEX({1},1)</f>
        <v>1</v>
      </c>
      <c r="D262" s="54" t="b">
        <f t="shared" ca="1" si="6"/>
        <v>1</v>
      </c>
      <c r="E262" s="55" t="str">
        <f t="shared" ca="1" si="7"/>
        <v/>
      </c>
      <c r="F262" s="56"/>
      <c r="H262"/>
      <c r="I262"/>
    </row>
    <row r="263" spans="1:9">
      <c r="A263" s="53" t="s">
        <v>403</v>
      </c>
      <c r="B263" s="45" t="s">
        <v>403</v>
      </c>
      <c r="C263" s="53" t="str" cm="1">
        <f t="array" aca="1" ref="C263" ca="1">INDIRECT("A1")</f>
        <v>Function check</v>
      </c>
      <c r="D263" s="54" t="b">
        <f t="shared" ca="1" si="6"/>
        <v>1</v>
      </c>
      <c r="E263" s="55" t="str">
        <f t="shared" ca="1" si="7"/>
        <v/>
      </c>
      <c r="F263" s="56"/>
      <c r="H263"/>
      <c r="I263"/>
    </row>
    <row r="264" spans="1:9">
      <c r="A264" s="53" t="s">
        <v>404</v>
      </c>
      <c r="B264" s="45" t="s">
        <v>404</v>
      </c>
      <c r="C264" s="53" t="str">
        <f ca="1">INFO("directory")</f>
        <v>C:\Users\FlorentinRack\OneDrive - CLI-Dartriver.com\Documents\</v>
      </c>
      <c r="D264" s="54" t="b">
        <f t="shared" ca="1" si="6"/>
        <v>1</v>
      </c>
      <c r="E264" s="55" t="str">
        <f t="shared" ca="1" si="7"/>
        <v/>
      </c>
      <c r="F264" s="56"/>
      <c r="H264"/>
      <c r="I264"/>
    </row>
    <row r="265" spans="1:9">
      <c r="A265" s="53" t="s">
        <v>405</v>
      </c>
      <c r="B265" s="45" t="s">
        <v>405</v>
      </c>
      <c r="C265" s="53">
        <f>INT(1)</f>
        <v>1</v>
      </c>
      <c r="D265" s="54" t="b">
        <f t="shared" ca="1" si="6"/>
        <v>1</v>
      </c>
      <c r="E265" s="55" t="str">
        <f t="shared" ca="1" si="7"/>
        <v/>
      </c>
      <c r="F265" s="56"/>
      <c r="H265"/>
      <c r="I265"/>
    </row>
    <row r="266" spans="1:9">
      <c r="A266" s="53" t="s">
        <v>406</v>
      </c>
      <c r="B266" s="45" t="s">
        <v>406</v>
      </c>
      <c r="C266" s="53">
        <f>INTERCEPT({1,2},{1,2})</f>
        <v>0</v>
      </c>
      <c r="D266" s="54" t="b">
        <f t="shared" ca="1" si="6"/>
        <v>1</v>
      </c>
      <c r="E266" s="55" t="str">
        <f t="shared" ca="1" si="7"/>
        <v/>
      </c>
      <c r="F266" s="56"/>
      <c r="H266"/>
      <c r="I266"/>
    </row>
    <row r="267" spans="1:9">
      <c r="A267" s="53" t="s">
        <v>407</v>
      </c>
      <c r="B267" s="45" t="s">
        <v>407</v>
      </c>
      <c r="C267" s="53">
        <f>INTRATE(DATE(2020,1,1),DATE(2021,1,1),95,100)</f>
        <v>5.2631578947368418E-2</v>
      </c>
      <c r="D267" s="54" t="b">
        <f t="shared" ca="1" si="6"/>
        <v>1</v>
      </c>
      <c r="E267" s="55" t="str">
        <f t="shared" ca="1" si="7"/>
        <v/>
      </c>
      <c r="F267" s="56"/>
      <c r="H267"/>
      <c r="I267"/>
    </row>
    <row r="268" spans="1:9">
      <c r="A268" s="53" t="s">
        <v>408</v>
      </c>
      <c r="B268" s="45" t="s">
        <v>408</v>
      </c>
      <c r="C268" s="53">
        <f>IPMT(0.01,1,12,1000)</f>
        <v>-9.9999999999999982</v>
      </c>
      <c r="D268" s="54" t="b">
        <f t="shared" ref="D268:D331" ca="1" si="8">IF(NOT(_xlfn.ISFORMULA(C268)),"NOT TESTED",IFERROR(AND(ERROR.TYPE(C268)&lt;&gt;5,ISERROR(SEARCH("xlfn",_xlfn.FORMULATEXT(C268)))),TRUE))</f>
        <v>1</v>
      </c>
      <c r="E268" s="55" t="str">
        <f t="shared" ref="E268:E331" ca="1" si="9">IF(D268="NOT TESTED","?"&amp;A268&amp;" (untested)",IF(D268=FALSE,A268,""))</f>
        <v/>
      </c>
      <c r="F268" s="56"/>
      <c r="H268"/>
      <c r="I268"/>
    </row>
    <row r="269" spans="1:9">
      <c r="A269" s="53" t="s">
        <v>409</v>
      </c>
      <c r="B269" s="45" t="s">
        <v>409</v>
      </c>
      <c r="C269" s="53">
        <f>IRR({-100,110})</f>
        <v>0.10000000000000009</v>
      </c>
      <c r="D269" s="54" t="b">
        <f t="shared" ca="1" si="8"/>
        <v>1</v>
      </c>
      <c r="E269" s="55" t="str">
        <f t="shared" ca="1" si="9"/>
        <v/>
      </c>
      <c r="F269" s="56"/>
      <c r="H269"/>
      <c r="I269"/>
    </row>
    <row r="270" spans="1:9">
      <c r="A270" s="53" t="s">
        <v>410</v>
      </c>
      <c r="B270" s="45" t="s">
        <v>410</v>
      </c>
      <c r="C270" s="53" t="b">
        <f>ISBLANK(1)</f>
        <v>0</v>
      </c>
      <c r="D270" s="54" t="b">
        <f t="shared" ca="1" si="8"/>
        <v>1</v>
      </c>
      <c r="E270" s="55" t="str">
        <f t="shared" ca="1" si="9"/>
        <v/>
      </c>
      <c r="F270" s="56"/>
      <c r="H270"/>
      <c r="I270"/>
    </row>
    <row r="271" spans="1:9">
      <c r="A271" s="53" t="s">
        <v>411</v>
      </c>
      <c r="B271" s="45" t="s">
        <v>411</v>
      </c>
      <c r="C271" s="53" t="b">
        <f>ISERR(1)</f>
        <v>0</v>
      </c>
      <c r="D271" s="54" t="b">
        <f t="shared" ca="1" si="8"/>
        <v>1</v>
      </c>
      <c r="E271" s="55" t="str">
        <f t="shared" ca="1" si="9"/>
        <v/>
      </c>
      <c r="F271" s="56"/>
      <c r="H271"/>
      <c r="I271"/>
    </row>
    <row r="272" spans="1:9">
      <c r="A272" s="53" t="s">
        <v>412</v>
      </c>
      <c r="B272" s="45" t="s">
        <v>412</v>
      </c>
      <c r="C272" s="53" t="b">
        <f>ISERROR(1)</f>
        <v>0</v>
      </c>
      <c r="D272" s="54" t="b">
        <f t="shared" ca="1" si="8"/>
        <v>1</v>
      </c>
      <c r="E272" s="55" t="str">
        <f t="shared" ca="1" si="9"/>
        <v/>
      </c>
      <c r="F272" s="56"/>
      <c r="H272"/>
      <c r="I272"/>
    </row>
    <row r="273" spans="1:9">
      <c r="A273" s="53" t="s">
        <v>413</v>
      </c>
      <c r="B273" s="45" t="s">
        <v>413</v>
      </c>
      <c r="C273" s="53" t="b">
        <f>ISEVEN(1)</f>
        <v>0</v>
      </c>
      <c r="D273" s="54" t="b">
        <f t="shared" ca="1" si="8"/>
        <v>1</v>
      </c>
      <c r="E273" s="55" t="str">
        <f t="shared" ca="1" si="9"/>
        <v/>
      </c>
      <c r="F273" s="56"/>
      <c r="H273"/>
      <c r="I273"/>
    </row>
    <row r="274" spans="1:9">
      <c r="A274" s="53" t="s">
        <v>414</v>
      </c>
      <c r="B274" s="45" t="s">
        <v>414</v>
      </c>
      <c r="C274" s="53" t="b">
        <f>_xlfn.ISFORMULA(A10)</f>
        <v>0</v>
      </c>
      <c r="D274" s="54" t="b">
        <f t="shared" ca="1" si="8"/>
        <v>1</v>
      </c>
      <c r="E274" s="55" t="str">
        <f t="shared" ca="1" si="9"/>
        <v/>
      </c>
      <c r="F274" s="56"/>
      <c r="H274"/>
      <c r="I274"/>
    </row>
    <row r="275" spans="1:9">
      <c r="A275" s="53" t="s">
        <v>415</v>
      </c>
      <c r="B275" s="45" t="s">
        <v>415</v>
      </c>
      <c r="C275" s="53" t="b">
        <f>ISLOGICAL(1)</f>
        <v>0</v>
      </c>
      <c r="D275" s="54" t="b">
        <f t="shared" ca="1" si="8"/>
        <v>1</v>
      </c>
      <c r="E275" s="55" t="str">
        <f t="shared" ca="1" si="9"/>
        <v/>
      </c>
      <c r="F275" s="56"/>
      <c r="H275"/>
      <c r="I275"/>
    </row>
    <row r="276" spans="1:9">
      <c r="A276" s="53" t="s">
        <v>416</v>
      </c>
      <c r="B276" s="45" t="s">
        <v>416</v>
      </c>
      <c r="C276" s="53" t="b">
        <f>ISNA(1)</f>
        <v>0</v>
      </c>
      <c r="D276" s="54" t="b">
        <f t="shared" ca="1" si="8"/>
        <v>1</v>
      </c>
      <c r="E276" s="55" t="str">
        <f t="shared" ca="1" si="9"/>
        <v/>
      </c>
      <c r="F276" s="56"/>
      <c r="H276"/>
      <c r="I276"/>
    </row>
    <row r="277" spans="1:9">
      <c r="A277" s="53" t="s">
        <v>417</v>
      </c>
      <c r="B277" s="45" t="s">
        <v>417</v>
      </c>
      <c r="C277" s="53" t="b">
        <f>ISNONTEXT(1)</f>
        <v>1</v>
      </c>
      <c r="D277" s="54" t="b">
        <f t="shared" ca="1" si="8"/>
        <v>1</v>
      </c>
      <c r="E277" s="55" t="str">
        <f t="shared" ca="1" si="9"/>
        <v/>
      </c>
      <c r="F277" s="56"/>
      <c r="H277"/>
      <c r="I277"/>
    </row>
    <row r="278" spans="1:9">
      <c r="A278" s="53" t="s">
        <v>418</v>
      </c>
      <c r="B278" s="45" t="s">
        <v>418</v>
      </c>
      <c r="C278" s="53" t="b">
        <f>ISNUMBER(1)</f>
        <v>1</v>
      </c>
      <c r="D278" s="54" t="b">
        <f t="shared" ca="1" si="8"/>
        <v>1</v>
      </c>
      <c r="E278" s="55" t="str">
        <f t="shared" ca="1" si="9"/>
        <v/>
      </c>
      <c r="F278" s="56"/>
      <c r="H278"/>
      <c r="I278"/>
    </row>
    <row r="279" spans="1:9">
      <c r="A279" s="53" t="s">
        <v>419</v>
      </c>
      <c r="B279" s="45" t="s">
        <v>419</v>
      </c>
      <c r="C279" s="53">
        <f>ISO.CEILING(1)</f>
        <v>1</v>
      </c>
      <c r="D279" s="54" t="b">
        <f t="shared" ca="1" si="8"/>
        <v>1</v>
      </c>
      <c r="E279" s="55" t="str">
        <f t="shared" ca="1" si="9"/>
        <v/>
      </c>
      <c r="F279" s="56"/>
      <c r="H279"/>
      <c r="I279"/>
    </row>
    <row r="280" spans="1:9">
      <c r="A280" s="53" t="s">
        <v>420</v>
      </c>
      <c r="B280" s="45" t="s">
        <v>420</v>
      </c>
      <c r="C280" s="53" t="b">
        <f>ISODD(1)</f>
        <v>1</v>
      </c>
      <c r="D280" s="54" t="b">
        <f t="shared" ca="1" si="8"/>
        <v>1</v>
      </c>
      <c r="E280" s="55" t="str">
        <f t="shared" ca="1" si="9"/>
        <v/>
      </c>
      <c r="F280" s="56"/>
      <c r="H280"/>
      <c r="I280"/>
    </row>
    <row r="281" spans="1:9">
      <c r="A281" s="53" t="s">
        <v>421</v>
      </c>
      <c r="B281" s="45" t="s">
        <v>421</v>
      </c>
      <c r="C281" s="53" t="b">
        <f>_xlfn.ISOMITTED(1)</f>
        <v>0</v>
      </c>
      <c r="D281" s="54" t="b">
        <f t="shared" ca="1" si="8"/>
        <v>1</v>
      </c>
      <c r="E281" s="55" t="str">
        <f t="shared" ca="1" si="9"/>
        <v/>
      </c>
      <c r="F281" s="56"/>
      <c r="H281"/>
      <c r="I281"/>
    </row>
    <row r="282" spans="1:9">
      <c r="A282" s="53" t="s">
        <v>422</v>
      </c>
      <c r="B282" s="45" t="s">
        <v>422</v>
      </c>
      <c r="C282" s="53">
        <f>_xlfn.ISOWEEKNUM(1)</f>
        <v>52</v>
      </c>
      <c r="D282" s="54" t="b">
        <f t="shared" ca="1" si="8"/>
        <v>1</v>
      </c>
      <c r="E282" s="55" t="str">
        <f t="shared" ca="1" si="9"/>
        <v/>
      </c>
      <c r="F282" s="56"/>
      <c r="H282"/>
      <c r="I282"/>
    </row>
    <row r="283" spans="1:9">
      <c r="A283" s="53" t="s">
        <v>423</v>
      </c>
      <c r="B283" s="45" t="s">
        <v>423</v>
      </c>
      <c r="C283" s="53">
        <f>ISPMT(0.01,1,12,1000)</f>
        <v>-9.1666666666666661</v>
      </c>
      <c r="D283" s="54" t="b">
        <f t="shared" ca="1" si="8"/>
        <v>1</v>
      </c>
      <c r="E283" s="55" t="str">
        <f t="shared" ca="1" si="9"/>
        <v/>
      </c>
      <c r="F283" s="56"/>
      <c r="H283"/>
      <c r="I283"/>
    </row>
    <row r="284" spans="1:9">
      <c r="A284" s="53" t="s">
        <v>424</v>
      </c>
      <c r="B284" s="45" t="s">
        <v>424</v>
      </c>
      <c r="C284" s="53" t="b">
        <f>ISREF(1)</f>
        <v>0</v>
      </c>
      <c r="D284" s="54" t="b">
        <f t="shared" ca="1" si="8"/>
        <v>1</v>
      </c>
      <c r="E284" s="55" t="str">
        <f t="shared" ca="1" si="9"/>
        <v/>
      </c>
      <c r="F284" s="56"/>
      <c r="H284"/>
      <c r="I284"/>
    </row>
    <row r="285" spans="1:9">
      <c r="A285" s="53" t="s">
        <v>425</v>
      </c>
      <c r="B285" s="45" t="s">
        <v>425</v>
      </c>
      <c r="C285" s="53" t="b">
        <f>ISTEXT(1)</f>
        <v>0</v>
      </c>
      <c r="D285" s="54" t="b">
        <f t="shared" ca="1" si="8"/>
        <v>1</v>
      </c>
      <c r="E285" s="55" t="str">
        <f t="shared" ca="1" si="9"/>
        <v/>
      </c>
      <c r="F285" s="56"/>
      <c r="H285"/>
      <c r="I285"/>
    </row>
    <row r="286" spans="1:9">
      <c r="A286" s="53" t="s">
        <v>734</v>
      </c>
      <c r="B286" s="45" t="s">
        <v>734</v>
      </c>
      <c r="C286" s="53" t="e" cm="1">
        <f t="array" aca="1" ref="C286" ca="1">JIS(" Half-width katakana E (ｴ) Half-width katakana Ku (ｸ) Half-width katakana Se (ｾ) Half-width katakana Ru (ﾙ) ")</f>
        <v>#NAME?</v>
      </c>
      <c r="D286" s="54" t="b">
        <f t="shared" ca="1" si="8"/>
        <v>0</v>
      </c>
      <c r="E286" s="55" t="str">
        <f t="shared" ca="1" si="9"/>
        <v>JIS</v>
      </c>
      <c r="F286" s="56"/>
      <c r="H286"/>
      <c r="I286"/>
    </row>
    <row r="287" spans="1:9">
      <c r="A287" s="53" t="s">
        <v>426</v>
      </c>
      <c r="B287" s="45" t="s">
        <v>426</v>
      </c>
      <c r="C287" s="53">
        <f>KURT({1,2,3,4,5})</f>
        <v>-1.1999999999999984</v>
      </c>
      <c r="D287" s="54" t="b">
        <f t="shared" ca="1" si="8"/>
        <v>1</v>
      </c>
      <c r="E287" s="55" t="str">
        <f t="shared" ca="1" si="9"/>
        <v/>
      </c>
      <c r="F287" s="56"/>
      <c r="H287"/>
      <c r="I287"/>
    </row>
    <row r="288" spans="1:9">
      <c r="A288" s="53" t="s">
        <v>427</v>
      </c>
      <c r="B288" s="45" t="s">
        <v>427</v>
      </c>
      <c r="C288" s="53" cm="1">
        <f t="array" ref="C288">_xlfn.LAMBDA(_xlpm.x,_xlpm.x)(1)</f>
        <v>1</v>
      </c>
      <c r="D288" s="54" t="b">
        <f t="shared" ca="1" si="8"/>
        <v>1</v>
      </c>
      <c r="E288" s="55" t="str">
        <f t="shared" ca="1" si="9"/>
        <v/>
      </c>
      <c r="F288" s="56"/>
      <c r="H288"/>
      <c r="I288"/>
    </row>
    <row r="289" spans="1:9">
      <c r="A289" s="53" t="s">
        <v>428</v>
      </c>
      <c r="B289" s="45" t="s">
        <v>428</v>
      </c>
      <c r="C289" s="53">
        <f>LARGE({1,2},1)</f>
        <v>2</v>
      </c>
      <c r="D289" s="54" t="b">
        <f t="shared" ca="1" si="8"/>
        <v>1</v>
      </c>
      <c r="E289" s="55" t="str">
        <f t="shared" ca="1" si="9"/>
        <v/>
      </c>
      <c r="F289" s="56"/>
      <c r="H289"/>
      <c r="I289"/>
    </row>
    <row r="290" spans="1:9">
      <c r="A290" s="53" t="s">
        <v>429</v>
      </c>
      <c r="B290" s="45" t="s">
        <v>429</v>
      </c>
      <c r="C290" s="53">
        <f>LCM(1)</f>
        <v>1</v>
      </c>
      <c r="D290" s="54" t="b">
        <f t="shared" ca="1" si="8"/>
        <v>1</v>
      </c>
      <c r="E290" s="55" t="str">
        <f t="shared" ca="1" si="9"/>
        <v/>
      </c>
      <c r="F290" s="56"/>
      <c r="H290"/>
      <c r="I290"/>
    </row>
    <row r="291" spans="1:9">
      <c r="A291" s="53" t="s">
        <v>430</v>
      </c>
      <c r="B291" s="45" t="s">
        <v>430</v>
      </c>
      <c r="C291" s="53" t="str">
        <f>LEFT(1)</f>
        <v>1</v>
      </c>
      <c r="D291" s="54" t="b">
        <f t="shared" ca="1" si="8"/>
        <v>1</v>
      </c>
      <c r="E291" s="55" t="str">
        <f t="shared" ca="1" si="9"/>
        <v/>
      </c>
      <c r="F291" s="56"/>
      <c r="H291"/>
      <c r="I291"/>
    </row>
    <row r="292" spans="1:9">
      <c r="A292" s="53" t="s">
        <v>431</v>
      </c>
      <c r="B292" s="45" t="s">
        <v>431</v>
      </c>
      <c r="C292" s="53" t="str">
        <f>LEFTB(1)</f>
        <v>1</v>
      </c>
      <c r="D292" s="54" t="b">
        <f t="shared" ca="1" si="8"/>
        <v>1</v>
      </c>
      <c r="E292" s="55" t="str">
        <f t="shared" ca="1" si="9"/>
        <v/>
      </c>
      <c r="F292" s="56"/>
      <c r="H292"/>
      <c r="I292"/>
    </row>
    <row r="293" spans="1:9">
      <c r="A293" s="53" t="s">
        <v>432</v>
      </c>
      <c r="B293" s="45" t="s">
        <v>432</v>
      </c>
      <c r="C293" s="53">
        <f>LEN(1)</f>
        <v>1</v>
      </c>
      <c r="D293" s="54" t="b">
        <f t="shared" ca="1" si="8"/>
        <v>1</v>
      </c>
      <c r="E293" s="55" t="str">
        <f t="shared" ca="1" si="9"/>
        <v/>
      </c>
      <c r="F293" s="56"/>
      <c r="H293"/>
      <c r="I293"/>
    </row>
    <row r="294" spans="1:9">
      <c r="A294" s="53" t="s">
        <v>433</v>
      </c>
      <c r="B294" s="45" t="s">
        <v>433</v>
      </c>
      <c r="C294" s="53">
        <f>LENB(1)</f>
        <v>1</v>
      </c>
      <c r="D294" s="54" t="b">
        <f t="shared" ca="1" si="8"/>
        <v>1</v>
      </c>
      <c r="E294" s="55" t="str">
        <f t="shared" ca="1" si="9"/>
        <v/>
      </c>
      <c r="F294" s="56"/>
      <c r="H294"/>
      <c r="I294"/>
    </row>
    <row r="295" spans="1:9">
      <c r="A295" s="53" t="s">
        <v>434</v>
      </c>
      <c r="B295" s="45" t="s">
        <v>434</v>
      </c>
      <c r="C295" s="53">
        <f>_xlfn.LET(_xlpm.x,1,_xlpm.x)</f>
        <v>1</v>
      </c>
      <c r="D295" s="54" t="b">
        <f t="shared" ca="1" si="8"/>
        <v>1</v>
      </c>
      <c r="E295" s="55" t="str">
        <f t="shared" ca="1" si="9"/>
        <v/>
      </c>
      <c r="F295" s="56"/>
      <c r="H295"/>
      <c r="I295"/>
    </row>
    <row r="296" spans="1:9">
      <c r="A296" s="53" t="s">
        <v>435</v>
      </c>
      <c r="B296" s="45" t="s">
        <v>435</v>
      </c>
      <c r="C296" s="53">
        <f>INDEX(LINEST({1,2},{1,2}),1,1)</f>
        <v>1</v>
      </c>
      <c r="D296" s="54" t="b">
        <f t="shared" ca="1" si="8"/>
        <v>1</v>
      </c>
      <c r="E296" s="55" t="str">
        <f t="shared" ca="1" si="9"/>
        <v/>
      </c>
      <c r="F296" s="56"/>
      <c r="H296"/>
      <c r="I296"/>
    </row>
    <row r="297" spans="1:9">
      <c r="A297" s="53" t="s">
        <v>436</v>
      </c>
      <c r="B297" s="45" t="s">
        <v>436</v>
      </c>
      <c r="C297" s="53">
        <f>LN(1)</f>
        <v>0</v>
      </c>
      <c r="D297" s="54" t="b">
        <f t="shared" ca="1" si="8"/>
        <v>1</v>
      </c>
      <c r="E297" s="55" t="str">
        <f t="shared" ca="1" si="9"/>
        <v/>
      </c>
      <c r="F297" s="56"/>
      <c r="H297"/>
      <c r="I297"/>
    </row>
    <row r="298" spans="1:9">
      <c r="A298" s="53" t="s">
        <v>437</v>
      </c>
      <c r="B298" s="45" t="s">
        <v>437</v>
      </c>
      <c r="C298" s="53">
        <f>LOG(1)</f>
        <v>0</v>
      </c>
      <c r="D298" s="54" t="b">
        <f t="shared" ca="1" si="8"/>
        <v>1</v>
      </c>
      <c r="E298" s="55" t="str">
        <f t="shared" ca="1" si="9"/>
        <v/>
      </c>
      <c r="F298" s="56"/>
      <c r="H298"/>
      <c r="I298"/>
    </row>
    <row r="299" spans="1:9">
      <c r="A299" s="53" t="s">
        <v>438</v>
      </c>
      <c r="B299" s="45" t="s">
        <v>438</v>
      </c>
      <c r="C299" s="53">
        <f>LOG10(1)</f>
        <v>0</v>
      </c>
      <c r="D299" s="54" t="b">
        <f t="shared" ca="1" si="8"/>
        <v>1</v>
      </c>
      <c r="E299" s="55" t="str">
        <f t="shared" ca="1" si="9"/>
        <v/>
      </c>
      <c r="F299" s="56"/>
      <c r="H299"/>
      <c r="I299"/>
    </row>
    <row r="300" spans="1:9">
      <c r="A300" s="53" t="s">
        <v>439</v>
      </c>
      <c r="B300" s="45" t="s">
        <v>439</v>
      </c>
      <c r="C300" s="53">
        <f>INDEX(LOGEST({1,2},{1,2}),1,1)</f>
        <v>2</v>
      </c>
      <c r="D300" s="54" t="b">
        <f t="shared" ca="1" si="8"/>
        <v>1</v>
      </c>
      <c r="E300" s="55" t="str">
        <f t="shared" ca="1" si="9"/>
        <v/>
      </c>
      <c r="F300" s="56"/>
      <c r="H300"/>
      <c r="I300"/>
    </row>
    <row r="301" spans="1:9">
      <c r="A301" s="53" t="s">
        <v>440</v>
      </c>
      <c r="B301" s="45" t="s">
        <v>440</v>
      </c>
      <c r="C301" s="53">
        <f>LOGINV(0.5,0,1)</f>
        <v>1</v>
      </c>
      <c r="D301" s="54" t="b">
        <f t="shared" ca="1" si="8"/>
        <v>1</v>
      </c>
      <c r="E301" s="55" t="str">
        <f t="shared" ca="1" si="9"/>
        <v/>
      </c>
      <c r="F301" s="56"/>
      <c r="H301"/>
      <c r="I301"/>
    </row>
    <row r="302" spans="1:9">
      <c r="A302" s="53" t="s">
        <v>441</v>
      </c>
      <c r="B302" s="45" t="s">
        <v>441</v>
      </c>
      <c r="C302" s="53">
        <f>_xlfn.LOGNORM.DIST(1,0,1,TRUE)</f>
        <v>0.5</v>
      </c>
      <c r="D302" s="54" t="b">
        <f t="shared" ca="1" si="8"/>
        <v>1</v>
      </c>
      <c r="E302" s="55" t="str">
        <f t="shared" ca="1" si="9"/>
        <v/>
      </c>
      <c r="F302" s="56"/>
      <c r="H302"/>
      <c r="I302"/>
    </row>
    <row r="303" spans="1:9">
      <c r="A303" s="53" t="s">
        <v>442</v>
      </c>
      <c r="B303" s="45" t="s">
        <v>442</v>
      </c>
      <c r="C303" s="53">
        <f>_xlfn.LOGNORM.INV(0.5,0,1)</f>
        <v>1</v>
      </c>
      <c r="D303" s="54" t="b">
        <f t="shared" ca="1" si="8"/>
        <v>1</v>
      </c>
      <c r="E303" s="55" t="str">
        <f t="shared" ca="1" si="9"/>
        <v/>
      </c>
      <c r="F303" s="56"/>
      <c r="H303"/>
      <c r="I303"/>
    </row>
    <row r="304" spans="1:9">
      <c r="A304" s="53" t="s">
        <v>443</v>
      </c>
      <c r="B304" s="45" t="s">
        <v>443</v>
      </c>
      <c r="C304" s="53">
        <f>LOGNORMDIST(1,0,1)</f>
        <v>0.5</v>
      </c>
      <c r="D304" s="54" t="b">
        <f t="shared" ca="1" si="8"/>
        <v>1</v>
      </c>
      <c r="E304" s="55" t="str">
        <f t="shared" ca="1" si="9"/>
        <v/>
      </c>
      <c r="F304" s="56"/>
      <c r="H304"/>
      <c r="I304"/>
    </row>
    <row r="305" spans="1:9">
      <c r="A305" s="53" t="s">
        <v>444</v>
      </c>
      <c r="B305" s="45" t="s">
        <v>444</v>
      </c>
      <c r="C305" s="53">
        <f>LOOKUP(1,{1},{1})</f>
        <v>1</v>
      </c>
      <c r="D305" s="54" t="b">
        <f t="shared" ca="1" si="8"/>
        <v>1</v>
      </c>
      <c r="E305" s="55" t="str">
        <f t="shared" ca="1" si="9"/>
        <v/>
      </c>
      <c r="F305" s="56"/>
      <c r="H305"/>
      <c r="I305"/>
    </row>
    <row r="306" spans="1:9">
      <c r="A306" s="53" t="s">
        <v>445</v>
      </c>
      <c r="B306" s="45" t="s">
        <v>445</v>
      </c>
      <c r="C306" s="53" t="str">
        <f>LOWER(1)</f>
        <v>1</v>
      </c>
      <c r="D306" s="54" t="b">
        <f t="shared" ca="1" si="8"/>
        <v>1</v>
      </c>
      <c r="E306" s="55" t="str">
        <f t="shared" ca="1" si="9"/>
        <v/>
      </c>
      <c r="F306" s="56"/>
      <c r="H306"/>
      <c r="I306"/>
    </row>
    <row r="307" spans="1:9">
      <c r="A307" s="53" t="s">
        <v>446</v>
      </c>
      <c r="B307" s="45" t="s">
        <v>446</v>
      </c>
      <c r="C307" s="53" cm="1">
        <f t="array" ref="C307">_xlfn.MAKEARRAY(1,1,_xlfn.LAMBDA(_xlpm.r,_xlpm.c,1))</f>
        <v>1</v>
      </c>
      <c r="D307" s="54" t="b">
        <f t="shared" ca="1" si="8"/>
        <v>1</v>
      </c>
      <c r="E307" s="55" t="str">
        <f t="shared" ca="1" si="9"/>
        <v/>
      </c>
      <c r="F307" s="56"/>
      <c r="H307"/>
      <c r="I307"/>
    </row>
    <row r="308" spans="1:9">
      <c r="A308" s="53" t="s">
        <v>447</v>
      </c>
      <c r="B308" s="45" t="s">
        <v>447</v>
      </c>
      <c r="C308" s="53" cm="1">
        <f t="array" ref="C308">_xlfn.MAP(1,_xlfn.LAMBDA(_xlpm.x,_xlpm.x))</f>
        <v>1</v>
      </c>
      <c r="D308" s="54" t="b">
        <f t="shared" ca="1" si="8"/>
        <v>1</v>
      </c>
      <c r="E308" s="55" t="str">
        <f t="shared" ca="1" si="9"/>
        <v/>
      </c>
      <c r="F308" s="56"/>
      <c r="H308"/>
      <c r="I308"/>
    </row>
    <row r="309" spans="1:9">
      <c r="A309" s="53" t="s">
        <v>448</v>
      </c>
      <c r="B309" s="45" t="s">
        <v>448</v>
      </c>
      <c r="C309" s="53">
        <f>MATCH(1,{1},0)</f>
        <v>1</v>
      </c>
      <c r="D309" s="54" t="b">
        <f t="shared" ca="1" si="8"/>
        <v>1</v>
      </c>
      <c r="E309" s="55" t="str">
        <f t="shared" ca="1" si="9"/>
        <v/>
      </c>
      <c r="F309" s="56"/>
      <c r="H309"/>
      <c r="I309"/>
    </row>
    <row r="310" spans="1:9">
      <c r="A310" s="53" t="s">
        <v>449</v>
      </c>
      <c r="B310" s="45" t="s">
        <v>449</v>
      </c>
      <c r="C310" s="53">
        <f>MAX(1)</f>
        <v>1</v>
      </c>
      <c r="D310" s="54" t="b">
        <f t="shared" ca="1" si="8"/>
        <v>1</v>
      </c>
      <c r="E310" s="55" t="str">
        <f t="shared" ca="1" si="9"/>
        <v/>
      </c>
      <c r="F310" s="56"/>
      <c r="H310"/>
      <c r="I310"/>
    </row>
    <row r="311" spans="1:9">
      <c r="A311" s="53" t="s">
        <v>450</v>
      </c>
      <c r="B311" s="45" t="s">
        <v>450</v>
      </c>
      <c r="C311" s="53">
        <f>MAXA(1)</f>
        <v>1</v>
      </c>
      <c r="D311" s="54" t="b">
        <f t="shared" ca="1" si="8"/>
        <v>1</v>
      </c>
      <c r="E311" s="55" t="str">
        <f t="shared" ca="1" si="9"/>
        <v/>
      </c>
      <c r="F311" s="56"/>
      <c r="H311"/>
      <c r="I311"/>
    </row>
    <row r="312" spans="1:9">
      <c r="A312" s="53" t="s">
        <v>451</v>
      </c>
      <c r="B312" s="45" t="s">
        <v>451</v>
      </c>
      <c r="C312" s="53">
        <f>_xlfn.MAXIFS($C$11:$C$12,$C$11:$C$12,"&gt;0")</f>
        <v>5</v>
      </c>
      <c r="D312" s="54" t="b">
        <f t="shared" ca="1" si="8"/>
        <v>1</v>
      </c>
      <c r="E312" s="55" t="str">
        <f t="shared" ca="1" si="9"/>
        <v/>
      </c>
      <c r="F312" s="56"/>
      <c r="H312"/>
      <c r="I312"/>
    </row>
    <row r="313" spans="1:9">
      <c r="A313" s="53" t="s">
        <v>452</v>
      </c>
      <c r="B313" s="45" t="s">
        <v>452</v>
      </c>
      <c r="C313" s="53">
        <f>MDETERM(1)</f>
        <v>1</v>
      </c>
      <c r="D313" s="54" t="b">
        <f t="shared" ca="1" si="8"/>
        <v>1</v>
      </c>
      <c r="E313" s="55" t="str">
        <f t="shared" ca="1" si="9"/>
        <v/>
      </c>
      <c r="F313" s="56"/>
      <c r="H313"/>
      <c r="I313"/>
    </row>
    <row r="314" spans="1:9">
      <c r="A314" s="53" t="s">
        <v>453</v>
      </c>
      <c r="B314" s="45" t="s">
        <v>453</v>
      </c>
      <c r="C314" s="53">
        <f>MDURATION(DATE(2020,1,1),DATE(2021,1,1),0.05,0.05,1)</f>
        <v>0.95238095238095233</v>
      </c>
      <c r="D314" s="54" t="b">
        <f t="shared" ca="1" si="8"/>
        <v>1</v>
      </c>
      <c r="E314" s="55" t="str">
        <f t="shared" ca="1" si="9"/>
        <v/>
      </c>
      <c r="F314" s="56"/>
      <c r="H314"/>
      <c r="I314"/>
    </row>
    <row r="315" spans="1:9">
      <c r="A315" s="53" t="s">
        <v>454</v>
      </c>
      <c r="B315" s="45" t="s">
        <v>454</v>
      </c>
      <c r="C315" s="53">
        <f>MEDIAN(1)</f>
        <v>1</v>
      </c>
      <c r="D315" s="54" t="b">
        <f t="shared" ca="1" si="8"/>
        <v>1</v>
      </c>
      <c r="E315" s="55" t="str">
        <f t="shared" ca="1" si="9"/>
        <v/>
      </c>
      <c r="F315" s="56"/>
      <c r="H315"/>
      <c r="I315"/>
    </row>
    <row r="316" spans="1:9">
      <c r="A316" s="53" t="s">
        <v>455</v>
      </c>
      <c r="B316" s="45" t="s">
        <v>455</v>
      </c>
      <c r="C316" s="53" t="str">
        <f>MID("a",1,1)</f>
        <v>a</v>
      </c>
      <c r="D316" s="54" t="b">
        <f t="shared" ca="1" si="8"/>
        <v>1</v>
      </c>
      <c r="E316" s="55" t="str">
        <f t="shared" ca="1" si="9"/>
        <v/>
      </c>
      <c r="F316" s="56"/>
      <c r="H316"/>
      <c r="I316"/>
    </row>
    <row r="317" spans="1:9">
      <c r="A317" s="53" t="s">
        <v>456</v>
      </c>
      <c r="B317" s="45" t="s">
        <v>456</v>
      </c>
      <c r="C317" s="53" t="str">
        <f>MIDB("a",1,1)</f>
        <v>a</v>
      </c>
      <c r="D317" s="54" t="b">
        <f t="shared" ca="1" si="8"/>
        <v>1</v>
      </c>
      <c r="E317" s="55" t="str">
        <f t="shared" ca="1" si="9"/>
        <v/>
      </c>
      <c r="F317" s="56"/>
      <c r="H317"/>
      <c r="I317"/>
    </row>
    <row r="318" spans="1:9">
      <c r="A318" s="53" t="s">
        <v>457</v>
      </c>
      <c r="B318" s="45" t="s">
        <v>457</v>
      </c>
      <c r="C318" s="53">
        <f>MIN(1)</f>
        <v>1</v>
      </c>
      <c r="D318" s="54" t="b">
        <f t="shared" ca="1" si="8"/>
        <v>1</v>
      </c>
      <c r="E318" s="55" t="str">
        <f t="shared" ca="1" si="9"/>
        <v/>
      </c>
      <c r="F318" s="56"/>
      <c r="H318"/>
      <c r="I318"/>
    </row>
    <row r="319" spans="1:9">
      <c r="A319" s="53" t="s">
        <v>458</v>
      </c>
      <c r="B319" s="45" t="s">
        <v>458</v>
      </c>
      <c r="C319" s="53">
        <f>MINA(1)</f>
        <v>1</v>
      </c>
      <c r="D319" s="54" t="b">
        <f t="shared" ca="1" si="8"/>
        <v>1</v>
      </c>
      <c r="E319" s="55" t="str">
        <f t="shared" ca="1" si="9"/>
        <v/>
      </c>
      <c r="F319" s="56"/>
      <c r="H319"/>
      <c r="I319"/>
    </row>
    <row r="320" spans="1:9">
      <c r="A320" s="53" t="s">
        <v>459</v>
      </c>
      <c r="B320" s="45" t="s">
        <v>459</v>
      </c>
      <c r="C320" s="53">
        <f>_xlfn.MINIFS($C$11:$C$12,$C$11:$C$12,"&gt;0")</f>
        <v>1</v>
      </c>
      <c r="D320" s="54" t="b">
        <f t="shared" ca="1" si="8"/>
        <v>1</v>
      </c>
      <c r="E320" s="55" t="str">
        <f t="shared" ca="1" si="9"/>
        <v/>
      </c>
      <c r="F320" s="56"/>
      <c r="H320"/>
      <c r="I320"/>
    </row>
    <row r="321" spans="1:9">
      <c r="A321" s="53" t="s">
        <v>460</v>
      </c>
      <c r="B321" s="45" t="s">
        <v>460</v>
      </c>
      <c r="C321" s="53">
        <f>MINUTE(1)</f>
        <v>0</v>
      </c>
      <c r="D321" s="54" t="b">
        <f t="shared" ca="1" si="8"/>
        <v>1</v>
      </c>
      <c r="E321" s="55" t="str">
        <f t="shared" ca="1" si="9"/>
        <v/>
      </c>
      <c r="F321" s="56"/>
      <c r="H321"/>
      <c r="I321"/>
    </row>
    <row r="322" spans="1:9">
      <c r="A322" s="53" t="s">
        <v>461</v>
      </c>
      <c r="B322" s="45" t="s">
        <v>461</v>
      </c>
      <c r="C322" s="53" cm="1">
        <f t="array" ref="C322">MINVERSE(1)</f>
        <v>1</v>
      </c>
      <c r="D322" s="54" t="b">
        <f t="shared" ca="1" si="8"/>
        <v>1</v>
      </c>
      <c r="E322" s="55" t="str">
        <f t="shared" ca="1" si="9"/>
        <v/>
      </c>
      <c r="F322" s="56"/>
      <c r="H322"/>
      <c r="I322"/>
    </row>
    <row r="323" spans="1:9">
      <c r="A323" s="53" t="s">
        <v>462</v>
      </c>
      <c r="B323" s="45" t="s">
        <v>462</v>
      </c>
      <c r="C323" s="53">
        <f>MIRR({-1,2},0.1,0.1)</f>
        <v>1</v>
      </c>
      <c r="D323" s="54" t="b">
        <f t="shared" ca="1" si="8"/>
        <v>1</v>
      </c>
      <c r="E323" s="55" t="str">
        <f t="shared" ca="1" si="9"/>
        <v/>
      </c>
      <c r="F323" s="56"/>
      <c r="H323"/>
      <c r="I323"/>
    </row>
    <row r="324" spans="1:9">
      <c r="A324" s="53" t="s">
        <v>463</v>
      </c>
      <c r="B324" s="45" t="s">
        <v>463</v>
      </c>
      <c r="C324" s="53" cm="1">
        <f t="array" ref="C324">MMULT({1},{1})</f>
        <v>1</v>
      </c>
      <c r="D324" s="54" t="b">
        <f t="shared" ca="1" si="8"/>
        <v>1</v>
      </c>
      <c r="E324" s="55" t="str">
        <f t="shared" ca="1" si="9"/>
        <v/>
      </c>
      <c r="F324" s="56"/>
      <c r="H324"/>
      <c r="I324"/>
    </row>
    <row r="325" spans="1:9">
      <c r="A325" s="53" t="s">
        <v>464</v>
      </c>
      <c r="B325" s="45" t="s">
        <v>464</v>
      </c>
      <c r="C325" s="53">
        <f>MOD(1,1)</f>
        <v>0</v>
      </c>
      <c r="D325" s="54" t="b">
        <f t="shared" ca="1" si="8"/>
        <v>1</v>
      </c>
      <c r="E325" s="55" t="str">
        <f t="shared" ca="1" si="9"/>
        <v/>
      </c>
      <c r="F325" s="56"/>
      <c r="H325"/>
      <c r="I325"/>
    </row>
    <row r="326" spans="1:9">
      <c r="A326" s="53" t="s">
        <v>465</v>
      </c>
      <c r="B326" s="45" t="s">
        <v>465</v>
      </c>
      <c r="C326" s="53">
        <f>MODE({1,1})</f>
        <v>1</v>
      </c>
      <c r="D326" s="54" t="b">
        <f t="shared" ca="1" si="8"/>
        <v>1</v>
      </c>
      <c r="E326" s="55" t="str">
        <f t="shared" ca="1" si="9"/>
        <v/>
      </c>
      <c r="F326" s="56"/>
      <c r="H326"/>
      <c r="I326"/>
    </row>
    <row r="327" spans="1:9">
      <c r="A327" s="53" t="s">
        <v>466</v>
      </c>
      <c r="B327" s="45" t="s">
        <v>466</v>
      </c>
      <c r="C327" s="53" cm="1">
        <f t="array" ref="C327">INDEX(_xlfn.MODE.MULT({1,1}),1)</f>
        <v>1</v>
      </c>
      <c r="D327" s="54" t="b">
        <f t="shared" ca="1" si="8"/>
        <v>1</v>
      </c>
      <c r="E327" s="55" t="str">
        <f t="shared" ca="1" si="9"/>
        <v/>
      </c>
      <c r="F327" s="56"/>
      <c r="H327"/>
      <c r="I327"/>
    </row>
    <row r="328" spans="1:9">
      <c r="A328" s="53" t="s">
        <v>467</v>
      </c>
      <c r="B328" s="45" t="s">
        <v>467</v>
      </c>
      <c r="C328" s="53">
        <f>_xlfn.MODE.SNGL({1,1})</f>
        <v>1</v>
      </c>
      <c r="D328" s="54" t="b">
        <f t="shared" ca="1" si="8"/>
        <v>1</v>
      </c>
      <c r="E328" s="55" t="str">
        <f t="shared" ca="1" si="9"/>
        <v/>
      </c>
      <c r="F328" s="56"/>
      <c r="H328"/>
      <c r="I328"/>
    </row>
    <row r="329" spans="1:9">
      <c r="A329" s="53" t="s">
        <v>468</v>
      </c>
      <c r="B329" s="45" t="s">
        <v>468</v>
      </c>
      <c r="C329" s="53">
        <f>MONTH(1)</f>
        <v>1</v>
      </c>
      <c r="D329" s="54" t="b">
        <f t="shared" ca="1" si="8"/>
        <v>1</v>
      </c>
      <c r="E329" s="55" t="str">
        <f t="shared" ca="1" si="9"/>
        <v/>
      </c>
      <c r="F329" s="56"/>
      <c r="H329"/>
      <c r="I329"/>
    </row>
    <row r="330" spans="1:9">
      <c r="A330" s="53" t="s">
        <v>469</v>
      </c>
      <c r="B330" s="45" t="s">
        <v>469</v>
      </c>
      <c r="C330" s="53">
        <f>MROUND(1,1)</f>
        <v>1</v>
      </c>
      <c r="D330" s="54" t="b">
        <f t="shared" ca="1" si="8"/>
        <v>1</v>
      </c>
      <c r="E330" s="55" t="str">
        <f t="shared" ca="1" si="9"/>
        <v/>
      </c>
      <c r="F330" s="56"/>
      <c r="H330"/>
      <c r="I330"/>
    </row>
    <row r="331" spans="1:9">
      <c r="A331" s="53" t="s">
        <v>470</v>
      </c>
      <c r="B331" s="45" t="s">
        <v>470</v>
      </c>
      <c r="C331" s="53">
        <f>MULTINOMIAL(1)</f>
        <v>1</v>
      </c>
      <c r="D331" s="54" t="b">
        <f t="shared" ca="1" si="8"/>
        <v>1</v>
      </c>
      <c r="E331" s="55" t="str">
        <f t="shared" ca="1" si="9"/>
        <v/>
      </c>
      <c r="F331" s="56"/>
      <c r="H331"/>
      <c r="I331"/>
    </row>
    <row r="332" spans="1:9">
      <c r="A332" s="53" t="s">
        <v>471</v>
      </c>
      <c r="B332" s="45" t="s">
        <v>471</v>
      </c>
      <c r="C332" s="53" cm="1">
        <f t="array" ref="C332">_xlfn.MUNIT(1)</f>
        <v>1</v>
      </c>
      <c r="D332" s="54" t="b">
        <f t="shared" ref="D332:D395" ca="1" si="10">IF(NOT(_xlfn.ISFORMULA(C332)),"NOT TESTED",IFERROR(AND(ERROR.TYPE(C332)&lt;&gt;5,ISERROR(SEARCH("xlfn",_xlfn.FORMULATEXT(C332)))),TRUE))</f>
        <v>1</v>
      </c>
      <c r="E332" s="55" t="str">
        <f t="shared" ref="E332:E395" ca="1" si="11">IF(D332="NOT TESTED","?"&amp;A332&amp;" (untested)",IF(D332=FALSE,A332,""))</f>
        <v/>
      </c>
      <c r="F332" s="56"/>
      <c r="H332"/>
      <c r="I332"/>
    </row>
    <row r="333" spans="1:9">
      <c r="A333" s="53" t="s">
        <v>472</v>
      </c>
      <c r="B333" s="45" t="s">
        <v>472</v>
      </c>
      <c r="C333" s="53">
        <f>N(1)</f>
        <v>1</v>
      </c>
      <c r="D333" s="54" t="b">
        <f t="shared" ca="1" si="10"/>
        <v>1</v>
      </c>
      <c r="E333" s="55" t="str">
        <f t="shared" ca="1" si="11"/>
        <v/>
      </c>
      <c r="F333" s="56"/>
      <c r="H333"/>
      <c r="I333"/>
    </row>
    <row r="334" spans="1:9">
      <c r="A334" s="53" t="s">
        <v>473</v>
      </c>
      <c r="B334" s="45" t="s">
        <v>473</v>
      </c>
      <c r="C334" s="53" t="e">
        <f>NA()</f>
        <v>#N/A</v>
      </c>
      <c r="D334" s="54" t="b">
        <f t="shared" ca="1" si="10"/>
        <v>1</v>
      </c>
      <c r="E334" s="55" t="str">
        <f t="shared" ca="1" si="11"/>
        <v/>
      </c>
      <c r="F334" s="56"/>
      <c r="H334"/>
      <c r="I334"/>
    </row>
    <row r="335" spans="1:9">
      <c r="A335" s="53" t="s">
        <v>474</v>
      </c>
      <c r="B335" s="45" t="s">
        <v>474</v>
      </c>
      <c r="C335" s="53">
        <f>_xlfn.NEGBINOM.DIST(1,1,0.5,TRUE)</f>
        <v>0.75</v>
      </c>
      <c r="D335" s="54" t="b">
        <f t="shared" ca="1" si="10"/>
        <v>1</v>
      </c>
      <c r="E335" s="55" t="str">
        <f t="shared" ca="1" si="11"/>
        <v/>
      </c>
      <c r="F335" s="56"/>
      <c r="H335"/>
      <c r="I335"/>
    </row>
    <row r="336" spans="1:9">
      <c r="A336" s="53" t="s">
        <v>475</v>
      </c>
      <c r="B336" s="45" t="s">
        <v>475</v>
      </c>
      <c r="C336" s="53">
        <f>NEGBINOMDIST(1,1,0.5)</f>
        <v>0.25</v>
      </c>
      <c r="D336" s="54" t="b">
        <f t="shared" ca="1" si="10"/>
        <v>1</v>
      </c>
      <c r="E336" s="55" t="str">
        <f t="shared" ca="1" si="11"/>
        <v/>
      </c>
      <c r="F336" s="56"/>
      <c r="H336"/>
      <c r="I336"/>
    </row>
    <row r="337" spans="1:9">
      <c r="A337" s="53" t="s">
        <v>476</v>
      </c>
      <c r="B337" s="45" t="s">
        <v>476</v>
      </c>
      <c r="C337" s="53">
        <f>NETWORKDAYS(DATE(2020,1,1),DATE(2020,1,2))</f>
        <v>2</v>
      </c>
      <c r="D337" s="54" t="b">
        <f t="shared" ca="1" si="10"/>
        <v>1</v>
      </c>
      <c r="E337" s="55" t="str">
        <f t="shared" ca="1" si="11"/>
        <v/>
      </c>
      <c r="F337" s="56"/>
      <c r="H337"/>
      <c r="I337"/>
    </row>
    <row r="338" spans="1:9">
      <c r="A338" s="53" t="s">
        <v>477</v>
      </c>
      <c r="B338" s="45" t="s">
        <v>477</v>
      </c>
      <c r="C338" s="53">
        <f>NETWORKDAYS.INTL(DATE(2020,1,1),DATE(2020,1,2))</f>
        <v>2</v>
      </c>
      <c r="D338" s="54" t="b">
        <f t="shared" ca="1" si="10"/>
        <v>1</v>
      </c>
      <c r="E338" s="55" t="str">
        <f t="shared" ca="1" si="11"/>
        <v/>
      </c>
      <c r="F338" s="56"/>
      <c r="H338"/>
      <c r="I338"/>
    </row>
    <row r="339" spans="1:9">
      <c r="A339" s="53" t="s">
        <v>478</v>
      </c>
      <c r="B339" s="45" t="s">
        <v>478</v>
      </c>
      <c r="C339" s="53">
        <f>NOMINAL(0.1,12)</f>
        <v>9.5689685146845171E-2</v>
      </c>
      <c r="D339" s="54" t="b">
        <f t="shared" ca="1" si="10"/>
        <v>1</v>
      </c>
      <c r="E339" s="55" t="str">
        <f t="shared" ca="1" si="11"/>
        <v/>
      </c>
      <c r="F339" s="56"/>
      <c r="H339"/>
      <c r="I339"/>
    </row>
    <row r="340" spans="1:9">
      <c r="A340" s="53" t="s">
        <v>479</v>
      </c>
      <c r="B340" s="45" t="s">
        <v>479</v>
      </c>
      <c r="C340" s="53">
        <f>_xlfn.NORM.DIST(0,0,1,TRUE)</f>
        <v>0.5</v>
      </c>
      <c r="D340" s="54" t="b">
        <f t="shared" ca="1" si="10"/>
        <v>1</v>
      </c>
      <c r="E340" s="55" t="str">
        <f t="shared" ca="1" si="11"/>
        <v/>
      </c>
      <c r="F340" s="56"/>
      <c r="H340"/>
      <c r="I340"/>
    </row>
    <row r="341" spans="1:9">
      <c r="A341" s="53" t="s">
        <v>480</v>
      </c>
      <c r="B341" s="45" t="s">
        <v>480</v>
      </c>
      <c r="C341" s="53">
        <f>_xlfn.NORM.INV(0.5,0,1)</f>
        <v>0</v>
      </c>
      <c r="D341" s="54" t="b">
        <f t="shared" ca="1" si="10"/>
        <v>1</v>
      </c>
      <c r="E341" s="55" t="str">
        <f t="shared" ca="1" si="11"/>
        <v/>
      </c>
      <c r="F341" s="56"/>
      <c r="H341"/>
      <c r="I341"/>
    </row>
    <row r="342" spans="1:9">
      <c r="A342" s="53" t="s">
        <v>481</v>
      </c>
      <c r="B342" s="45" t="s">
        <v>481</v>
      </c>
      <c r="C342" s="53">
        <f>_xlfn.NORM.S.DIST(0,TRUE)</f>
        <v>0.5</v>
      </c>
      <c r="D342" s="54" t="b">
        <f t="shared" ca="1" si="10"/>
        <v>1</v>
      </c>
      <c r="E342" s="55" t="str">
        <f t="shared" ca="1" si="11"/>
        <v/>
      </c>
      <c r="F342" s="56"/>
      <c r="H342"/>
      <c r="I342"/>
    </row>
    <row r="343" spans="1:9">
      <c r="A343" s="53" t="s">
        <v>482</v>
      </c>
      <c r="B343" s="45" t="s">
        <v>482</v>
      </c>
      <c r="C343" s="53">
        <f>_xlfn.NORM.S.INV(0.5)</f>
        <v>0</v>
      </c>
      <c r="D343" s="54" t="b">
        <f t="shared" ca="1" si="10"/>
        <v>1</v>
      </c>
      <c r="E343" s="55" t="str">
        <f t="shared" ca="1" si="11"/>
        <v/>
      </c>
      <c r="F343" s="56"/>
      <c r="H343"/>
      <c r="I343"/>
    </row>
    <row r="344" spans="1:9">
      <c r="A344" s="53" t="s">
        <v>483</v>
      </c>
      <c r="B344" s="45" t="s">
        <v>483</v>
      </c>
      <c r="C344" s="53">
        <f>NORMDIST(0,0,1,TRUE)</f>
        <v>0.5</v>
      </c>
      <c r="D344" s="54" t="b">
        <f t="shared" ca="1" si="10"/>
        <v>1</v>
      </c>
      <c r="E344" s="55" t="str">
        <f t="shared" ca="1" si="11"/>
        <v/>
      </c>
      <c r="F344" s="56"/>
      <c r="H344"/>
      <c r="I344"/>
    </row>
    <row r="345" spans="1:9">
      <c r="A345" s="53" t="s">
        <v>484</v>
      </c>
      <c r="B345" s="45" t="s">
        <v>484</v>
      </c>
      <c r="C345" s="53">
        <f>NORMINV(0.5,0,1)</f>
        <v>0</v>
      </c>
      <c r="D345" s="54" t="b">
        <f t="shared" ca="1" si="10"/>
        <v>1</v>
      </c>
      <c r="E345" s="55" t="str">
        <f t="shared" ca="1" si="11"/>
        <v/>
      </c>
      <c r="F345" s="56"/>
      <c r="H345"/>
      <c r="I345"/>
    </row>
    <row r="346" spans="1:9">
      <c r="A346" s="53" t="s">
        <v>485</v>
      </c>
      <c r="B346" s="45" t="s">
        <v>485</v>
      </c>
      <c r="C346" s="53">
        <f>NORMSDIST(1)</f>
        <v>0.84134474606854304</v>
      </c>
      <c r="D346" s="54" t="b">
        <f t="shared" ca="1" si="10"/>
        <v>1</v>
      </c>
      <c r="E346" s="55" t="str">
        <f t="shared" ca="1" si="11"/>
        <v/>
      </c>
      <c r="F346" s="56"/>
      <c r="H346"/>
      <c r="I346"/>
    </row>
    <row r="347" spans="1:9">
      <c r="A347" s="53" t="s">
        <v>486</v>
      </c>
      <c r="B347" s="45" t="s">
        <v>486</v>
      </c>
      <c r="C347" s="53">
        <f>NORMSINV(0.5)</f>
        <v>0</v>
      </c>
      <c r="D347" s="54" t="b">
        <f t="shared" ca="1" si="10"/>
        <v>1</v>
      </c>
      <c r="E347" s="55" t="str">
        <f t="shared" ca="1" si="11"/>
        <v/>
      </c>
      <c r="F347" s="56"/>
      <c r="H347"/>
      <c r="I347"/>
    </row>
    <row r="348" spans="1:9">
      <c r="A348" s="53" t="s">
        <v>487</v>
      </c>
      <c r="B348" s="45" t="s">
        <v>487</v>
      </c>
      <c r="C348" s="53" t="b">
        <f>NOT(1)</f>
        <v>0</v>
      </c>
      <c r="D348" s="54" t="b">
        <f t="shared" ca="1" si="10"/>
        <v>1</v>
      </c>
      <c r="E348" s="55" t="str">
        <f t="shared" ca="1" si="11"/>
        <v/>
      </c>
      <c r="F348" s="56"/>
      <c r="H348"/>
      <c r="I348"/>
    </row>
    <row r="349" spans="1:9">
      <c r="A349" s="53" t="s">
        <v>488</v>
      </c>
      <c r="B349" s="45" t="s">
        <v>488</v>
      </c>
      <c r="C349" s="53">
        <f ca="1">NOW()</f>
        <v>46314.382584606479</v>
      </c>
      <c r="D349" s="54" t="b">
        <f t="shared" ca="1" si="10"/>
        <v>1</v>
      </c>
      <c r="E349" s="55" t="str">
        <f t="shared" ca="1" si="11"/>
        <v/>
      </c>
      <c r="F349" s="56"/>
      <c r="H349"/>
      <c r="I349"/>
    </row>
    <row r="350" spans="1:9">
      <c r="A350" s="53" t="s">
        <v>489</v>
      </c>
      <c r="B350" s="45" t="s">
        <v>489</v>
      </c>
      <c r="C350" s="53">
        <f>NPER(0.01,-100,1000)</f>
        <v>10.588644459423231</v>
      </c>
      <c r="D350" s="54" t="b">
        <f t="shared" ca="1" si="10"/>
        <v>1</v>
      </c>
      <c r="E350" s="55" t="str">
        <f t="shared" ca="1" si="11"/>
        <v/>
      </c>
      <c r="F350" s="56"/>
      <c r="H350"/>
      <c r="I350"/>
    </row>
    <row r="351" spans="1:9">
      <c r="A351" s="53" t="s">
        <v>490</v>
      </c>
      <c r="B351" s="45" t="s">
        <v>490</v>
      </c>
      <c r="C351" s="53">
        <f>NPV(0.1,100)</f>
        <v>90.909090909090907</v>
      </c>
      <c r="D351" s="54" t="b">
        <f t="shared" ca="1" si="10"/>
        <v>1</v>
      </c>
      <c r="E351" s="55" t="str">
        <f t="shared" ca="1" si="11"/>
        <v/>
      </c>
      <c r="F351" s="56"/>
      <c r="H351"/>
      <c r="I351"/>
    </row>
    <row r="352" spans="1:9">
      <c r="A352" s="53" t="s">
        <v>491</v>
      </c>
      <c r="B352" s="45" t="s">
        <v>491</v>
      </c>
      <c r="C352" s="53">
        <f>_xlfn.NUMBERVALUE(1)</f>
        <v>1</v>
      </c>
      <c r="D352" s="54" t="b">
        <f t="shared" ca="1" si="10"/>
        <v>1</v>
      </c>
      <c r="E352" s="55" t="str">
        <f t="shared" ca="1" si="11"/>
        <v/>
      </c>
      <c r="F352" s="56"/>
      <c r="H352"/>
      <c r="I352"/>
    </row>
    <row r="353" spans="1:9">
      <c r="A353" s="53" t="s">
        <v>492</v>
      </c>
      <c r="B353" s="45" t="s">
        <v>492</v>
      </c>
      <c r="C353" s="53" t="str">
        <f>OCT2BIN(1)</f>
        <v>1</v>
      </c>
      <c r="D353" s="54" t="b">
        <f t="shared" ca="1" si="10"/>
        <v>1</v>
      </c>
      <c r="E353" s="55" t="str">
        <f t="shared" ca="1" si="11"/>
        <v/>
      </c>
      <c r="F353" s="56"/>
      <c r="H353"/>
      <c r="I353"/>
    </row>
    <row r="354" spans="1:9">
      <c r="A354" s="53" t="s">
        <v>493</v>
      </c>
      <c r="B354" s="45" t="s">
        <v>493</v>
      </c>
      <c r="C354" s="53">
        <f>OCT2DEC(1)</f>
        <v>1</v>
      </c>
      <c r="D354" s="54" t="b">
        <f t="shared" ca="1" si="10"/>
        <v>1</v>
      </c>
      <c r="E354" s="55" t="str">
        <f t="shared" ca="1" si="11"/>
        <v/>
      </c>
      <c r="F354" s="56"/>
      <c r="H354"/>
      <c r="I354"/>
    </row>
    <row r="355" spans="1:9">
      <c r="A355" s="53" t="s">
        <v>494</v>
      </c>
      <c r="B355" s="45" t="s">
        <v>494</v>
      </c>
      <c r="C355" s="53" t="str">
        <f>OCT2HEX(1)</f>
        <v>1</v>
      </c>
      <c r="D355" s="54" t="b">
        <f t="shared" ca="1" si="10"/>
        <v>1</v>
      </c>
      <c r="E355" s="55" t="str">
        <f t="shared" ca="1" si="11"/>
        <v/>
      </c>
      <c r="F355" s="56"/>
      <c r="H355"/>
      <c r="I355"/>
    </row>
    <row r="356" spans="1:9">
      <c r="A356" s="53" t="s">
        <v>495</v>
      </c>
      <c r="B356" s="45" t="s">
        <v>495</v>
      </c>
      <c r="C356" s="53">
        <f>ODD(1)</f>
        <v>1</v>
      </c>
      <c r="D356" s="54" t="b">
        <f t="shared" ca="1" si="10"/>
        <v>1</v>
      </c>
      <c r="E356" s="55" t="str">
        <f t="shared" ca="1" si="11"/>
        <v/>
      </c>
      <c r="F356" s="56"/>
      <c r="H356"/>
      <c r="I356"/>
    </row>
    <row r="357" spans="1:9">
      <c r="A357" s="53" t="s">
        <v>496</v>
      </c>
      <c r="B357" s="45" t="s">
        <v>496</v>
      </c>
      <c r="C357" s="53">
        <f>ODDFPRICE(DATE(2020,1,1),DATE(2022,1,1),DATE(2019,7,1),DATE(2020,7,1),0.05,0.05,100,2)</f>
        <v>99.939024390243929</v>
      </c>
      <c r="D357" s="54" t="b">
        <f t="shared" ca="1" si="10"/>
        <v>1</v>
      </c>
      <c r="E357" s="55" t="str">
        <f t="shared" ca="1" si="11"/>
        <v/>
      </c>
      <c r="F357" s="56"/>
      <c r="H357"/>
      <c r="I357"/>
    </row>
    <row r="358" spans="1:9">
      <c r="A358" s="53" t="s">
        <v>497</v>
      </c>
      <c r="B358" s="45" t="s">
        <v>497</v>
      </c>
      <c r="C358" s="53">
        <f>ODDFYIELD(DATE(2020,1,1),DATE(2022,1,1),DATE(2019,7,1),DATE(2020,7,1),0.05,95,100,2)</f>
        <v>7.6941335262328298E-2</v>
      </c>
      <c r="D358" s="54" t="b">
        <f t="shared" ca="1" si="10"/>
        <v>1</v>
      </c>
      <c r="E358" s="55" t="str">
        <f t="shared" ca="1" si="11"/>
        <v/>
      </c>
      <c r="F358" s="56"/>
      <c r="H358"/>
      <c r="I358"/>
    </row>
    <row r="359" spans="1:9">
      <c r="A359" s="53" t="s">
        <v>498</v>
      </c>
      <c r="B359" s="45" t="s">
        <v>498</v>
      </c>
      <c r="C359" s="53">
        <f>ODDLPRICE(DATE(2020,1,1),DATE(2021,1,1),DATE(2019,7,1),0.05,0.05,100,2)</f>
        <v>99.88095238095238</v>
      </c>
      <c r="D359" s="54" t="b">
        <f t="shared" ca="1" si="10"/>
        <v>1</v>
      </c>
      <c r="E359" s="55" t="str">
        <f t="shared" ca="1" si="11"/>
        <v/>
      </c>
      <c r="F359" s="56"/>
      <c r="H359"/>
      <c r="I359"/>
    </row>
    <row r="360" spans="1:9">
      <c r="A360" s="53" t="s">
        <v>499</v>
      </c>
      <c r="B360" s="45" t="s">
        <v>499</v>
      </c>
      <c r="C360" s="53">
        <f>ODDLYIELD(DATE(2020,1,1),DATE(2021,1,1),DATE(2019,7,1),0.05,95,100,2)</f>
        <v>0.10256410256410256</v>
      </c>
      <c r="D360" s="54" t="b">
        <f t="shared" ca="1" si="10"/>
        <v>1</v>
      </c>
      <c r="E360" s="55" t="str">
        <f t="shared" ca="1" si="11"/>
        <v/>
      </c>
      <c r="F360" s="56"/>
      <c r="H360"/>
      <c r="I360"/>
    </row>
    <row r="361" spans="1:9">
      <c r="A361" s="53" t="s">
        <v>500</v>
      </c>
      <c r="B361" s="45" t="s">
        <v>500</v>
      </c>
      <c r="C361" s="53" t="str">
        <f ca="1">OFFSET(A10,0,0)</f>
        <v>Function</v>
      </c>
      <c r="D361" s="54" t="b">
        <f t="shared" ca="1" si="10"/>
        <v>1</v>
      </c>
      <c r="E361" s="55" t="str">
        <f t="shared" ca="1" si="11"/>
        <v/>
      </c>
      <c r="F361" s="56"/>
      <c r="H361"/>
      <c r="I361"/>
    </row>
    <row r="362" spans="1:9">
      <c r="A362" s="53" t="s">
        <v>501</v>
      </c>
      <c r="B362" s="45" t="s">
        <v>501</v>
      </c>
      <c r="C362" s="53" t="b">
        <f>OR(1)</f>
        <v>1</v>
      </c>
      <c r="D362" s="54" t="b">
        <f t="shared" ca="1" si="10"/>
        <v>1</v>
      </c>
      <c r="E362" s="55" t="str">
        <f t="shared" ca="1" si="11"/>
        <v/>
      </c>
      <c r="F362" s="56"/>
      <c r="H362"/>
      <c r="I362"/>
    </row>
    <row r="363" spans="1:9">
      <c r="A363" s="53" t="s">
        <v>502</v>
      </c>
      <c r="B363" s="45" t="s">
        <v>502</v>
      </c>
      <c r="C363" s="53">
        <f>_xlfn.PDURATION(0.1,100,200)</f>
        <v>7.2725408973417052</v>
      </c>
      <c r="D363" s="54" t="b">
        <f t="shared" ca="1" si="10"/>
        <v>1</v>
      </c>
      <c r="E363" s="55" t="str">
        <f t="shared" ca="1" si="11"/>
        <v/>
      </c>
      <c r="F363" s="56"/>
      <c r="H363"/>
      <c r="I363"/>
    </row>
    <row r="364" spans="1:9">
      <c r="A364" s="53" t="s">
        <v>503</v>
      </c>
      <c r="B364" s="45" t="s">
        <v>503</v>
      </c>
      <c r="C364" s="53">
        <f>PEARSON({1,2},{1,2})</f>
        <v>1</v>
      </c>
      <c r="D364" s="54" t="b">
        <f t="shared" ca="1" si="10"/>
        <v>1</v>
      </c>
      <c r="E364" s="55" t="str">
        <f t="shared" ca="1" si="11"/>
        <v/>
      </c>
      <c r="F364" s="56"/>
      <c r="H364"/>
      <c r="I364"/>
    </row>
    <row r="365" spans="1:9">
      <c r="A365" s="53" t="s">
        <v>504</v>
      </c>
      <c r="B365" s="45" t="s">
        <v>504</v>
      </c>
      <c r="C365" s="53">
        <f>PERCENTILE({1,2},0.5)</f>
        <v>1.5</v>
      </c>
      <c r="D365" s="54" t="b">
        <f t="shared" ca="1" si="10"/>
        <v>1</v>
      </c>
      <c r="E365" s="55" t="str">
        <f t="shared" ca="1" si="11"/>
        <v/>
      </c>
      <c r="F365" s="56"/>
      <c r="H365"/>
      <c r="I365"/>
    </row>
    <row r="366" spans="1:9">
      <c r="A366" s="53" t="s">
        <v>505</v>
      </c>
      <c r="B366" s="45" t="s">
        <v>505</v>
      </c>
      <c r="C366" s="53">
        <f>_xlfn.PERCENTILE.EXC({1,2,3},0.5)</f>
        <v>2</v>
      </c>
      <c r="D366" s="54" t="b">
        <f t="shared" ca="1" si="10"/>
        <v>1</v>
      </c>
      <c r="E366" s="55" t="str">
        <f t="shared" ca="1" si="11"/>
        <v/>
      </c>
      <c r="F366" s="56"/>
      <c r="H366"/>
      <c r="I366"/>
    </row>
    <row r="367" spans="1:9">
      <c r="A367" s="53" t="s">
        <v>506</v>
      </c>
      <c r="B367" s="45" t="s">
        <v>506</v>
      </c>
      <c r="C367" s="53">
        <f>_xlfn.PERCENTILE.INC({1,2},0.5)</f>
        <v>1.5</v>
      </c>
      <c r="D367" s="54" t="b">
        <f t="shared" ca="1" si="10"/>
        <v>1</v>
      </c>
      <c r="E367" s="55" t="str">
        <f t="shared" ca="1" si="11"/>
        <v/>
      </c>
      <c r="F367" s="56"/>
      <c r="H367"/>
      <c r="I367"/>
    </row>
    <row r="368" spans="1:9">
      <c r="A368" s="53" t="s">
        <v>507</v>
      </c>
      <c r="B368" s="45" t="s">
        <v>507</v>
      </c>
      <c r="C368" s="53">
        <f>_xlfn.PERCENTOF(1,1)</f>
        <v>1</v>
      </c>
      <c r="D368" s="54" t="b">
        <f t="shared" ca="1" si="10"/>
        <v>1</v>
      </c>
      <c r="E368" s="55" t="str">
        <f t="shared" ca="1" si="11"/>
        <v/>
      </c>
      <c r="F368" s="56"/>
      <c r="H368"/>
      <c r="I368"/>
    </row>
    <row r="369" spans="1:9">
      <c r="A369" s="53" t="s">
        <v>508</v>
      </c>
      <c r="B369" s="45" t="s">
        <v>508</v>
      </c>
      <c r="C369" s="53">
        <f>PERCENTRANK({1,2},1)</f>
        <v>0</v>
      </c>
      <c r="D369" s="54" t="b">
        <f t="shared" ca="1" si="10"/>
        <v>1</v>
      </c>
      <c r="E369" s="55" t="str">
        <f t="shared" ca="1" si="11"/>
        <v/>
      </c>
      <c r="F369" s="56"/>
      <c r="H369"/>
      <c r="I369"/>
    </row>
    <row r="370" spans="1:9">
      <c r="A370" s="53" t="s">
        <v>509</v>
      </c>
      <c r="B370" s="45" t="s">
        <v>509</v>
      </c>
      <c r="C370" s="53">
        <f>_xlfn.PERCENTRANK.EXC({1,2,3},2)</f>
        <v>0.5</v>
      </c>
      <c r="D370" s="54" t="b">
        <f t="shared" ca="1" si="10"/>
        <v>1</v>
      </c>
      <c r="E370" s="55" t="str">
        <f t="shared" ca="1" si="11"/>
        <v/>
      </c>
      <c r="F370" s="56"/>
      <c r="H370"/>
      <c r="I370"/>
    </row>
    <row r="371" spans="1:9">
      <c r="A371" s="53" t="s">
        <v>510</v>
      </c>
      <c r="B371" s="45" t="s">
        <v>510</v>
      </c>
      <c r="C371" s="53">
        <f>_xlfn.PERCENTRANK.INC({1,2},1)</f>
        <v>0</v>
      </c>
      <c r="D371" s="54" t="b">
        <f t="shared" ca="1" si="10"/>
        <v>1</v>
      </c>
      <c r="E371" s="55" t="str">
        <f t="shared" ca="1" si="11"/>
        <v/>
      </c>
      <c r="F371" s="56"/>
      <c r="H371"/>
      <c r="I371"/>
    </row>
    <row r="372" spans="1:9">
      <c r="A372" s="53" t="s">
        <v>511</v>
      </c>
      <c r="B372" s="45" t="s">
        <v>511</v>
      </c>
      <c r="C372" s="53">
        <f>PERMUT(2,1)</f>
        <v>2</v>
      </c>
      <c r="D372" s="54" t="b">
        <f t="shared" ca="1" si="10"/>
        <v>1</v>
      </c>
      <c r="E372" s="55" t="str">
        <f t="shared" ca="1" si="11"/>
        <v/>
      </c>
      <c r="F372" s="56"/>
      <c r="H372"/>
      <c r="I372"/>
    </row>
    <row r="373" spans="1:9">
      <c r="A373" s="53" t="s">
        <v>512</v>
      </c>
      <c r="B373" s="45" t="s">
        <v>512</v>
      </c>
      <c r="C373" s="53">
        <f>_xlfn.PERMUTATIONA(2,1)</f>
        <v>2</v>
      </c>
      <c r="D373" s="54" t="b">
        <f t="shared" ca="1" si="10"/>
        <v>1</v>
      </c>
      <c r="E373" s="55" t="str">
        <f t="shared" ca="1" si="11"/>
        <v/>
      </c>
      <c r="F373" s="56"/>
      <c r="H373"/>
      <c r="I373"/>
    </row>
    <row r="374" spans="1:9">
      <c r="A374" s="53" t="s">
        <v>513</v>
      </c>
      <c r="B374" s="45" t="s">
        <v>513</v>
      </c>
      <c r="C374" s="53">
        <f>_xlfn.PHI(1)</f>
        <v>0.24197072451914337</v>
      </c>
      <c r="D374" s="54" t="b">
        <f t="shared" ca="1" si="10"/>
        <v>1</v>
      </c>
      <c r="E374" s="55" t="str">
        <f t="shared" ca="1" si="11"/>
        <v/>
      </c>
      <c r="F374" s="56"/>
      <c r="H374"/>
      <c r="I374"/>
    </row>
    <row r="375" spans="1:9">
      <c r="A375" s="53" t="s">
        <v>514</v>
      </c>
      <c r="B375" s="45" t="s">
        <v>514</v>
      </c>
      <c r="C375" s="53" t="e">
        <f>PHONETIC(A10)</f>
        <v>#N/A</v>
      </c>
      <c r="D375" s="54" t="b">
        <f t="shared" ca="1" si="10"/>
        <v>1</v>
      </c>
      <c r="E375" s="55" t="str">
        <f t="shared" ca="1" si="11"/>
        <v/>
      </c>
      <c r="F375" s="56"/>
      <c r="H375"/>
      <c r="I375"/>
    </row>
    <row r="376" spans="1:9">
      <c r="A376" s="53" t="s">
        <v>515</v>
      </c>
      <c r="B376" s="45" t="s">
        <v>515</v>
      </c>
      <c r="C376" s="53">
        <f>PI()</f>
        <v>3.1415926535897931</v>
      </c>
      <c r="D376" s="54" t="b">
        <f t="shared" ca="1" si="10"/>
        <v>1</v>
      </c>
      <c r="E376" s="55" t="str">
        <f t="shared" ca="1" si="11"/>
        <v/>
      </c>
      <c r="F376" s="56"/>
      <c r="H376"/>
      <c r="I376"/>
    </row>
    <row r="377" spans="1:9">
      <c r="A377" s="53" t="s">
        <v>516</v>
      </c>
      <c r="B377" s="45" t="s">
        <v>516</v>
      </c>
      <c r="C377" s="53" t="str">
        <f>INDEX(_xlfn.PIVOTBY({1},{1},{1},_xleta.SUM),1,1)</f>
        <v/>
      </c>
      <c r="D377" s="54" t="b">
        <f t="shared" ca="1" si="10"/>
        <v>1</v>
      </c>
      <c r="E377" s="55" t="str">
        <f t="shared" ca="1" si="11"/>
        <v/>
      </c>
      <c r="F377" s="56"/>
      <c r="H377"/>
      <c r="I377"/>
    </row>
    <row r="378" spans="1:9">
      <c r="A378" s="53" t="s">
        <v>517</v>
      </c>
      <c r="B378" s="45" t="s">
        <v>517</v>
      </c>
      <c r="C378" s="53">
        <f>PMT(0.01,12,1000)</f>
        <v>-88.848788678341677</v>
      </c>
      <c r="D378" s="54" t="b">
        <f t="shared" ca="1" si="10"/>
        <v>1</v>
      </c>
      <c r="E378" s="55" t="str">
        <f t="shared" ca="1" si="11"/>
        <v/>
      </c>
      <c r="F378" s="56"/>
      <c r="H378"/>
      <c r="I378"/>
    </row>
    <row r="379" spans="1:9">
      <c r="A379" s="53" t="s">
        <v>518</v>
      </c>
      <c r="B379" s="45" t="s">
        <v>518</v>
      </c>
      <c r="C379" s="53">
        <f>POISSON(1,1,TRUE)</f>
        <v>0.73575888234288478</v>
      </c>
      <c r="D379" s="54" t="b">
        <f t="shared" ca="1" si="10"/>
        <v>1</v>
      </c>
      <c r="E379" s="55" t="str">
        <f t="shared" ca="1" si="11"/>
        <v/>
      </c>
      <c r="F379" s="56"/>
      <c r="H379"/>
      <c r="I379"/>
    </row>
    <row r="380" spans="1:9">
      <c r="A380" s="53" t="s">
        <v>519</v>
      </c>
      <c r="B380" s="45" t="s">
        <v>519</v>
      </c>
      <c r="C380" s="53">
        <f>_xlfn.POISSON.DIST(1,1,TRUE)</f>
        <v>0.73575888234288478</v>
      </c>
      <c r="D380" s="54" t="b">
        <f t="shared" ca="1" si="10"/>
        <v>1</v>
      </c>
      <c r="E380" s="55" t="str">
        <f t="shared" ca="1" si="11"/>
        <v/>
      </c>
      <c r="F380" s="56"/>
      <c r="H380"/>
      <c r="I380"/>
    </row>
    <row r="381" spans="1:9">
      <c r="A381" s="53" t="s">
        <v>520</v>
      </c>
      <c r="B381" s="45" t="s">
        <v>520</v>
      </c>
      <c r="C381" s="53">
        <f>POWER(2,2)</f>
        <v>4</v>
      </c>
      <c r="D381" s="54" t="b">
        <f t="shared" ca="1" si="10"/>
        <v>1</v>
      </c>
      <c r="E381" s="55" t="str">
        <f t="shared" ca="1" si="11"/>
        <v/>
      </c>
      <c r="F381" s="56"/>
      <c r="H381"/>
      <c r="I381"/>
    </row>
    <row r="382" spans="1:9">
      <c r="A382" s="53" t="s">
        <v>521</v>
      </c>
      <c r="B382" s="45" t="s">
        <v>521</v>
      </c>
      <c r="C382" s="53">
        <f>PPMT(0.01,1,12,1000)</f>
        <v>-78.848788678341677</v>
      </c>
      <c r="D382" s="54" t="b">
        <f t="shared" ca="1" si="10"/>
        <v>1</v>
      </c>
      <c r="E382" s="55" t="str">
        <f t="shared" ca="1" si="11"/>
        <v/>
      </c>
      <c r="F382" s="56"/>
      <c r="H382"/>
      <c r="I382"/>
    </row>
    <row r="383" spans="1:9">
      <c r="A383" s="53" t="s">
        <v>522</v>
      </c>
      <c r="B383" s="45" t="s">
        <v>522</v>
      </c>
      <c r="C383" s="53">
        <f>PRICE(DATE(2020,1,1),DATE(2021,1,1),0.05,0.05,100,1)</f>
        <v>100</v>
      </c>
      <c r="D383" s="54" t="b">
        <f t="shared" ca="1" si="10"/>
        <v>1</v>
      </c>
      <c r="E383" s="55" t="str">
        <f t="shared" ca="1" si="11"/>
        <v/>
      </c>
      <c r="F383" s="56"/>
      <c r="H383"/>
      <c r="I383"/>
    </row>
    <row r="384" spans="1:9">
      <c r="A384" s="53" t="s">
        <v>523</v>
      </c>
      <c r="B384" s="45" t="s">
        <v>523</v>
      </c>
      <c r="C384" s="53">
        <f>PRICEDISC(DATE(2020,1,1),DATE(2021,1,1),0.05,100)</f>
        <v>95</v>
      </c>
      <c r="D384" s="54" t="b">
        <f t="shared" ca="1" si="10"/>
        <v>1</v>
      </c>
      <c r="E384" s="55" t="str">
        <f t="shared" ca="1" si="11"/>
        <v/>
      </c>
      <c r="F384" s="56"/>
      <c r="H384"/>
      <c r="I384"/>
    </row>
    <row r="385" spans="1:9">
      <c r="A385" s="53" t="s">
        <v>524</v>
      </c>
      <c r="B385" s="45" t="s">
        <v>524</v>
      </c>
      <c r="C385" s="53">
        <f>PRICEMAT(DATE(2020,1,1),DATE(2021,1,1),DATE(2019,1,1),0.05,0.05)</f>
        <v>99.761904761904759</v>
      </c>
      <c r="D385" s="54" t="b">
        <f t="shared" ca="1" si="10"/>
        <v>1</v>
      </c>
      <c r="E385" s="55" t="str">
        <f t="shared" ca="1" si="11"/>
        <v/>
      </c>
      <c r="F385" s="56"/>
      <c r="H385"/>
      <c r="I385"/>
    </row>
    <row r="386" spans="1:9">
      <c r="A386" s="53" t="s">
        <v>525</v>
      </c>
      <c r="B386" s="45" t="s">
        <v>525</v>
      </c>
      <c r="C386" s="53">
        <f>PROB({1,2},{0.5,0.5},1,2)</f>
        <v>1</v>
      </c>
      <c r="D386" s="54" t="b">
        <f t="shared" ca="1" si="10"/>
        <v>1</v>
      </c>
      <c r="E386" s="55" t="str">
        <f t="shared" ca="1" si="11"/>
        <v/>
      </c>
      <c r="F386" s="56"/>
      <c r="H386"/>
      <c r="I386"/>
    </row>
    <row r="387" spans="1:9">
      <c r="A387" s="53" t="s">
        <v>526</v>
      </c>
      <c r="B387" s="45" t="s">
        <v>526</v>
      </c>
      <c r="C387" s="53">
        <f>PRODUCT(1)</f>
        <v>1</v>
      </c>
      <c r="D387" s="54" t="b">
        <f t="shared" ca="1" si="10"/>
        <v>1</v>
      </c>
      <c r="E387" s="55" t="str">
        <f t="shared" ca="1" si="11"/>
        <v/>
      </c>
      <c r="F387" s="56"/>
      <c r="H387"/>
      <c r="I387"/>
    </row>
    <row r="388" spans="1:9">
      <c r="A388" s="53" t="s">
        <v>527</v>
      </c>
      <c r="B388" s="45" t="s">
        <v>527</v>
      </c>
      <c r="C388" s="53" t="str">
        <f>PROPER(1)</f>
        <v>1</v>
      </c>
      <c r="D388" s="54" t="b">
        <f t="shared" ca="1" si="10"/>
        <v>1</v>
      </c>
      <c r="E388" s="55" t="str">
        <f t="shared" ca="1" si="11"/>
        <v/>
      </c>
      <c r="F388" s="56"/>
      <c r="H388"/>
      <c r="I388"/>
    </row>
    <row r="389" spans="1:9">
      <c r="A389" s="53" t="s">
        <v>528</v>
      </c>
      <c r="B389" s="45" t="s">
        <v>528</v>
      </c>
      <c r="C389" s="53">
        <f>PV(0.01,12,-100)</f>
        <v>1125.5077473484635</v>
      </c>
      <c r="D389" s="54" t="b">
        <f t="shared" ca="1" si="10"/>
        <v>1</v>
      </c>
      <c r="E389" s="55" t="str">
        <f t="shared" ca="1" si="11"/>
        <v/>
      </c>
      <c r="F389" s="56"/>
      <c r="H389"/>
      <c r="I389"/>
    </row>
    <row r="390" spans="1:9">
      <c r="A390" s="53" t="s">
        <v>529</v>
      </c>
      <c r="B390" s="45" t="s">
        <v>529</v>
      </c>
      <c r="C390" s="53" t="e" cm="1" vm="3">
        <f t="array" ref="C390">_xlfn._xlws.PY(0,1)</f>
        <v>#VALUE!</v>
      </c>
      <c r="D390" s="54" t="b">
        <f t="shared" ca="1" si="10"/>
        <v>1</v>
      </c>
      <c r="E390" s="55" t="str">
        <f t="shared" ca="1" si="11"/>
        <v/>
      </c>
      <c r="F390" s="56"/>
      <c r="H390"/>
      <c r="I390"/>
    </row>
    <row r="391" spans="1:9">
      <c r="A391" s="53" t="s">
        <v>530</v>
      </c>
      <c r="B391" s="45" t="s">
        <v>530</v>
      </c>
      <c r="C391" s="53">
        <f>QUARTILE({1,2,3,4},1)</f>
        <v>1.75</v>
      </c>
      <c r="D391" s="54" t="b">
        <f t="shared" ca="1" si="10"/>
        <v>1</v>
      </c>
      <c r="E391" s="55" t="str">
        <f t="shared" ca="1" si="11"/>
        <v/>
      </c>
      <c r="F391" s="56"/>
      <c r="H391"/>
      <c r="I391"/>
    </row>
    <row r="392" spans="1:9">
      <c r="A392" s="53" t="s">
        <v>531</v>
      </c>
      <c r="B392" s="45" t="s">
        <v>531</v>
      </c>
      <c r="C392" s="53">
        <f>_xlfn.QUARTILE.EXC({1,2,3,4,5},1)</f>
        <v>1.5</v>
      </c>
      <c r="D392" s="54" t="b">
        <f t="shared" ca="1" si="10"/>
        <v>1</v>
      </c>
      <c r="E392" s="55" t="str">
        <f t="shared" ca="1" si="11"/>
        <v/>
      </c>
      <c r="F392" s="56"/>
      <c r="H392"/>
      <c r="I392"/>
    </row>
    <row r="393" spans="1:9">
      <c r="A393" s="53" t="s">
        <v>532</v>
      </c>
      <c r="B393" s="45" t="s">
        <v>532</v>
      </c>
      <c r="C393" s="53">
        <f>_xlfn.QUARTILE.INC({1,2,3,4},1)</f>
        <v>1.75</v>
      </c>
      <c r="D393" s="54" t="b">
        <f t="shared" ca="1" si="10"/>
        <v>1</v>
      </c>
      <c r="E393" s="55" t="str">
        <f t="shared" ca="1" si="11"/>
        <v/>
      </c>
      <c r="F393" s="56"/>
      <c r="H393"/>
      <c r="I393"/>
    </row>
    <row r="394" spans="1:9">
      <c r="A394" s="53" t="s">
        <v>533</v>
      </c>
      <c r="B394" s="45" t="s">
        <v>533</v>
      </c>
      <c r="C394" s="53">
        <f>QUOTIENT(1,1)</f>
        <v>1</v>
      </c>
      <c r="D394" s="54" t="b">
        <f t="shared" ca="1" si="10"/>
        <v>1</v>
      </c>
      <c r="E394" s="55" t="str">
        <f t="shared" ca="1" si="11"/>
        <v/>
      </c>
      <c r="F394" s="56"/>
      <c r="H394"/>
      <c r="I394"/>
    </row>
    <row r="395" spans="1:9">
      <c r="A395" s="53" t="s">
        <v>534</v>
      </c>
      <c r="B395" s="45" t="s">
        <v>534</v>
      </c>
      <c r="C395" s="53">
        <f>RADIANS(1)</f>
        <v>1.7453292519943295E-2</v>
      </c>
      <c r="D395" s="54" t="b">
        <f t="shared" ca="1" si="10"/>
        <v>1</v>
      </c>
      <c r="E395" s="55" t="str">
        <f t="shared" ca="1" si="11"/>
        <v/>
      </c>
      <c r="F395" s="56"/>
      <c r="H395"/>
      <c r="I395"/>
    </row>
    <row r="396" spans="1:9">
      <c r="A396" s="53" t="s">
        <v>535</v>
      </c>
      <c r="B396" s="45" t="s">
        <v>535</v>
      </c>
      <c r="C396" s="53">
        <f ca="1">RAND()</f>
        <v>0.57536943108111738</v>
      </c>
      <c r="D396" s="54" t="b">
        <f t="shared" ref="D396:D459" ca="1" si="12">IF(NOT(_xlfn.ISFORMULA(C396)),"NOT TESTED",IFERROR(AND(ERROR.TYPE(C396)&lt;&gt;5,ISERROR(SEARCH("xlfn",_xlfn.FORMULATEXT(C396)))),TRUE))</f>
        <v>1</v>
      </c>
      <c r="E396" s="55" t="str">
        <f t="shared" ref="E396:E459" ca="1" si="13">IF(D396="NOT TESTED","?"&amp;A396&amp;" (untested)",IF(D396=FALSE,A396,""))</f>
        <v/>
      </c>
      <c r="F396" s="56"/>
      <c r="H396"/>
      <c r="I396"/>
    </row>
    <row r="397" spans="1:9">
      <c r="A397" s="53" t="s">
        <v>536</v>
      </c>
      <c r="B397" s="45" t="s">
        <v>536</v>
      </c>
      <c r="C397" s="53" cm="1">
        <f t="array" aca="1" ref="C397" ca="1">_xlfn.RANDARRAY(1)</f>
        <v>0.95415659695163613</v>
      </c>
      <c r="D397" s="54" t="b">
        <f t="shared" ca="1" si="12"/>
        <v>1</v>
      </c>
      <c r="E397" s="55" t="str">
        <f t="shared" ca="1" si="13"/>
        <v/>
      </c>
      <c r="F397" s="56"/>
      <c r="H397"/>
      <c r="I397"/>
    </row>
    <row r="398" spans="1:9">
      <c r="A398" s="53" t="s">
        <v>537</v>
      </c>
      <c r="B398" s="45" t="s">
        <v>537</v>
      </c>
      <c r="C398" s="53">
        <f ca="1">RANDBETWEEN(1,1)</f>
        <v>1</v>
      </c>
      <c r="D398" s="54" t="b">
        <f t="shared" ca="1" si="12"/>
        <v>1</v>
      </c>
      <c r="E398" s="55" t="str">
        <f t="shared" ca="1" si="13"/>
        <v/>
      </c>
      <c r="F398" s="56"/>
      <c r="H398"/>
      <c r="I398"/>
    </row>
    <row r="399" spans="1:9">
      <c r="A399" s="53" t="s">
        <v>538</v>
      </c>
      <c r="B399" s="45" t="s">
        <v>538</v>
      </c>
      <c r="C399" s="53">
        <f>RANK(1,$C$11:$C$12)</f>
        <v>2</v>
      </c>
      <c r="D399" s="54" t="b">
        <f t="shared" ca="1" si="12"/>
        <v>1</v>
      </c>
      <c r="E399" s="55" t="str">
        <f t="shared" ca="1" si="13"/>
        <v/>
      </c>
      <c r="F399" s="56"/>
      <c r="H399"/>
      <c r="I399"/>
    </row>
    <row r="400" spans="1:9">
      <c r="A400" s="53" t="s">
        <v>539</v>
      </c>
      <c r="B400" s="45" t="s">
        <v>539</v>
      </c>
      <c r="C400" s="53">
        <f>_xlfn.RANK.AVG(1,$C$11:$C$12)</f>
        <v>2</v>
      </c>
      <c r="D400" s="54" t="b">
        <f t="shared" ca="1" si="12"/>
        <v>1</v>
      </c>
      <c r="E400" s="55" t="str">
        <f t="shared" ca="1" si="13"/>
        <v/>
      </c>
      <c r="F400" s="56"/>
      <c r="H400"/>
      <c r="I400"/>
    </row>
    <row r="401" spans="1:9">
      <c r="A401" s="53" t="s">
        <v>540</v>
      </c>
      <c r="B401" s="45" t="s">
        <v>540</v>
      </c>
      <c r="C401" s="53">
        <f>_xlfn.RANK.EQ(1,$C$11:$C$12)</f>
        <v>2</v>
      </c>
      <c r="D401" s="54" t="b">
        <f t="shared" ca="1" si="12"/>
        <v>1</v>
      </c>
      <c r="E401" s="55" t="str">
        <f t="shared" ca="1" si="13"/>
        <v/>
      </c>
      <c r="F401" s="56"/>
      <c r="H401"/>
      <c r="I401"/>
    </row>
    <row r="402" spans="1:9">
      <c r="A402" s="53" t="s">
        <v>541</v>
      </c>
      <c r="B402" s="45" t="s">
        <v>541</v>
      </c>
      <c r="C402" s="53">
        <f>RATE(12,-100,1000)</f>
        <v>2.922854076913774E-2</v>
      </c>
      <c r="D402" s="54" t="b">
        <f t="shared" ca="1" si="12"/>
        <v>1</v>
      </c>
      <c r="E402" s="55" t="str">
        <f t="shared" ca="1" si="13"/>
        <v/>
      </c>
      <c r="F402" s="56"/>
      <c r="H402"/>
      <c r="I402"/>
    </row>
    <row r="403" spans="1:9">
      <c r="A403" s="53" t="s">
        <v>542</v>
      </c>
      <c r="B403" s="45" t="s">
        <v>542</v>
      </c>
      <c r="C403" s="53">
        <f>RECEIVED(DATE(2020,1,1),DATE(2021,1,1),95,0.05)</f>
        <v>100</v>
      </c>
      <c r="D403" s="54" t="b">
        <f t="shared" ca="1" si="12"/>
        <v>1</v>
      </c>
      <c r="E403" s="55" t="str">
        <f t="shared" ca="1" si="13"/>
        <v/>
      </c>
      <c r="F403" s="56"/>
      <c r="H403"/>
      <c r="I403"/>
    </row>
    <row r="404" spans="1:9">
      <c r="A404" s="53" t="s">
        <v>543</v>
      </c>
      <c r="B404" s="45" t="s">
        <v>543</v>
      </c>
      <c r="C404" s="53" cm="1">
        <f t="array" ref="C404">_xlfn.REDUCE(0,1,_xlfn.LAMBDA(_xlpm.a,_xlpm.b,_xlpm.a+_xlpm.b))</f>
        <v>1</v>
      </c>
      <c r="D404" s="54" t="b">
        <f t="shared" ca="1" si="12"/>
        <v>1</v>
      </c>
      <c r="E404" s="55" t="str">
        <f t="shared" ca="1" si="13"/>
        <v/>
      </c>
      <c r="F404" s="56"/>
      <c r="H404"/>
      <c r="I404"/>
    </row>
    <row r="405" spans="1:9">
      <c r="A405" s="53" t="s">
        <v>544</v>
      </c>
      <c r="B405" s="45" t="s">
        <v>544</v>
      </c>
      <c r="C405" s="53" t="str" cm="1">
        <f t="array" ref="C405">_xlfn.REGEXEXTRACT("a","a")</f>
        <v>a</v>
      </c>
      <c r="D405" s="54" t="b">
        <f t="shared" ca="1" si="12"/>
        <v>1</v>
      </c>
      <c r="E405" s="55" t="str">
        <f t="shared" ca="1" si="13"/>
        <v/>
      </c>
      <c r="F405" s="56"/>
      <c r="H405"/>
      <c r="I405"/>
    </row>
    <row r="406" spans="1:9">
      <c r="A406" s="53" t="s">
        <v>545</v>
      </c>
      <c r="B406" s="45" t="s">
        <v>545</v>
      </c>
      <c r="C406" s="53" t="str">
        <f>_xlfn.REGEXREPLACE("a","a","b")</f>
        <v>b</v>
      </c>
      <c r="D406" s="54" t="b">
        <f t="shared" ca="1" si="12"/>
        <v>1</v>
      </c>
      <c r="E406" s="55" t="str">
        <f t="shared" ca="1" si="13"/>
        <v/>
      </c>
      <c r="F406" s="56"/>
      <c r="H406"/>
      <c r="I406"/>
    </row>
    <row r="407" spans="1:9">
      <c r="A407" s="53" t="s">
        <v>546</v>
      </c>
      <c r="B407" s="45" t="s">
        <v>546</v>
      </c>
      <c r="C407" s="53" t="b">
        <f>_xlfn.REGEXTEST("a","a")</f>
        <v>1</v>
      </c>
      <c r="D407" s="54" t="b">
        <f t="shared" ca="1" si="12"/>
        <v>1</v>
      </c>
      <c r="E407" s="55" t="str">
        <f t="shared" ca="1" si="13"/>
        <v/>
      </c>
      <c r="F407" s="56"/>
      <c r="H407"/>
      <c r="I407"/>
    </row>
    <row r="408" spans="1:9" ht="57.6">
      <c r="A408" s="53" t="s">
        <v>735</v>
      </c>
      <c r="B408" s="45" t="s">
        <v>735</v>
      </c>
      <c r="C408" s="76" t="s">
        <v>740</v>
      </c>
      <c r="D408" s="54" t="str">
        <f t="shared" ca="1" si="12"/>
        <v>NOT TESTED</v>
      </c>
      <c r="E408" s="55" t="str">
        <f t="shared" ca="1" si="13"/>
        <v>?REGISTER.ID (untested)</v>
      </c>
      <c r="F408" s="56" t="s">
        <v>190</v>
      </c>
      <c r="H408"/>
      <c r="I408"/>
    </row>
    <row r="409" spans="1:9">
      <c r="A409" s="53" t="s">
        <v>547</v>
      </c>
      <c r="B409" s="45" t="s">
        <v>547</v>
      </c>
      <c r="C409" s="53" t="str">
        <f>REPLACE("a",1,1,"b")</f>
        <v>b</v>
      </c>
      <c r="D409" s="54" t="b">
        <f t="shared" ca="1" si="12"/>
        <v>1</v>
      </c>
      <c r="E409" s="55" t="str">
        <f t="shared" ca="1" si="13"/>
        <v/>
      </c>
      <c r="F409" s="56"/>
      <c r="H409"/>
      <c r="I409"/>
    </row>
    <row r="410" spans="1:9">
      <c r="A410" s="53" t="s">
        <v>548</v>
      </c>
      <c r="B410" s="45" t="s">
        <v>548</v>
      </c>
      <c r="C410" s="53" t="str">
        <f>REPLACEB("a",1,1,"b")</f>
        <v>b</v>
      </c>
      <c r="D410" s="54" t="b">
        <f t="shared" ca="1" si="12"/>
        <v>1</v>
      </c>
      <c r="E410" s="55" t="str">
        <f t="shared" ca="1" si="13"/>
        <v/>
      </c>
      <c r="F410" s="56"/>
      <c r="H410"/>
      <c r="I410"/>
    </row>
    <row r="411" spans="1:9">
      <c r="A411" s="53" t="s">
        <v>549</v>
      </c>
      <c r="B411" s="45" t="s">
        <v>549</v>
      </c>
      <c r="C411" s="53" t="str">
        <f>REPT("a",1)</f>
        <v>a</v>
      </c>
      <c r="D411" s="54" t="b">
        <f t="shared" ca="1" si="12"/>
        <v>1</v>
      </c>
      <c r="E411" s="55" t="str">
        <f t="shared" ca="1" si="13"/>
        <v/>
      </c>
      <c r="F411" s="56"/>
      <c r="H411"/>
      <c r="I411"/>
    </row>
    <row r="412" spans="1:9">
      <c r="A412" s="53" t="s">
        <v>550</v>
      </c>
      <c r="B412" s="45" t="s">
        <v>550</v>
      </c>
      <c r="C412" s="53" t="str">
        <f>RIGHT(1)</f>
        <v>1</v>
      </c>
      <c r="D412" s="54" t="b">
        <f t="shared" ca="1" si="12"/>
        <v>1</v>
      </c>
      <c r="E412" s="55" t="str">
        <f t="shared" ca="1" si="13"/>
        <v/>
      </c>
      <c r="F412" s="56"/>
      <c r="H412"/>
      <c r="I412"/>
    </row>
    <row r="413" spans="1:9">
      <c r="A413" s="53" t="s">
        <v>551</v>
      </c>
      <c r="B413" s="45" t="s">
        <v>551</v>
      </c>
      <c r="C413" s="53" t="str">
        <f>RIGHTB(1)</f>
        <v>1</v>
      </c>
      <c r="D413" s="54" t="b">
        <f t="shared" ca="1" si="12"/>
        <v>1</v>
      </c>
      <c r="E413" s="55" t="str">
        <f t="shared" ca="1" si="13"/>
        <v/>
      </c>
      <c r="F413" s="56"/>
      <c r="H413"/>
      <c r="I413"/>
    </row>
    <row r="414" spans="1:9">
      <c r="A414" s="53" t="s">
        <v>552</v>
      </c>
      <c r="B414" s="45" t="s">
        <v>552</v>
      </c>
      <c r="C414" s="53" t="str">
        <f>ROMAN(1)</f>
        <v>I</v>
      </c>
      <c r="D414" s="54" t="b">
        <f t="shared" ca="1" si="12"/>
        <v>1</v>
      </c>
      <c r="E414" s="55" t="str">
        <f t="shared" ca="1" si="13"/>
        <v/>
      </c>
      <c r="F414" s="56"/>
      <c r="H414"/>
      <c r="I414"/>
    </row>
    <row r="415" spans="1:9">
      <c r="A415" s="53" t="s">
        <v>553</v>
      </c>
      <c r="B415" s="45" t="s">
        <v>553</v>
      </c>
      <c r="C415" s="53">
        <f>ROUND(1,0)</f>
        <v>1</v>
      </c>
      <c r="D415" s="54" t="b">
        <f t="shared" ca="1" si="12"/>
        <v>1</v>
      </c>
      <c r="E415" s="55" t="str">
        <f t="shared" ca="1" si="13"/>
        <v/>
      </c>
      <c r="F415" s="56"/>
      <c r="H415"/>
      <c r="I415"/>
    </row>
    <row r="416" spans="1:9">
      <c r="A416" s="53" t="s">
        <v>554</v>
      </c>
      <c r="B416" s="45" t="s">
        <v>554</v>
      </c>
      <c r="C416" s="53">
        <f>ROUNDDOWN(1,0)</f>
        <v>1</v>
      </c>
      <c r="D416" s="54" t="b">
        <f t="shared" ca="1" si="12"/>
        <v>1</v>
      </c>
      <c r="E416" s="55" t="str">
        <f t="shared" ca="1" si="13"/>
        <v/>
      </c>
      <c r="F416" s="56"/>
      <c r="H416"/>
      <c r="I416"/>
    </row>
    <row r="417" spans="1:9">
      <c r="A417" s="53" t="s">
        <v>555</v>
      </c>
      <c r="B417" s="45" t="s">
        <v>555</v>
      </c>
      <c r="C417" s="53">
        <f>ROUNDUP(1,0)</f>
        <v>1</v>
      </c>
      <c r="D417" s="54" t="b">
        <f t="shared" ca="1" si="12"/>
        <v>1</v>
      </c>
      <c r="E417" s="55" t="str">
        <f t="shared" ca="1" si="13"/>
        <v/>
      </c>
      <c r="F417" s="56"/>
      <c r="H417"/>
      <c r="I417"/>
    </row>
    <row r="418" spans="1:9">
      <c r="A418" s="53" t="s">
        <v>556</v>
      </c>
      <c r="B418" s="45" t="s">
        <v>556</v>
      </c>
      <c r="C418" s="53">
        <f>ROW(A10)</f>
        <v>10</v>
      </c>
      <c r="D418" s="54" t="b">
        <f t="shared" ca="1" si="12"/>
        <v>1</v>
      </c>
      <c r="E418" s="55" t="str">
        <f t="shared" ca="1" si="13"/>
        <v/>
      </c>
      <c r="F418" s="56"/>
      <c r="H418"/>
      <c r="I418"/>
    </row>
    <row r="419" spans="1:9">
      <c r="A419" s="53" t="s">
        <v>557</v>
      </c>
      <c r="B419" s="45" t="s">
        <v>557</v>
      </c>
      <c r="C419" s="53">
        <f>ROWS(1)</f>
        <v>1</v>
      </c>
      <c r="D419" s="54" t="b">
        <f t="shared" ca="1" si="12"/>
        <v>1</v>
      </c>
      <c r="E419" s="55" t="str">
        <f t="shared" ca="1" si="13"/>
        <v/>
      </c>
      <c r="F419" s="56"/>
      <c r="H419"/>
      <c r="I419"/>
    </row>
    <row r="420" spans="1:9">
      <c r="A420" s="53" t="s">
        <v>558</v>
      </c>
      <c r="B420" s="45" t="s">
        <v>558</v>
      </c>
      <c r="C420" s="53">
        <f>_xlfn.RRI(1,1,2)</f>
        <v>1</v>
      </c>
      <c r="D420" s="54" t="b">
        <f t="shared" ca="1" si="12"/>
        <v>1</v>
      </c>
      <c r="E420" s="55" t="str">
        <f t="shared" ca="1" si="13"/>
        <v/>
      </c>
      <c r="F420" s="56"/>
      <c r="H420"/>
      <c r="I420"/>
    </row>
    <row r="421" spans="1:9">
      <c r="A421" s="53" t="s">
        <v>559</v>
      </c>
      <c r="B421" s="45" t="s">
        <v>559</v>
      </c>
      <c r="C421" s="53">
        <f>RSQ({1,2},{1,2})</f>
        <v>0.99999999999999956</v>
      </c>
      <c r="D421" s="54" t="b">
        <f t="shared" ca="1" si="12"/>
        <v>1</v>
      </c>
      <c r="E421" s="55" t="str">
        <f t="shared" ca="1" si="13"/>
        <v/>
      </c>
      <c r="F421" s="56"/>
      <c r="H421"/>
      <c r="I421"/>
    </row>
    <row r="422" spans="1:9">
      <c r="A422" s="53" t="s">
        <v>560</v>
      </c>
      <c r="B422" s="45" t="s">
        <v>560</v>
      </c>
      <c r="C422" s="53">
        <f>IF(FALSE,RTD("x",,"x"),0)</f>
        <v>0</v>
      </c>
      <c r="D422" s="54" t="b">
        <f t="shared" ca="1" si="12"/>
        <v>1</v>
      </c>
      <c r="E422" s="55" t="str">
        <f t="shared" ca="1" si="13"/>
        <v/>
      </c>
      <c r="F422" s="56"/>
      <c r="H422"/>
      <c r="I422"/>
    </row>
    <row r="423" spans="1:9">
      <c r="A423" s="53" t="s">
        <v>561</v>
      </c>
      <c r="B423" s="45" t="s">
        <v>561</v>
      </c>
      <c r="C423" s="53" cm="1">
        <f t="array" ref="C423">_xlfn.SCAN(0,1,_xlfn.LAMBDA(_xlpm.a,_xlpm.b,_xlpm.a+_xlpm.b))</f>
        <v>1</v>
      </c>
      <c r="D423" s="54" t="b">
        <f t="shared" ca="1" si="12"/>
        <v>1</v>
      </c>
      <c r="E423" s="55" t="str">
        <f t="shared" ca="1" si="13"/>
        <v/>
      </c>
      <c r="F423" s="56"/>
      <c r="H423"/>
      <c r="I423"/>
    </row>
    <row r="424" spans="1:9">
      <c r="A424" s="53" t="s">
        <v>562</v>
      </c>
      <c r="B424" s="45" t="s">
        <v>562</v>
      </c>
      <c r="C424" s="53">
        <f>SEARCH("a","a")</f>
        <v>1</v>
      </c>
      <c r="D424" s="54" t="b">
        <f t="shared" ca="1" si="12"/>
        <v>1</v>
      </c>
      <c r="E424" s="55" t="str">
        <f t="shared" ca="1" si="13"/>
        <v/>
      </c>
      <c r="F424" s="56"/>
      <c r="H424"/>
      <c r="I424"/>
    </row>
    <row r="425" spans="1:9">
      <c r="A425" s="53" t="s">
        <v>563</v>
      </c>
      <c r="B425" s="45" t="s">
        <v>563</v>
      </c>
      <c r="C425" s="53">
        <f>SEARCHB("a","a")</f>
        <v>1</v>
      </c>
      <c r="D425" s="54" t="b">
        <f t="shared" ca="1" si="12"/>
        <v>1</v>
      </c>
      <c r="E425" s="55" t="str">
        <f t="shared" ca="1" si="13"/>
        <v/>
      </c>
      <c r="F425" s="56"/>
      <c r="H425"/>
      <c r="I425"/>
    </row>
    <row r="426" spans="1:9">
      <c r="A426" s="53" t="s">
        <v>564</v>
      </c>
      <c r="B426" s="45" t="s">
        <v>564</v>
      </c>
      <c r="C426" s="53">
        <f>_xlfn.SEC(1)</f>
        <v>1.8508157176809255</v>
      </c>
      <c r="D426" s="54" t="b">
        <f t="shared" ca="1" si="12"/>
        <v>1</v>
      </c>
      <c r="E426" s="55" t="str">
        <f t="shared" ca="1" si="13"/>
        <v/>
      </c>
      <c r="F426" s="56"/>
      <c r="H426"/>
      <c r="I426"/>
    </row>
    <row r="427" spans="1:9">
      <c r="A427" s="53" t="s">
        <v>565</v>
      </c>
      <c r="B427" s="45" t="s">
        <v>565</v>
      </c>
      <c r="C427" s="53">
        <f>_xlfn.SECH(1)</f>
        <v>0.64805427366388546</v>
      </c>
      <c r="D427" s="54" t="b">
        <f t="shared" ca="1" si="12"/>
        <v>1</v>
      </c>
      <c r="E427" s="55" t="str">
        <f t="shared" ca="1" si="13"/>
        <v/>
      </c>
      <c r="F427" s="56"/>
      <c r="H427"/>
      <c r="I427"/>
    </row>
    <row r="428" spans="1:9">
      <c r="A428" s="53" t="s">
        <v>566</v>
      </c>
      <c r="B428" s="45" t="s">
        <v>566</v>
      </c>
      <c r="C428" s="53">
        <f>SECOND(1)</f>
        <v>0</v>
      </c>
      <c r="D428" s="54" t="b">
        <f t="shared" ca="1" si="12"/>
        <v>1</v>
      </c>
      <c r="E428" s="55" t="str">
        <f t="shared" ca="1" si="13"/>
        <v/>
      </c>
      <c r="F428" s="56"/>
      <c r="H428"/>
      <c r="I428"/>
    </row>
    <row r="429" spans="1:9">
      <c r="A429" s="53" t="s">
        <v>567</v>
      </c>
      <c r="B429" s="45" t="s">
        <v>567</v>
      </c>
      <c r="C429" s="53" cm="1">
        <f t="array" ref="C429">_xlfn.SEQUENCE(1)</f>
        <v>1</v>
      </c>
      <c r="D429" s="54" t="b">
        <f t="shared" ca="1" si="12"/>
        <v>1</v>
      </c>
      <c r="E429" s="55" t="str">
        <f t="shared" ca="1" si="13"/>
        <v/>
      </c>
      <c r="F429" s="56"/>
      <c r="H429"/>
      <c r="I429"/>
    </row>
    <row r="430" spans="1:9">
      <c r="A430" s="53" t="s">
        <v>568</v>
      </c>
      <c r="B430" s="45" t="s">
        <v>568</v>
      </c>
      <c r="C430" s="53">
        <f>SERIESSUM(1,1,1,{1})</f>
        <v>1</v>
      </c>
      <c r="D430" s="54" t="b">
        <f t="shared" ca="1" si="12"/>
        <v>1</v>
      </c>
      <c r="E430" s="55" t="str">
        <f t="shared" ca="1" si="13"/>
        <v/>
      </c>
      <c r="F430" s="56"/>
      <c r="H430"/>
      <c r="I430"/>
    </row>
    <row r="431" spans="1:9">
      <c r="A431" s="53" t="s">
        <v>736</v>
      </c>
      <c r="B431" s="45" t="s">
        <v>736</v>
      </c>
      <c r="C431" s="53">
        <f ca="1">_xlfn.SHEET(A1)</f>
        <v>2</v>
      </c>
      <c r="D431" s="54" t="b">
        <f t="shared" ca="1" si="12"/>
        <v>1</v>
      </c>
      <c r="E431" s="55" t="str">
        <f t="shared" ca="1" si="13"/>
        <v/>
      </c>
      <c r="F431" s="56"/>
      <c r="H431"/>
      <c r="I431"/>
    </row>
    <row r="432" spans="1:9">
      <c r="A432" s="53" t="s">
        <v>737</v>
      </c>
      <c r="B432" s="45" t="s">
        <v>737</v>
      </c>
      <c r="C432" s="53">
        <f ca="1">_xlfn.SHEETS(A1)</f>
        <v>1</v>
      </c>
      <c r="D432" s="54" t="b">
        <f t="shared" ca="1" si="12"/>
        <v>1</v>
      </c>
      <c r="E432" s="55" t="str">
        <f t="shared" ca="1" si="13"/>
        <v/>
      </c>
      <c r="F432" s="56"/>
      <c r="H432"/>
      <c r="I432"/>
    </row>
    <row r="433" spans="1:9">
      <c r="A433" s="53" t="s">
        <v>569</v>
      </c>
      <c r="B433" s="45" t="s">
        <v>569</v>
      </c>
      <c r="C433" s="53">
        <f>SIGN(1)</f>
        <v>1</v>
      </c>
      <c r="D433" s="54" t="b">
        <f t="shared" ca="1" si="12"/>
        <v>1</v>
      </c>
      <c r="E433" s="55" t="str">
        <f t="shared" ca="1" si="13"/>
        <v/>
      </c>
      <c r="F433" s="56"/>
      <c r="H433"/>
      <c r="I433"/>
    </row>
    <row r="434" spans="1:9">
      <c r="A434" s="53" t="s">
        <v>570</v>
      </c>
      <c r="B434" s="45" t="s">
        <v>570</v>
      </c>
      <c r="C434" s="53">
        <f>SIN(1)</f>
        <v>0.8414709848078965</v>
      </c>
      <c r="D434" s="54" t="b">
        <f t="shared" ca="1" si="12"/>
        <v>1</v>
      </c>
      <c r="E434" s="55" t="str">
        <f t="shared" ca="1" si="13"/>
        <v/>
      </c>
      <c r="F434" s="56"/>
      <c r="H434"/>
      <c r="I434"/>
    </row>
    <row r="435" spans="1:9">
      <c r="A435" s="53" t="s">
        <v>571</v>
      </c>
      <c r="B435" s="45" t="s">
        <v>571</v>
      </c>
      <c r="C435" s="53">
        <f>SINH(1)</f>
        <v>1.1752011936438014</v>
      </c>
      <c r="D435" s="54" t="b">
        <f t="shared" ca="1" si="12"/>
        <v>1</v>
      </c>
      <c r="E435" s="55" t="str">
        <f t="shared" ca="1" si="13"/>
        <v/>
      </c>
      <c r="F435" s="56"/>
      <c r="H435"/>
      <c r="I435"/>
    </row>
    <row r="436" spans="1:9">
      <c r="A436" s="53" t="s">
        <v>572</v>
      </c>
      <c r="B436" s="45" t="s">
        <v>572</v>
      </c>
      <c r="C436" s="53">
        <f>SKEW({1,2,3})</f>
        <v>0</v>
      </c>
      <c r="D436" s="54" t="b">
        <f t="shared" ca="1" si="12"/>
        <v>1</v>
      </c>
      <c r="E436" s="55" t="str">
        <f t="shared" ca="1" si="13"/>
        <v/>
      </c>
      <c r="F436" s="56"/>
      <c r="H436"/>
      <c r="I436"/>
    </row>
    <row r="437" spans="1:9">
      <c r="A437" s="53" t="s">
        <v>573</v>
      </c>
      <c r="B437" s="45" t="s">
        <v>573</v>
      </c>
      <c r="C437" s="53">
        <f>_xlfn.SKEW.P({1,2,3})</f>
        <v>0</v>
      </c>
      <c r="D437" s="54" t="b">
        <f t="shared" ca="1" si="12"/>
        <v>1</v>
      </c>
      <c r="E437" s="55" t="str">
        <f t="shared" ca="1" si="13"/>
        <v/>
      </c>
      <c r="F437" s="56"/>
      <c r="H437"/>
      <c r="I437"/>
    </row>
    <row r="438" spans="1:9">
      <c r="A438" s="53" t="s">
        <v>574</v>
      </c>
      <c r="B438" s="45" t="s">
        <v>574</v>
      </c>
      <c r="C438" s="53">
        <f>SLN(1000,100,10)</f>
        <v>90</v>
      </c>
      <c r="D438" s="54" t="b">
        <f t="shared" ca="1" si="12"/>
        <v>1</v>
      </c>
      <c r="E438" s="55" t="str">
        <f t="shared" ca="1" si="13"/>
        <v/>
      </c>
      <c r="F438" s="56"/>
      <c r="H438"/>
      <c r="I438"/>
    </row>
    <row r="439" spans="1:9">
      <c r="A439" s="53" t="s">
        <v>575</v>
      </c>
      <c r="B439" s="45" t="s">
        <v>575</v>
      </c>
      <c r="C439" s="53">
        <f>SLOPE({1,2},{1,2})</f>
        <v>1</v>
      </c>
      <c r="D439" s="54" t="b">
        <f t="shared" ca="1" si="12"/>
        <v>1</v>
      </c>
      <c r="E439" s="55" t="str">
        <f t="shared" ca="1" si="13"/>
        <v/>
      </c>
      <c r="F439" s="56"/>
      <c r="H439"/>
      <c r="I439"/>
    </row>
    <row r="440" spans="1:9">
      <c r="A440" s="53" t="s">
        <v>576</v>
      </c>
      <c r="B440" s="45" t="s">
        <v>576</v>
      </c>
      <c r="C440" s="53">
        <f>SMALL({1,2},1)</f>
        <v>1</v>
      </c>
      <c r="D440" s="54" t="b">
        <f t="shared" ca="1" si="12"/>
        <v>1</v>
      </c>
      <c r="E440" s="55" t="str">
        <f t="shared" ca="1" si="13"/>
        <v/>
      </c>
      <c r="F440" s="56"/>
      <c r="H440"/>
      <c r="I440"/>
    </row>
    <row r="441" spans="1:9">
      <c r="A441" s="53" t="s">
        <v>577</v>
      </c>
      <c r="B441" s="45" t="s">
        <v>577</v>
      </c>
      <c r="C441" s="53" cm="1">
        <f t="array" ref="C441">_xlfn._xlws.SORT(1)</f>
        <v>1</v>
      </c>
      <c r="D441" s="54" t="b">
        <f t="shared" ca="1" si="12"/>
        <v>1</v>
      </c>
      <c r="E441" s="55" t="str">
        <f t="shared" ca="1" si="13"/>
        <v/>
      </c>
      <c r="F441" s="56"/>
      <c r="H441"/>
      <c r="I441"/>
    </row>
    <row r="442" spans="1:9">
      <c r="A442" s="53" t="s">
        <v>578</v>
      </c>
      <c r="B442" s="45" t="s">
        <v>578</v>
      </c>
      <c r="C442" s="53" cm="1">
        <f t="array" ref="C442">_xlfn.SORTBY(1,1)</f>
        <v>1</v>
      </c>
      <c r="D442" s="54" t="b">
        <f t="shared" ca="1" si="12"/>
        <v>1</v>
      </c>
      <c r="E442" s="55" t="str">
        <f t="shared" ca="1" si="13"/>
        <v/>
      </c>
      <c r="F442" s="56"/>
      <c r="H442"/>
      <c r="I442"/>
    </row>
    <row r="443" spans="1:9">
      <c r="A443" s="53" t="s">
        <v>579</v>
      </c>
      <c r="B443" s="45" t="s">
        <v>579</v>
      </c>
      <c r="C443" s="53">
        <f>SQRT(1)</f>
        <v>1</v>
      </c>
      <c r="D443" s="54" t="b">
        <f t="shared" ca="1" si="12"/>
        <v>1</v>
      </c>
      <c r="E443" s="55" t="str">
        <f t="shared" ca="1" si="13"/>
        <v/>
      </c>
      <c r="F443" s="56"/>
      <c r="H443"/>
      <c r="I443"/>
    </row>
    <row r="444" spans="1:9">
      <c r="A444" s="53" t="s">
        <v>580</v>
      </c>
      <c r="B444" s="45" t="s">
        <v>580</v>
      </c>
      <c r="C444" s="53">
        <f>SQRTPI(1)</f>
        <v>1.7724538509055159</v>
      </c>
      <c r="D444" s="54" t="b">
        <f t="shared" ca="1" si="12"/>
        <v>1</v>
      </c>
      <c r="E444" s="55" t="str">
        <f t="shared" ca="1" si="13"/>
        <v/>
      </c>
      <c r="F444" s="56"/>
      <c r="H444"/>
      <c r="I444"/>
    </row>
    <row r="445" spans="1:9">
      <c r="A445" s="53" t="s">
        <v>581</v>
      </c>
      <c r="B445" s="45" t="s">
        <v>581</v>
      </c>
      <c r="C445" s="53">
        <f>STANDARDIZE(1,0,1)</f>
        <v>1</v>
      </c>
      <c r="D445" s="54" t="b">
        <f t="shared" ca="1" si="12"/>
        <v>1</v>
      </c>
      <c r="E445" s="55" t="str">
        <f t="shared" ca="1" si="13"/>
        <v/>
      </c>
      <c r="F445" s="56"/>
      <c r="H445"/>
      <c r="I445"/>
    </row>
    <row r="446" spans="1:9">
      <c r="A446" s="53" t="s">
        <v>582</v>
      </c>
      <c r="B446" s="45" t="s">
        <v>582</v>
      </c>
      <c r="C446" s="53">
        <f>STDEV({1,2})</f>
        <v>0.70710678118654757</v>
      </c>
      <c r="D446" s="54" t="b">
        <f t="shared" ca="1" si="12"/>
        <v>1</v>
      </c>
      <c r="E446" s="55" t="str">
        <f t="shared" ca="1" si="13"/>
        <v/>
      </c>
      <c r="F446" s="56"/>
      <c r="H446"/>
      <c r="I446"/>
    </row>
    <row r="447" spans="1:9">
      <c r="A447" s="53" t="s">
        <v>583</v>
      </c>
      <c r="B447" s="45" t="s">
        <v>583</v>
      </c>
      <c r="C447" s="53">
        <f>_xlfn.STDEV.P(1)</f>
        <v>0</v>
      </c>
      <c r="D447" s="54" t="b">
        <f t="shared" ca="1" si="12"/>
        <v>1</v>
      </c>
      <c r="E447" s="55" t="str">
        <f t="shared" ca="1" si="13"/>
        <v/>
      </c>
      <c r="F447" s="56"/>
      <c r="H447"/>
      <c r="I447"/>
    </row>
    <row r="448" spans="1:9">
      <c r="A448" s="53" t="s">
        <v>584</v>
      </c>
      <c r="B448" s="45" t="s">
        <v>584</v>
      </c>
      <c r="C448" s="53">
        <f>_xlfn.STDEV.S({1,2})</f>
        <v>0.70710678118654757</v>
      </c>
      <c r="D448" s="54" t="b">
        <f t="shared" ca="1" si="12"/>
        <v>1</v>
      </c>
      <c r="E448" s="55" t="str">
        <f t="shared" ca="1" si="13"/>
        <v/>
      </c>
      <c r="F448" s="56"/>
      <c r="H448"/>
      <c r="I448"/>
    </row>
    <row r="449" spans="1:9">
      <c r="A449" s="53" t="s">
        <v>585</v>
      </c>
      <c r="B449" s="45" t="s">
        <v>585</v>
      </c>
      <c r="C449" s="53">
        <f>STDEVA({1,2})</f>
        <v>0.70710678118654757</v>
      </c>
      <c r="D449" s="54" t="b">
        <f t="shared" ca="1" si="12"/>
        <v>1</v>
      </c>
      <c r="E449" s="55" t="str">
        <f t="shared" ca="1" si="13"/>
        <v/>
      </c>
      <c r="F449" s="56"/>
      <c r="H449"/>
      <c r="I449"/>
    </row>
    <row r="450" spans="1:9">
      <c r="A450" s="53" t="s">
        <v>586</v>
      </c>
      <c r="B450" s="45" t="s">
        <v>586</v>
      </c>
      <c r="C450" s="53">
        <f>STDEVP(1)</f>
        <v>0</v>
      </c>
      <c r="D450" s="54" t="b">
        <f t="shared" ca="1" si="12"/>
        <v>1</v>
      </c>
      <c r="E450" s="55" t="str">
        <f t="shared" ca="1" si="13"/>
        <v/>
      </c>
      <c r="F450" s="56"/>
      <c r="H450"/>
      <c r="I450"/>
    </row>
    <row r="451" spans="1:9">
      <c r="A451" s="53" t="s">
        <v>587</v>
      </c>
      <c r="B451" s="45" t="s">
        <v>587</v>
      </c>
      <c r="C451" s="53">
        <f>STDEVPA(1)</f>
        <v>0</v>
      </c>
      <c r="D451" s="54" t="b">
        <f t="shared" ca="1" si="12"/>
        <v>1</v>
      </c>
      <c r="E451" s="55" t="str">
        <f t="shared" ca="1" si="13"/>
        <v/>
      </c>
      <c r="F451" s="56"/>
      <c r="H451"/>
      <c r="I451"/>
    </row>
    <row r="452" spans="1:9">
      <c r="A452" s="53" t="s">
        <v>588</v>
      </c>
      <c r="B452" s="45" t="s">
        <v>588</v>
      </c>
      <c r="C452" s="53">
        <f>STEYX({1,2,3},{1,2,3})</f>
        <v>0</v>
      </c>
      <c r="D452" s="54" t="b">
        <f t="shared" ca="1" si="12"/>
        <v>1</v>
      </c>
      <c r="E452" s="55" t="str">
        <f t="shared" ca="1" si="13"/>
        <v/>
      </c>
      <c r="F452" s="56"/>
      <c r="H452"/>
      <c r="I452"/>
    </row>
    <row r="453" spans="1:9">
      <c r="A453" s="53" t="s">
        <v>589</v>
      </c>
      <c r="B453" s="45" t="s">
        <v>589</v>
      </c>
      <c r="C453" s="53" cm="1">
        <f t="array" ref="C453">IF(FALSE,_xlfn.STOCKHISTORY("MSFT",DATE(2020,1,1),DATE(2020,1,2)),0)</f>
        <v>0</v>
      </c>
      <c r="D453" s="54" t="b">
        <f t="shared" ca="1" si="12"/>
        <v>1</v>
      </c>
      <c r="E453" s="55" t="str">
        <f t="shared" ca="1" si="13"/>
        <v/>
      </c>
      <c r="F453" s="56"/>
      <c r="H453"/>
      <c r="I453"/>
    </row>
    <row r="454" spans="1:9">
      <c r="A454" s="53" t="s">
        <v>590</v>
      </c>
      <c r="B454" s="45" t="s">
        <v>590</v>
      </c>
      <c r="C454" s="53" t="str">
        <f>SUBSTITUTE("a","a","b")</f>
        <v>b</v>
      </c>
      <c r="D454" s="54" t="b">
        <f t="shared" ca="1" si="12"/>
        <v>1</v>
      </c>
      <c r="E454" s="55" t="str">
        <f t="shared" ca="1" si="13"/>
        <v/>
      </c>
      <c r="F454" s="56"/>
      <c r="H454"/>
      <c r="I454"/>
    </row>
    <row r="455" spans="1:9">
      <c r="A455" s="53" t="s">
        <v>591</v>
      </c>
      <c r="B455" s="45" t="s">
        <v>591</v>
      </c>
      <c r="C455" s="53">
        <f>SUBTOTAL(9,A10)</f>
        <v>0</v>
      </c>
      <c r="D455" s="54" t="b">
        <f t="shared" ca="1" si="12"/>
        <v>1</v>
      </c>
      <c r="E455" s="55" t="str">
        <f t="shared" ca="1" si="13"/>
        <v/>
      </c>
      <c r="F455" s="56"/>
      <c r="H455"/>
      <c r="I455"/>
    </row>
    <row r="456" spans="1:9">
      <c r="A456" s="53" t="s">
        <v>592</v>
      </c>
      <c r="B456" s="45" t="s">
        <v>592</v>
      </c>
      <c r="C456" s="53">
        <f>SUM(1)</f>
        <v>1</v>
      </c>
      <c r="D456" s="54" t="b">
        <f t="shared" ca="1" si="12"/>
        <v>1</v>
      </c>
      <c r="E456" s="55" t="str">
        <f t="shared" ca="1" si="13"/>
        <v/>
      </c>
      <c r="F456" s="56"/>
      <c r="H456"/>
      <c r="I456"/>
    </row>
    <row r="457" spans="1:9">
      <c r="A457" s="53" t="s">
        <v>593</v>
      </c>
      <c r="B457" s="45" t="s">
        <v>593</v>
      </c>
      <c r="C457" s="53">
        <f>SUMIF($C$11:$C$12,"&gt;0",$C$11:$C$12)</f>
        <v>6</v>
      </c>
      <c r="D457" s="54" t="b">
        <f t="shared" ca="1" si="12"/>
        <v>1</v>
      </c>
      <c r="E457" s="55" t="str">
        <f t="shared" ca="1" si="13"/>
        <v/>
      </c>
      <c r="F457" s="56"/>
      <c r="H457"/>
      <c r="I457"/>
    </row>
    <row r="458" spans="1:9">
      <c r="A458" s="53" t="s">
        <v>594</v>
      </c>
      <c r="B458" s="45" t="s">
        <v>594</v>
      </c>
      <c r="C458" s="53">
        <f>SUMIFS($C$11:$C$12,$C$11:$C$12,"&gt;0")</f>
        <v>6</v>
      </c>
      <c r="D458" s="54" t="b">
        <f t="shared" ca="1" si="12"/>
        <v>1</v>
      </c>
      <c r="E458" s="55" t="str">
        <f t="shared" ca="1" si="13"/>
        <v/>
      </c>
      <c r="F458" s="56"/>
      <c r="H458"/>
      <c r="I458"/>
    </row>
    <row r="459" spans="1:9">
      <c r="A459" s="53" t="s">
        <v>595</v>
      </c>
      <c r="B459" s="45" t="s">
        <v>595</v>
      </c>
      <c r="C459" s="53">
        <f>SUMPRODUCT(1)</f>
        <v>1</v>
      </c>
      <c r="D459" s="54" t="b">
        <f t="shared" ca="1" si="12"/>
        <v>1</v>
      </c>
      <c r="E459" s="55" t="str">
        <f t="shared" ca="1" si="13"/>
        <v/>
      </c>
      <c r="F459" s="56"/>
      <c r="H459"/>
      <c r="I459"/>
    </row>
    <row r="460" spans="1:9">
      <c r="A460" s="53" t="s">
        <v>596</v>
      </c>
      <c r="B460" s="45" t="s">
        <v>596</v>
      </c>
      <c r="C460" s="53">
        <f>SUMSQ(1)</f>
        <v>1</v>
      </c>
      <c r="D460" s="54" t="b">
        <f t="shared" ref="D460:D523" ca="1" si="14">IF(NOT(_xlfn.ISFORMULA(C460)),"NOT TESTED",IFERROR(AND(ERROR.TYPE(C460)&lt;&gt;5,ISERROR(SEARCH("xlfn",_xlfn.FORMULATEXT(C460)))),TRUE))</f>
        <v>1</v>
      </c>
      <c r="E460" s="55" t="str">
        <f t="shared" ref="E460:E523" ca="1" si="15">IF(D460="NOT TESTED","?"&amp;A460&amp;" (untested)",IF(D460=FALSE,A460,""))</f>
        <v/>
      </c>
      <c r="F460" s="56"/>
      <c r="H460"/>
      <c r="I460"/>
    </row>
    <row r="461" spans="1:9">
      <c r="A461" s="53" t="s">
        <v>597</v>
      </c>
      <c r="B461" s="45" t="s">
        <v>597</v>
      </c>
      <c r="C461" s="53">
        <f>SUMX2MY2({2},{1})</f>
        <v>3</v>
      </c>
      <c r="D461" s="54" t="b">
        <f t="shared" ca="1" si="14"/>
        <v>1</v>
      </c>
      <c r="E461" s="55" t="str">
        <f t="shared" ca="1" si="15"/>
        <v/>
      </c>
      <c r="F461" s="56"/>
      <c r="H461"/>
      <c r="I461"/>
    </row>
    <row r="462" spans="1:9">
      <c r="A462" s="53" t="s">
        <v>598</v>
      </c>
      <c r="B462" s="45" t="s">
        <v>598</v>
      </c>
      <c r="C462" s="53">
        <f>SUMX2PY2({2},{1})</f>
        <v>5</v>
      </c>
      <c r="D462" s="54" t="b">
        <f t="shared" ca="1" si="14"/>
        <v>1</v>
      </c>
      <c r="E462" s="55" t="str">
        <f t="shared" ca="1" si="15"/>
        <v/>
      </c>
      <c r="F462" s="56"/>
      <c r="H462"/>
      <c r="I462"/>
    </row>
    <row r="463" spans="1:9">
      <c r="A463" s="53" t="s">
        <v>599</v>
      </c>
      <c r="B463" s="45" t="s">
        <v>599</v>
      </c>
      <c r="C463" s="53">
        <f>SUMXMY2({2},{1})</f>
        <v>1</v>
      </c>
      <c r="D463" s="54" t="b">
        <f t="shared" ca="1" si="14"/>
        <v>1</v>
      </c>
      <c r="E463" s="55" t="str">
        <f t="shared" ca="1" si="15"/>
        <v/>
      </c>
      <c r="F463" s="56"/>
      <c r="H463"/>
      <c r="I463"/>
    </row>
    <row r="464" spans="1:9">
      <c r="A464" s="53" t="s">
        <v>600</v>
      </c>
      <c r="B464" s="45" t="s">
        <v>600</v>
      </c>
      <c r="C464" s="53" cm="1">
        <f t="array" ref="C464">_xlfn.SWITCH(1,1,1,0)</f>
        <v>1</v>
      </c>
      <c r="D464" s="54" t="b">
        <f t="shared" ca="1" si="14"/>
        <v>1</v>
      </c>
      <c r="E464" s="55" t="str">
        <f t="shared" ca="1" si="15"/>
        <v/>
      </c>
      <c r="F464" s="56"/>
      <c r="H464"/>
      <c r="I464"/>
    </row>
    <row r="465" spans="1:9">
      <c r="A465" s="53" t="s">
        <v>601</v>
      </c>
      <c r="B465" s="45" t="s">
        <v>601</v>
      </c>
      <c r="C465" s="53">
        <f>SYD(1000,100,10,1)</f>
        <v>163.63636363636363</v>
      </c>
      <c r="D465" s="54" t="b">
        <f t="shared" ca="1" si="14"/>
        <v>1</v>
      </c>
      <c r="E465" s="55" t="str">
        <f t="shared" ca="1" si="15"/>
        <v/>
      </c>
      <c r="F465" s="56"/>
      <c r="H465"/>
      <c r="I465"/>
    </row>
    <row r="466" spans="1:9">
      <c r="A466" s="53" t="s">
        <v>602</v>
      </c>
      <c r="B466" s="45" t="s">
        <v>602</v>
      </c>
      <c r="C466" s="53" t="str">
        <f>T(1)</f>
        <v/>
      </c>
      <c r="D466" s="54" t="b">
        <f t="shared" ca="1" si="14"/>
        <v>1</v>
      </c>
      <c r="E466" s="55" t="str">
        <f t="shared" ca="1" si="15"/>
        <v/>
      </c>
      <c r="F466" s="56"/>
      <c r="H466"/>
      <c r="I466"/>
    </row>
    <row r="467" spans="1:9">
      <c r="A467" s="53" t="s">
        <v>603</v>
      </c>
      <c r="B467" s="45" t="s">
        <v>603</v>
      </c>
      <c r="C467" s="53">
        <f>_xlfn.T.DIST(1,1,TRUE)</f>
        <v>0.75</v>
      </c>
      <c r="D467" s="54" t="b">
        <f t="shared" ca="1" si="14"/>
        <v>1</v>
      </c>
      <c r="E467" s="55" t="str">
        <f t="shared" ca="1" si="15"/>
        <v/>
      </c>
      <c r="F467" s="56"/>
      <c r="H467"/>
      <c r="I467"/>
    </row>
    <row r="468" spans="1:9">
      <c r="A468" s="53" t="s">
        <v>604</v>
      </c>
      <c r="B468" s="45" t="s">
        <v>604</v>
      </c>
      <c r="C468" s="53">
        <f>_xlfn.T.DIST.2T(1,1)</f>
        <v>0.50000000000000011</v>
      </c>
      <c r="D468" s="54" t="b">
        <f t="shared" ca="1" si="14"/>
        <v>1</v>
      </c>
      <c r="E468" s="55" t="str">
        <f t="shared" ca="1" si="15"/>
        <v/>
      </c>
      <c r="F468" s="56"/>
      <c r="H468"/>
      <c r="I468"/>
    </row>
    <row r="469" spans="1:9">
      <c r="A469" s="53" t="s">
        <v>605</v>
      </c>
      <c r="B469" s="45" t="s">
        <v>605</v>
      </c>
      <c r="C469" s="53">
        <f>_xlfn.T.DIST.RT(1,1)</f>
        <v>0.25000000000000006</v>
      </c>
      <c r="D469" s="54" t="b">
        <f t="shared" ca="1" si="14"/>
        <v>1</v>
      </c>
      <c r="E469" s="55" t="str">
        <f t="shared" ca="1" si="15"/>
        <v/>
      </c>
      <c r="F469" s="56"/>
      <c r="H469"/>
      <c r="I469"/>
    </row>
    <row r="470" spans="1:9">
      <c r="A470" s="53" t="s">
        <v>606</v>
      </c>
      <c r="B470" s="45" t="s">
        <v>606</v>
      </c>
      <c r="C470" s="53">
        <f>_xlfn.T.INV(0.5,1)</f>
        <v>0</v>
      </c>
      <c r="D470" s="54" t="b">
        <f t="shared" ca="1" si="14"/>
        <v>1</v>
      </c>
      <c r="E470" s="55" t="str">
        <f t="shared" ca="1" si="15"/>
        <v/>
      </c>
      <c r="F470" s="56"/>
      <c r="H470"/>
      <c r="I470"/>
    </row>
    <row r="471" spans="1:9">
      <c r="A471" s="53" t="s">
        <v>607</v>
      </c>
      <c r="B471" s="45" t="s">
        <v>607</v>
      </c>
      <c r="C471" s="53">
        <f>_xlfn.T.INV.2T(0.5,1)</f>
        <v>1</v>
      </c>
      <c r="D471" s="54" t="b">
        <f t="shared" ca="1" si="14"/>
        <v>1</v>
      </c>
      <c r="E471" s="55" t="str">
        <f t="shared" ca="1" si="15"/>
        <v/>
      </c>
      <c r="F471" s="56"/>
      <c r="H471"/>
      <c r="I471"/>
    </row>
    <row r="472" spans="1:9">
      <c r="A472" s="53" t="s">
        <v>608</v>
      </c>
      <c r="B472" s="45" t="s">
        <v>608</v>
      </c>
      <c r="C472" s="53" t="e">
        <f>_xlfn.T.TEST({1,2},{1,2},2,1)</f>
        <v>#DIV/0!</v>
      </c>
      <c r="D472" s="54" t="b">
        <f t="shared" ca="1" si="14"/>
        <v>1</v>
      </c>
      <c r="E472" s="55" t="str">
        <f t="shared" ca="1" si="15"/>
        <v/>
      </c>
      <c r="F472" s="56"/>
      <c r="H472"/>
      <c r="I472"/>
    </row>
    <row r="473" spans="1:9" ht="72">
      <c r="A473" s="53" t="s">
        <v>609</v>
      </c>
      <c r="C473" s="53" t="s">
        <v>610</v>
      </c>
      <c r="D473" s="54" t="str">
        <f t="shared" ca="1" si="14"/>
        <v>NOT TESTED</v>
      </c>
      <c r="E473" s="55" t="str">
        <f t="shared" ca="1" si="15"/>
        <v>?TABLE (untested)</v>
      </c>
      <c r="F473" s="56" t="s">
        <v>611</v>
      </c>
      <c r="H473"/>
      <c r="I473"/>
    </row>
    <row r="474" spans="1:9">
      <c r="A474" s="53" t="s">
        <v>612</v>
      </c>
      <c r="B474" s="45" t="s">
        <v>612</v>
      </c>
      <c r="C474" s="53" cm="1">
        <f t="array" ref="C474">_xlfn.TAKE({1;2},1)</f>
        <v>1</v>
      </c>
      <c r="D474" s="54" t="b">
        <f t="shared" ca="1" si="14"/>
        <v>1</v>
      </c>
      <c r="E474" s="55" t="str">
        <f t="shared" ca="1" si="15"/>
        <v/>
      </c>
      <c r="F474" s="56"/>
      <c r="H474"/>
      <c r="I474"/>
    </row>
    <row r="475" spans="1:9">
      <c r="A475" s="53" t="s">
        <v>613</v>
      </c>
      <c r="B475" s="45" t="s">
        <v>613</v>
      </c>
      <c r="C475" s="53">
        <f>TAN(1)</f>
        <v>1.5574077246549023</v>
      </c>
      <c r="D475" s="54" t="b">
        <f t="shared" ca="1" si="14"/>
        <v>1</v>
      </c>
      <c r="E475" s="55" t="str">
        <f t="shared" ca="1" si="15"/>
        <v/>
      </c>
      <c r="F475" s="56"/>
      <c r="H475"/>
      <c r="I475"/>
    </row>
    <row r="476" spans="1:9">
      <c r="A476" s="53" t="s">
        <v>614</v>
      </c>
      <c r="B476" s="45" t="s">
        <v>614</v>
      </c>
      <c r="C476" s="53">
        <f>TANH(1)</f>
        <v>0.76159415595576485</v>
      </c>
      <c r="D476" s="54" t="b">
        <f t="shared" ca="1" si="14"/>
        <v>1</v>
      </c>
      <c r="E476" s="55" t="str">
        <f t="shared" ca="1" si="15"/>
        <v/>
      </c>
      <c r="F476" s="56"/>
      <c r="H476"/>
      <c r="I476"/>
    </row>
    <row r="477" spans="1:9">
      <c r="A477" s="53" t="s">
        <v>615</v>
      </c>
      <c r="B477" s="45" t="s">
        <v>615</v>
      </c>
      <c r="C477" s="53">
        <f>TBILLEQ(DATE(2020,1,1),DATE(2020,6,1),0.05)</f>
        <v>5.1787741203178209E-2</v>
      </c>
      <c r="D477" s="54" t="b">
        <f t="shared" ca="1" si="14"/>
        <v>1</v>
      </c>
      <c r="E477" s="55" t="str">
        <f t="shared" ca="1" si="15"/>
        <v/>
      </c>
      <c r="F477" s="56"/>
      <c r="H477"/>
      <c r="I477"/>
    </row>
    <row r="478" spans="1:9">
      <c r="A478" s="53" t="s">
        <v>616</v>
      </c>
      <c r="B478" s="45" t="s">
        <v>616</v>
      </c>
      <c r="C478" s="53">
        <f>TBILLPRICE(DATE(2020,1,1),DATE(2020,6,1),0.05)</f>
        <v>97.888888888888886</v>
      </c>
      <c r="D478" s="54" t="b">
        <f t="shared" ca="1" si="14"/>
        <v>1</v>
      </c>
      <c r="E478" s="55" t="str">
        <f t="shared" ca="1" si="15"/>
        <v/>
      </c>
      <c r="F478" s="56"/>
      <c r="H478"/>
      <c r="I478"/>
    </row>
    <row r="479" spans="1:9">
      <c r="A479" s="53" t="s">
        <v>617</v>
      </c>
      <c r="B479" s="45" t="s">
        <v>617</v>
      </c>
      <c r="C479" s="53">
        <f>TBILLYIELD(DATE(2020,1,1),DATE(2020,6,1),95)</f>
        <v>0.12465373961218836</v>
      </c>
      <c r="D479" s="54" t="b">
        <f t="shared" ca="1" si="14"/>
        <v>1</v>
      </c>
      <c r="E479" s="55" t="str">
        <f t="shared" ca="1" si="15"/>
        <v/>
      </c>
      <c r="F479" s="56"/>
      <c r="H479"/>
      <c r="I479"/>
    </row>
    <row r="480" spans="1:9">
      <c r="A480" s="53" t="s">
        <v>618</v>
      </c>
      <c r="B480" s="45" t="s">
        <v>618</v>
      </c>
      <c r="C480" s="53">
        <f>TDIST(1,1,1)</f>
        <v>0.25000000000000006</v>
      </c>
      <c r="D480" s="54" t="b">
        <f t="shared" ca="1" si="14"/>
        <v>1</v>
      </c>
      <c r="E480" s="55" t="str">
        <f t="shared" ca="1" si="15"/>
        <v/>
      </c>
      <c r="F480" s="56"/>
      <c r="H480"/>
      <c r="I480"/>
    </row>
    <row r="481" spans="1:9">
      <c r="A481" s="53" t="s">
        <v>619</v>
      </c>
      <c r="B481" s="45" t="s">
        <v>619</v>
      </c>
      <c r="C481" s="53" t="str">
        <f>TEXT(1,"0")</f>
        <v>1</v>
      </c>
      <c r="D481" s="54" t="b">
        <f t="shared" ca="1" si="14"/>
        <v>1</v>
      </c>
      <c r="E481" s="55" t="str">
        <f t="shared" ca="1" si="15"/>
        <v/>
      </c>
      <c r="F481" s="56"/>
      <c r="H481"/>
      <c r="I481"/>
    </row>
    <row r="482" spans="1:9">
      <c r="A482" s="53" t="s">
        <v>620</v>
      </c>
      <c r="B482" s="45" t="s">
        <v>620</v>
      </c>
      <c r="C482" s="53" t="str">
        <f>_xlfn.TEXTAFTER("a-b","-")</f>
        <v>b</v>
      </c>
      <c r="D482" s="54" t="b">
        <f t="shared" ca="1" si="14"/>
        <v>1</v>
      </c>
      <c r="E482" s="55" t="str">
        <f t="shared" ca="1" si="15"/>
        <v/>
      </c>
      <c r="F482" s="56"/>
      <c r="H482"/>
      <c r="I482"/>
    </row>
    <row r="483" spans="1:9">
      <c r="A483" s="53" t="s">
        <v>621</v>
      </c>
      <c r="B483" s="45" t="s">
        <v>621</v>
      </c>
      <c r="C483" s="53" t="str">
        <f>_xlfn.TEXTBEFORE("a-b","-")</f>
        <v>a</v>
      </c>
      <c r="D483" s="54" t="b">
        <f t="shared" ca="1" si="14"/>
        <v>1</v>
      </c>
      <c r="E483" s="55" t="str">
        <f t="shared" ca="1" si="15"/>
        <v/>
      </c>
      <c r="F483" s="56"/>
      <c r="H483"/>
      <c r="I483"/>
    </row>
    <row r="484" spans="1:9">
      <c r="A484" s="53" t="s">
        <v>622</v>
      </c>
      <c r="B484" s="45" t="s">
        <v>622</v>
      </c>
      <c r="C484" s="53" t="str">
        <f>_xlfn.TEXTJOIN(",",TRUE,"a")</f>
        <v>a</v>
      </c>
      <c r="D484" s="54" t="b">
        <f t="shared" ca="1" si="14"/>
        <v>1</v>
      </c>
      <c r="E484" s="55" t="str">
        <f t="shared" ca="1" si="15"/>
        <v/>
      </c>
      <c r="F484" s="56"/>
      <c r="H484"/>
      <c r="I484"/>
    </row>
    <row r="485" spans="1:9">
      <c r="A485" s="53" t="s">
        <v>623</v>
      </c>
      <c r="B485" s="45" t="s">
        <v>623</v>
      </c>
      <c r="C485" s="53" t="str">
        <f>INDEX(_xlfn.TEXTSPLIT("a,b",","),1,1)</f>
        <v>a</v>
      </c>
      <c r="D485" s="54" t="b">
        <f t="shared" ca="1" si="14"/>
        <v>1</v>
      </c>
      <c r="E485" s="55" t="str">
        <f t="shared" ca="1" si="15"/>
        <v/>
      </c>
      <c r="F485" s="56"/>
      <c r="H485"/>
      <c r="I485"/>
    </row>
    <row r="486" spans="1:9">
      <c r="A486" s="53" t="s">
        <v>624</v>
      </c>
      <c r="B486" s="45" t="s">
        <v>624</v>
      </c>
      <c r="C486" s="53">
        <f>TIME(1,1,1)</f>
        <v>4.2372685185185187E-2</v>
      </c>
      <c r="D486" s="54" t="b">
        <f t="shared" ca="1" si="14"/>
        <v>1</v>
      </c>
      <c r="E486" s="55" t="str">
        <f t="shared" ca="1" si="15"/>
        <v/>
      </c>
      <c r="F486" s="56"/>
      <c r="H486"/>
      <c r="I486"/>
    </row>
    <row r="487" spans="1:9">
      <c r="A487" s="53" t="s">
        <v>625</v>
      </c>
      <c r="B487" s="45" t="s">
        <v>625</v>
      </c>
      <c r="C487" s="53">
        <f>TIMEVALUE("1:00")</f>
        <v>4.1666666666666664E-2</v>
      </c>
      <c r="D487" s="54" t="b">
        <f t="shared" ca="1" si="14"/>
        <v>1</v>
      </c>
      <c r="E487" s="55" t="str">
        <f t="shared" ca="1" si="15"/>
        <v/>
      </c>
      <c r="F487" s="56"/>
      <c r="H487"/>
      <c r="I487"/>
    </row>
    <row r="488" spans="1:9">
      <c r="A488" s="53" t="s">
        <v>626</v>
      </c>
      <c r="B488" s="45" t="s">
        <v>626</v>
      </c>
      <c r="C488" s="53">
        <f>TINV(0.5,1)</f>
        <v>1</v>
      </c>
      <c r="D488" s="54" t="b">
        <f t="shared" ca="1" si="14"/>
        <v>1</v>
      </c>
      <c r="E488" s="55" t="str">
        <f t="shared" ca="1" si="15"/>
        <v/>
      </c>
      <c r="F488" s="56"/>
      <c r="H488"/>
      <c r="I488"/>
    </row>
    <row r="489" spans="1:9">
      <c r="A489" s="53" t="s">
        <v>627</v>
      </c>
      <c r="B489" s="45" t="s">
        <v>627</v>
      </c>
      <c r="C489" s="53" cm="1">
        <f t="array" ref="C489">_xlfn.TOCOL(1)</f>
        <v>1</v>
      </c>
      <c r="D489" s="54" t="b">
        <f t="shared" ca="1" si="14"/>
        <v>1</v>
      </c>
      <c r="E489" s="55" t="str">
        <f t="shared" ca="1" si="15"/>
        <v/>
      </c>
      <c r="F489" s="56"/>
      <c r="H489"/>
      <c r="I489"/>
    </row>
    <row r="490" spans="1:9">
      <c r="A490" s="53" t="s">
        <v>628</v>
      </c>
      <c r="B490" s="45" t="s">
        <v>628</v>
      </c>
      <c r="C490" s="53">
        <f ca="1">TODAY()</f>
        <v>46314</v>
      </c>
      <c r="D490" s="54" t="b">
        <f t="shared" ca="1" si="14"/>
        <v>1</v>
      </c>
      <c r="E490" s="55" t="str">
        <f t="shared" ca="1" si="15"/>
        <v/>
      </c>
      <c r="F490" s="56"/>
      <c r="H490"/>
      <c r="I490"/>
    </row>
    <row r="491" spans="1:9">
      <c r="A491" s="53" t="s">
        <v>629</v>
      </c>
      <c r="B491" s="45" t="s">
        <v>629</v>
      </c>
      <c r="C491" s="53" cm="1">
        <f t="array" ref="C491">_xlfn.TOROW(1)</f>
        <v>1</v>
      </c>
      <c r="D491" s="54" t="b">
        <f t="shared" ca="1" si="14"/>
        <v>1</v>
      </c>
      <c r="E491" s="55" t="str">
        <f t="shared" ca="1" si="15"/>
        <v/>
      </c>
      <c r="F491" s="56"/>
      <c r="H491"/>
      <c r="I491"/>
    </row>
    <row r="492" spans="1:9">
      <c r="A492" s="53" t="s">
        <v>630</v>
      </c>
      <c r="B492" s="45" t="s">
        <v>630</v>
      </c>
      <c r="C492" s="53" t="str">
        <f>_xlfn.TRANSLATE(1)</f>
        <v>1</v>
      </c>
      <c r="D492" s="54" t="b">
        <f t="shared" ca="1" si="14"/>
        <v>1</v>
      </c>
      <c r="E492" s="55" t="str">
        <f t="shared" ca="1" si="15"/>
        <v/>
      </c>
      <c r="F492" s="56"/>
      <c r="H492"/>
      <c r="I492"/>
    </row>
    <row r="493" spans="1:9">
      <c r="A493" s="53" t="s">
        <v>631</v>
      </c>
      <c r="B493" s="45" t="s">
        <v>631</v>
      </c>
      <c r="C493" s="53" cm="1">
        <f t="array" ref="C493">TRANSPOSE(1)</f>
        <v>1</v>
      </c>
      <c r="D493" s="54" t="b">
        <f t="shared" ca="1" si="14"/>
        <v>1</v>
      </c>
      <c r="E493" s="55" t="str">
        <f t="shared" ca="1" si="15"/>
        <v/>
      </c>
      <c r="F493" s="56"/>
      <c r="H493"/>
      <c r="I493"/>
    </row>
    <row r="494" spans="1:9">
      <c r="A494" s="53" t="s">
        <v>632</v>
      </c>
      <c r="B494" s="45" t="s">
        <v>632</v>
      </c>
      <c r="C494" s="53" cm="1">
        <f t="array" ref="C494">TREND(1)</f>
        <v>1</v>
      </c>
      <c r="D494" s="54" t="b">
        <f t="shared" ca="1" si="14"/>
        <v>1</v>
      </c>
      <c r="E494" s="55" t="str">
        <f t="shared" ca="1" si="15"/>
        <v/>
      </c>
      <c r="F494" s="56"/>
      <c r="H494"/>
      <c r="I494"/>
    </row>
    <row r="495" spans="1:9">
      <c r="A495" s="53" t="s">
        <v>633</v>
      </c>
      <c r="B495" s="45" t="s">
        <v>633</v>
      </c>
      <c r="C495" s="53" t="str">
        <f>TRIM(1)</f>
        <v>1</v>
      </c>
      <c r="D495" s="54" t="b">
        <f t="shared" ca="1" si="14"/>
        <v>1</v>
      </c>
      <c r="E495" s="55" t="str">
        <f t="shared" ca="1" si="15"/>
        <v/>
      </c>
      <c r="F495" s="56"/>
      <c r="H495"/>
      <c r="I495"/>
    </row>
    <row r="496" spans="1:9">
      <c r="A496" s="53" t="s">
        <v>634</v>
      </c>
      <c r="B496" s="45" t="s">
        <v>634</v>
      </c>
      <c r="C496" s="53">
        <f>TRIMMEAN({1,2,3},0)</f>
        <v>2</v>
      </c>
      <c r="D496" s="54" t="b">
        <f t="shared" ca="1" si="14"/>
        <v>1</v>
      </c>
      <c r="E496" s="55" t="str">
        <f t="shared" ca="1" si="15"/>
        <v/>
      </c>
      <c r="F496" s="56"/>
      <c r="H496"/>
      <c r="I496"/>
    </row>
    <row r="497" spans="1:9">
      <c r="A497" s="53" t="s">
        <v>635</v>
      </c>
      <c r="B497" s="45" t="s">
        <v>635</v>
      </c>
      <c r="C497" s="53" cm="1">
        <f t="array" ref="C497">_xlfn.TRIMRANGE(1)</f>
        <v>1</v>
      </c>
      <c r="D497" s="54" t="b">
        <f t="shared" ca="1" si="14"/>
        <v>1</v>
      </c>
      <c r="E497" s="55" t="str">
        <f t="shared" ca="1" si="15"/>
        <v/>
      </c>
      <c r="F497" s="56"/>
      <c r="H497"/>
      <c r="I497"/>
    </row>
    <row r="498" spans="1:9">
      <c r="A498" s="53" t="s">
        <v>636</v>
      </c>
      <c r="B498" s="75" t="s">
        <v>636</v>
      </c>
      <c r="C498" s="53" t="b">
        <f>TRUE()</f>
        <v>1</v>
      </c>
      <c r="D498" s="54" t="b">
        <f t="shared" ca="1" si="14"/>
        <v>1</v>
      </c>
      <c r="E498" s="55" t="str">
        <f t="shared" ca="1" si="15"/>
        <v/>
      </c>
      <c r="F498" s="56"/>
      <c r="H498"/>
      <c r="I498"/>
    </row>
    <row r="499" spans="1:9">
      <c r="A499" s="53" t="s">
        <v>637</v>
      </c>
      <c r="B499" s="45" t="s">
        <v>637</v>
      </c>
      <c r="C499" s="53">
        <f>TRUNC(1)</f>
        <v>1</v>
      </c>
      <c r="D499" s="54" t="b">
        <f t="shared" ca="1" si="14"/>
        <v>1</v>
      </c>
      <c r="E499" s="55" t="str">
        <f t="shared" ca="1" si="15"/>
        <v/>
      </c>
      <c r="F499" s="56"/>
      <c r="H499"/>
      <c r="I499"/>
    </row>
    <row r="500" spans="1:9">
      <c r="A500" s="53" t="s">
        <v>638</v>
      </c>
      <c r="B500" s="45" t="s">
        <v>638</v>
      </c>
      <c r="C500" s="53" t="e">
        <f>TTEST({1,2},{1,2},2,1)</f>
        <v>#DIV/0!</v>
      </c>
      <c r="D500" s="54" t="b">
        <f t="shared" ca="1" si="14"/>
        <v>1</v>
      </c>
      <c r="E500" s="55" t="str">
        <f t="shared" ca="1" si="15"/>
        <v/>
      </c>
      <c r="F500" s="56"/>
      <c r="H500"/>
      <c r="I500"/>
    </row>
    <row r="501" spans="1:9">
      <c r="A501" s="53" t="s">
        <v>639</v>
      </c>
      <c r="B501" s="45" t="s">
        <v>639</v>
      </c>
      <c r="C501" s="53">
        <f>TYPE(1)</f>
        <v>1</v>
      </c>
      <c r="D501" s="54" t="b">
        <f t="shared" ca="1" si="14"/>
        <v>1</v>
      </c>
      <c r="E501" s="55" t="str">
        <f t="shared" ca="1" si="15"/>
        <v/>
      </c>
      <c r="F501" s="56"/>
      <c r="H501"/>
      <c r="I501"/>
    </row>
    <row r="502" spans="1:9">
      <c r="A502" s="53" t="s">
        <v>640</v>
      </c>
      <c r="B502" s="45" t="s">
        <v>640</v>
      </c>
      <c r="C502" s="53" t="str">
        <f>_xlfn.UNICHAR(65)</f>
        <v>A</v>
      </c>
      <c r="D502" s="54" t="b">
        <f t="shared" ca="1" si="14"/>
        <v>1</v>
      </c>
      <c r="E502" s="55" t="str">
        <f t="shared" ca="1" si="15"/>
        <v/>
      </c>
      <c r="F502" s="56"/>
      <c r="H502"/>
      <c r="I502"/>
    </row>
    <row r="503" spans="1:9">
      <c r="A503" s="53" t="s">
        <v>641</v>
      </c>
      <c r="B503" s="45" t="s">
        <v>641</v>
      </c>
      <c r="C503" s="53">
        <f>_xlfn.UNICODE(1)</f>
        <v>49</v>
      </c>
      <c r="D503" s="54" t="b">
        <f t="shared" ca="1" si="14"/>
        <v>1</v>
      </c>
      <c r="E503" s="55" t="str">
        <f t="shared" ca="1" si="15"/>
        <v/>
      </c>
      <c r="F503" s="56"/>
      <c r="H503"/>
      <c r="I503"/>
    </row>
    <row r="504" spans="1:9">
      <c r="A504" s="53" t="s">
        <v>642</v>
      </c>
      <c r="B504" s="45" t="s">
        <v>642</v>
      </c>
      <c r="C504" s="53" cm="1">
        <f t="array" ref="C504">_xlfn.UNIQUE(1)</f>
        <v>1</v>
      </c>
      <c r="D504" s="54" t="b">
        <f t="shared" ca="1" si="14"/>
        <v>1</v>
      </c>
      <c r="E504" s="55" t="str">
        <f t="shared" ca="1" si="15"/>
        <v/>
      </c>
      <c r="F504" s="56"/>
      <c r="H504"/>
      <c r="I504"/>
    </row>
    <row r="505" spans="1:9">
      <c r="A505" s="53" t="s">
        <v>643</v>
      </c>
      <c r="B505" s="45" t="s">
        <v>643</v>
      </c>
      <c r="C505" s="53" t="str">
        <f>UPPER(1)</f>
        <v>1</v>
      </c>
      <c r="D505" s="54" t="b">
        <f t="shared" ca="1" si="14"/>
        <v>1</v>
      </c>
      <c r="E505" s="55" t="str">
        <f t="shared" ca="1" si="15"/>
        <v/>
      </c>
      <c r="F505" s="56"/>
      <c r="H505"/>
      <c r="I505"/>
    </row>
    <row r="506" spans="1:9">
      <c r="A506" s="53" t="s">
        <v>644</v>
      </c>
      <c r="B506" s="45" t="s">
        <v>644</v>
      </c>
      <c r="C506" s="53">
        <f>VALUE(1)</f>
        <v>1</v>
      </c>
      <c r="D506" s="54" t="b">
        <f t="shared" ca="1" si="14"/>
        <v>1</v>
      </c>
      <c r="E506" s="55" t="str">
        <f t="shared" ca="1" si="15"/>
        <v/>
      </c>
      <c r="F506" s="56"/>
      <c r="H506"/>
      <c r="I506"/>
    </row>
    <row r="507" spans="1:9">
      <c r="A507" s="53" t="s">
        <v>645</v>
      </c>
      <c r="B507" s="45" t="s">
        <v>645</v>
      </c>
      <c r="C507" s="53" t="str">
        <f>_xlfn.VALUETOTEXT(1)</f>
        <v>1</v>
      </c>
      <c r="D507" s="54" t="b">
        <f t="shared" ca="1" si="14"/>
        <v>1</v>
      </c>
      <c r="E507" s="55" t="str">
        <f t="shared" ca="1" si="15"/>
        <v/>
      </c>
      <c r="F507" s="56"/>
      <c r="H507"/>
      <c r="I507"/>
    </row>
    <row r="508" spans="1:9">
      <c r="A508" s="53" t="s">
        <v>646</v>
      </c>
      <c r="B508" s="45" t="s">
        <v>646</v>
      </c>
      <c r="C508" s="53">
        <f>VAR({1,2})</f>
        <v>0.5</v>
      </c>
      <c r="D508" s="54" t="b">
        <f t="shared" ca="1" si="14"/>
        <v>1</v>
      </c>
      <c r="E508" s="55" t="str">
        <f t="shared" ca="1" si="15"/>
        <v/>
      </c>
      <c r="F508" s="56"/>
      <c r="H508"/>
      <c r="I508"/>
    </row>
    <row r="509" spans="1:9">
      <c r="A509" s="53" t="s">
        <v>647</v>
      </c>
      <c r="B509" s="45" t="s">
        <v>647</v>
      </c>
      <c r="C509" s="53">
        <f>_xlfn.VAR.P(1)</f>
        <v>0</v>
      </c>
      <c r="D509" s="54" t="b">
        <f t="shared" ca="1" si="14"/>
        <v>1</v>
      </c>
      <c r="E509" s="55" t="str">
        <f t="shared" ca="1" si="15"/>
        <v/>
      </c>
      <c r="F509" s="56"/>
      <c r="H509"/>
      <c r="I509"/>
    </row>
    <row r="510" spans="1:9">
      <c r="A510" s="53" t="s">
        <v>648</v>
      </c>
      <c r="B510" s="45" t="s">
        <v>648</v>
      </c>
      <c r="C510" s="53">
        <f>_xlfn.VAR.S({1,2})</f>
        <v>0.5</v>
      </c>
      <c r="D510" s="54" t="b">
        <f t="shared" ca="1" si="14"/>
        <v>1</v>
      </c>
      <c r="E510" s="55" t="str">
        <f t="shared" ca="1" si="15"/>
        <v/>
      </c>
      <c r="F510" s="56"/>
      <c r="H510"/>
      <c r="I510"/>
    </row>
    <row r="511" spans="1:9">
      <c r="A511" s="53" t="s">
        <v>649</v>
      </c>
      <c r="B511" s="45" t="s">
        <v>649</v>
      </c>
      <c r="C511" s="53">
        <f>VARA({1,2})</f>
        <v>0.5</v>
      </c>
      <c r="D511" s="54" t="b">
        <f t="shared" ca="1" si="14"/>
        <v>1</v>
      </c>
      <c r="E511" s="55" t="str">
        <f t="shared" ca="1" si="15"/>
        <v/>
      </c>
      <c r="F511" s="56"/>
      <c r="H511"/>
      <c r="I511"/>
    </row>
    <row r="512" spans="1:9">
      <c r="A512" s="53" t="s">
        <v>650</v>
      </c>
      <c r="B512" s="45" t="s">
        <v>650</v>
      </c>
      <c r="C512" s="53">
        <f>VARP(1)</f>
        <v>0</v>
      </c>
      <c r="D512" s="54" t="b">
        <f t="shared" ca="1" si="14"/>
        <v>1</v>
      </c>
      <c r="E512" s="55" t="str">
        <f t="shared" ca="1" si="15"/>
        <v/>
      </c>
      <c r="F512" s="56"/>
      <c r="H512"/>
      <c r="I512"/>
    </row>
    <row r="513" spans="1:9">
      <c r="A513" s="53" t="s">
        <v>651</v>
      </c>
      <c r="B513" s="45" t="s">
        <v>651</v>
      </c>
      <c r="C513" s="53">
        <f>VARPA(1)</f>
        <v>0</v>
      </c>
      <c r="D513" s="54" t="b">
        <f t="shared" ca="1" si="14"/>
        <v>1</v>
      </c>
      <c r="E513" s="55" t="str">
        <f t="shared" ca="1" si="15"/>
        <v/>
      </c>
      <c r="F513" s="56"/>
      <c r="H513"/>
      <c r="I513"/>
    </row>
    <row r="514" spans="1:9">
      <c r="A514" s="53" t="s">
        <v>652</v>
      </c>
      <c r="B514" s="45" t="s">
        <v>652</v>
      </c>
      <c r="C514" s="53">
        <f>VDB(1000,100,10,0,1)</f>
        <v>200</v>
      </c>
      <c r="D514" s="54" t="b">
        <f t="shared" ca="1" si="14"/>
        <v>1</v>
      </c>
      <c r="E514" s="55" t="str">
        <f t="shared" ca="1" si="15"/>
        <v/>
      </c>
      <c r="F514" s="56"/>
      <c r="H514"/>
      <c r="I514"/>
    </row>
    <row r="515" spans="1:9">
      <c r="A515" s="53" t="s">
        <v>653</v>
      </c>
      <c r="B515" s="45" t="s">
        <v>653</v>
      </c>
      <c r="C515" s="53">
        <f>VLOOKUP(1,{1,1},2,FALSE)</f>
        <v>1</v>
      </c>
      <c r="D515" s="54" t="b">
        <f t="shared" ca="1" si="14"/>
        <v>1</v>
      </c>
      <c r="E515" s="55" t="str">
        <f t="shared" ca="1" si="15"/>
        <v/>
      </c>
      <c r="F515" s="56"/>
      <c r="H515"/>
      <c r="I515"/>
    </row>
    <row r="516" spans="1:9">
      <c r="A516" s="53" t="s">
        <v>654</v>
      </c>
      <c r="B516" s="45" t="s">
        <v>654</v>
      </c>
      <c r="C516" s="53" cm="1">
        <f t="array" ref="C516">_xlfn.VSTACK(1)</f>
        <v>1</v>
      </c>
      <c r="D516" s="54" t="b">
        <f t="shared" ca="1" si="14"/>
        <v>1</v>
      </c>
      <c r="E516" s="55" t="str">
        <f t="shared" ca="1" si="15"/>
        <v/>
      </c>
      <c r="F516" s="56"/>
      <c r="H516"/>
      <c r="I516"/>
    </row>
    <row r="517" spans="1:9">
      <c r="A517" s="53" t="s">
        <v>655</v>
      </c>
      <c r="B517" s="45" t="s">
        <v>655</v>
      </c>
      <c r="C517" s="53" t="str">
        <f>LEFT(_xlfn.WEBSERVICE("http://example.com"),20)</f>
        <v>&lt;!doctype html&gt;&lt;html</v>
      </c>
      <c r="D517" s="54" t="b">
        <f t="shared" ca="1" si="14"/>
        <v>1</v>
      </c>
      <c r="E517" s="55" t="str">
        <f t="shared" ca="1" si="15"/>
        <v/>
      </c>
      <c r="F517" s="56"/>
      <c r="H517"/>
      <c r="I517"/>
    </row>
    <row r="518" spans="1:9">
      <c r="A518" s="53" t="s">
        <v>656</v>
      </c>
      <c r="B518" s="45" t="s">
        <v>656</v>
      </c>
      <c r="C518" s="53">
        <f>WEEKDAY(1)</f>
        <v>1</v>
      </c>
      <c r="D518" s="54" t="b">
        <f t="shared" ca="1" si="14"/>
        <v>1</v>
      </c>
      <c r="E518" s="55" t="str">
        <f t="shared" ca="1" si="15"/>
        <v/>
      </c>
      <c r="F518" s="56"/>
      <c r="H518"/>
      <c r="I518"/>
    </row>
    <row r="519" spans="1:9">
      <c r="A519" s="53" t="s">
        <v>657</v>
      </c>
      <c r="B519" s="45" t="s">
        <v>657</v>
      </c>
      <c r="C519" s="53">
        <f>WEEKNUM(1)</f>
        <v>1</v>
      </c>
      <c r="D519" s="54" t="b">
        <f t="shared" ca="1" si="14"/>
        <v>1</v>
      </c>
      <c r="E519" s="55" t="str">
        <f t="shared" ca="1" si="15"/>
        <v/>
      </c>
      <c r="F519" s="56"/>
      <c r="H519"/>
      <c r="I519"/>
    </row>
    <row r="520" spans="1:9">
      <c r="A520" s="53" t="s">
        <v>658</v>
      </c>
      <c r="B520" s="45" t="s">
        <v>658</v>
      </c>
      <c r="C520" s="53">
        <f>WEIBULL(1,1,1,TRUE)</f>
        <v>0.63212055882855767</v>
      </c>
      <c r="D520" s="54" t="b">
        <f t="shared" ca="1" si="14"/>
        <v>1</v>
      </c>
      <c r="E520" s="55" t="str">
        <f t="shared" ca="1" si="15"/>
        <v/>
      </c>
      <c r="F520" s="56"/>
      <c r="H520"/>
      <c r="I520"/>
    </row>
    <row r="521" spans="1:9">
      <c r="A521" s="53" t="s">
        <v>659</v>
      </c>
      <c r="B521" s="45" t="s">
        <v>659</v>
      </c>
      <c r="C521" s="53">
        <f>_xlfn.WEIBULL.DIST(1,1,1,TRUE)</f>
        <v>0.63212055882855767</v>
      </c>
      <c r="D521" s="54" t="b">
        <f t="shared" ca="1" si="14"/>
        <v>1</v>
      </c>
      <c r="E521" s="55" t="str">
        <f t="shared" ca="1" si="15"/>
        <v/>
      </c>
      <c r="F521" s="56"/>
      <c r="H521"/>
      <c r="I521"/>
    </row>
    <row r="522" spans="1:9">
      <c r="A522" s="53" t="s">
        <v>660</v>
      </c>
      <c r="B522" s="45" t="s">
        <v>660</v>
      </c>
      <c r="C522" s="53">
        <f>WORKDAY(DATE(2020,1,1),1)</f>
        <v>43832</v>
      </c>
      <c r="D522" s="54" t="b">
        <f t="shared" ca="1" si="14"/>
        <v>1</v>
      </c>
      <c r="E522" s="55" t="str">
        <f t="shared" ca="1" si="15"/>
        <v/>
      </c>
      <c r="F522" s="56"/>
      <c r="H522"/>
      <c r="I522"/>
    </row>
    <row r="523" spans="1:9">
      <c r="A523" s="53" t="s">
        <v>661</v>
      </c>
      <c r="B523" s="45" t="s">
        <v>661</v>
      </c>
      <c r="C523" s="53">
        <f>WORKDAY.INTL(DATE(2020,1,1),1)</f>
        <v>43832</v>
      </c>
      <c r="D523" s="54" t="b">
        <f t="shared" ca="1" si="14"/>
        <v>1</v>
      </c>
      <c r="E523" s="55" t="str">
        <f t="shared" ca="1" si="15"/>
        <v/>
      </c>
      <c r="F523" s="56"/>
      <c r="H523"/>
      <c r="I523"/>
    </row>
    <row r="524" spans="1:9">
      <c r="A524" s="53" t="s">
        <v>662</v>
      </c>
      <c r="B524" s="45" t="s">
        <v>662</v>
      </c>
      <c r="C524" s="53">
        <f>INDEX(_xlfn.WRAPCOLS({1;2},1),1,1)</f>
        <v>1</v>
      </c>
      <c r="D524" s="54" t="b">
        <f t="shared" ref="D524:D537" ca="1" si="16">IF(NOT(_xlfn.ISFORMULA(C524)),"NOT TESTED",IFERROR(AND(ERROR.TYPE(C524)&lt;&gt;5,ISERROR(SEARCH("xlfn",_xlfn.FORMULATEXT(C524)))),TRUE))</f>
        <v>1</v>
      </c>
      <c r="E524" s="55" t="str">
        <f t="shared" ref="E524:E537" ca="1" si="17">IF(D524="NOT TESTED","?"&amp;A524&amp;" (untested)",IF(D524=FALSE,A524,""))</f>
        <v/>
      </c>
      <c r="F524" s="56"/>
      <c r="H524"/>
      <c r="I524"/>
    </row>
    <row r="525" spans="1:9">
      <c r="A525" s="53" t="s">
        <v>663</v>
      </c>
      <c r="B525" s="45" t="s">
        <v>663</v>
      </c>
      <c r="C525" s="53">
        <f>INDEX(_xlfn.WRAPROWS({1,2},1),1,1)</f>
        <v>1</v>
      </c>
      <c r="D525" s="54" t="b">
        <f t="shared" ca="1" si="16"/>
        <v>1</v>
      </c>
      <c r="E525" s="55" t="str">
        <f t="shared" ca="1" si="17"/>
        <v/>
      </c>
      <c r="F525" s="56"/>
      <c r="H525"/>
      <c r="I525"/>
    </row>
    <row r="526" spans="1:9">
      <c r="A526" s="53" t="s">
        <v>664</v>
      </c>
      <c r="B526" s="45" t="s">
        <v>664</v>
      </c>
      <c r="C526" s="53">
        <f>XIRR(CHOOSE({1,2},-100,110),CHOOSE({1,2},DATE(2020,1,1),DATE(2021,1,1)))</f>
        <v>9.9713581800460804E-2</v>
      </c>
      <c r="D526" s="54" t="b">
        <f t="shared" ca="1" si="16"/>
        <v>1</v>
      </c>
      <c r="E526" s="55" t="str">
        <f t="shared" ca="1" si="17"/>
        <v/>
      </c>
      <c r="F526" s="56"/>
      <c r="H526"/>
      <c r="I526"/>
    </row>
    <row r="527" spans="1:9">
      <c r="A527" s="53" t="s">
        <v>665</v>
      </c>
      <c r="B527" s="45" t="s">
        <v>665</v>
      </c>
      <c r="C527" s="53" cm="1">
        <f t="array" ref="C527">_xlfn.XLOOKUP(1,{1},{1})</f>
        <v>1</v>
      </c>
      <c r="D527" s="54" t="b">
        <f t="shared" ca="1" si="16"/>
        <v>1</v>
      </c>
      <c r="E527" s="55" t="str">
        <f t="shared" ca="1" si="17"/>
        <v/>
      </c>
      <c r="F527" s="56"/>
      <c r="H527"/>
      <c r="I527"/>
    </row>
    <row r="528" spans="1:9">
      <c r="A528" s="53" t="s">
        <v>666</v>
      </c>
      <c r="B528" s="45" t="s">
        <v>666</v>
      </c>
      <c r="C528" s="53">
        <f>_xlfn.XMATCH(1,{1})</f>
        <v>1</v>
      </c>
      <c r="D528" s="54" t="b">
        <f t="shared" ca="1" si="16"/>
        <v>1</v>
      </c>
      <c r="E528" s="55" t="str">
        <f t="shared" ca="1" si="17"/>
        <v/>
      </c>
      <c r="F528" s="56"/>
      <c r="H528"/>
      <c r="I528"/>
    </row>
    <row r="529" spans="1:9">
      <c r="A529" s="53" t="s">
        <v>667</v>
      </c>
      <c r="B529" s="45" t="s">
        <v>667</v>
      </c>
      <c r="C529" s="53">
        <f>XNPV(0.1,CHOOSE({1,2},-100,110),CHOOSE({1,2},DATE(2020,1,1),DATE(2021,1,1)))</f>
        <v>-2.6108969043889374E-2</v>
      </c>
      <c r="D529" s="54" t="b">
        <f t="shared" ca="1" si="16"/>
        <v>1</v>
      </c>
      <c r="E529" s="55" t="str">
        <f t="shared" ca="1" si="17"/>
        <v/>
      </c>
      <c r="F529" s="56"/>
      <c r="H529"/>
      <c r="I529"/>
    </row>
    <row r="530" spans="1:9">
      <c r="A530" s="53" t="s">
        <v>668</v>
      </c>
      <c r="B530" s="45" t="s">
        <v>668</v>
      </c>
      <c r="C530" s="53" t="b">
        <f>_xlfn.XOR(1)</f>
        <v>1</v>
      </c>
      <c r="D530" s="54" t="b">
        <f t="shared" ca="1" si="16"/>
        <v>1</v>
      </c>
      <c r="E530" s="55" t="str">
        <f t="shared" ca="1" si="17"/>
        <v/>
      </c>
      <c r="F530" s="56"/>
      <c r="H530"/>
      <c r="I530"/>
    </row>
    <row r="531" spans="1:9">
      <c r="A531" s="53" t="s">
        <v>669</v>
      </c>
      <c r="B531" s="45" t="s">
        <v>669</v>
      </c>
      <c r="C531" s="53">
        <f>YEAR(1)</f>
        <v>1900</v>
      </c>
      <c r="D531" s="54" t="b">
        <f t="shared" ca="1" si="16"/>
        <v>1</v>
      </c>
      <c r="E531" s="55" t="str">
        <f t="shared" ca="1" si="17"/>
        <v/>
      </c>
      <c r="F531" s="56"/>
      <c r="H531"/>
      <c r="I531"/>
    </row>
    <row r="532" spans="1:9">
      <c r="A532" s="53" t="s">
        <v>670</v>
      </c>
      <c r="B532" s="45" t="s">
        <v>670</v>
      </c>
      <c r="C532" s="53">
        <f>YEARFRAC(DATE(2020,1,1),DATE(2021,1,1))</f>
        <v>1</v>
      </c>
      <c r="D532" s="54" t="b">
        <f t="shared" ca="1" si="16"/>
        <v>1</v>
      </c>
      <c r="E532" s="55" t="str">
        <f t="shared" ca="1" si="17"/>
        <v/>
      </c>
      <c r="F532" s="56"/>
      <c r="H532"/>
      <c r="I532"/>
    </row>
    <row r="533" spans="1:9">
      <c r="A533" s="53" t="s">
        <v>671</v>
      </c>
      <c r="B533" s="45" t="s">
        <v>671</v>
      </c>
      <c r="C533" s="53">
        <f>YIELD(DATE(2020,1,1),DATE(2021,1,1),0.05,95,100,1)</f>
        <v>0.10526315789473695</v>
      </c>
      <c r="D533" s="54" t="b">
        <f t="shared" ca="1" si="16"/>
        <v>1</v>
      </c>
      <c r="E533" s="55" t="str">
        <f t="shared" ca="1" si="17"/>
        <v/>
      </c>
      <c r="F533" s="56"/>
      <c r="H533"/>
      <c r="I533"/>
    </row>
    <row r="534" spans="1:9">
      <c r="A534" s="53" t="s">
        <v>672</v>
      </c>
      <c r="B534" s="45" t="s">
        <v>672</v>
      </c>
      <c r="C534" s="53">
        <f>YIELDDISC(DATE(2020,1,1),DATE(2021,1,1),95,100)</f>
        <v>5.2631578947368418E-2</v>
      </c>
      <c r="D534" s="54" t="b">
        <f t="shared" ca="1" si="16"/>
        <v>1</v>
      </c>
      <c r="E534" s="55" t="str">
        <f t="shared" ca="1" si="17"/>
        <v/>
      </c>
      <c r="F534" s="56"/>
      <c r="H534"/>
      <c r="I534"/>
    </row>
    <row r="535" spans="1:9">
      <c r="A535" s="53" t="s">
        <v>673</v>
      </c>
      <c r="B535" s="45" t="s">
        <v>673</v>
      </c>
      <c r="C535" s="53">
        <f>YIELDMAT(DATE(2020,1,1),DATE(2021,1,1),DATE(2019,1,1),0.05,95)</f>
        <v>0.10000000000000009</v>
      </c>
      <c r="D535" s="54" t="b">
        <f t="shared" ca="1" si="16"/>
        <v>1</v>
      </c>
      <c r="E535" s="55" t="str">
        <f t="shared" ca="1" si="17"/>
        <v/>
      </c>
      <c r="F535" s="56"/>
      <c r="H535"/>
      <c r="I535"/>
    </row>
    <row r="536" spans="1:9">
      <c r="A536" s="53" t="s">
        <v>674</v>
      </c>
      <c r="B536" s="45" t="s">
        <v>674</v>
      </c>
      <c r="C536" s="53">
        <f>_xlfn.Z.TEST({1,2},1)</f>
        <v>0.15865525393145699</v>
      </c>
      <c r="D536" s="54" t="b">
        <f t="shared" ca="1" si="16"/>
        <v>1</v>
      </c>
      <c r="E536" s="55" t="str">
        <f t="shared" ca="1" si="17"/>
        <v/>
      </c>
      <c r="F536" s="56"/>
      <c r="H536"/>
      <c r="I536"/>
    </row>
    <row r="537" spans="1:9">
      <c r="A537" s="53" t="s">
        <v>675</v>
      </c>
      <c r="B537" s="45" t="s">
        <v>675</v>
      </c>
      <c r="C537" s="53">
        <f>ZTEST({1,2},1)</f>
        <v>0.15865525393145699</v>
      </c>
      <c r="D537" s="54" t="b">
        <f t="shared" ca="1" si="16"/>
        <v>1</v>
      </c>
      <c r="E537" s="55" t="str">
        <f t="shared" ca="1" si="17"/>
        <v/>
      </c>
      <c r="F537" s="56"/>
      <c r="H537"/>
      <c r="I537"/>
    </row>
    <row r="538" spans="1:9">
      <c r="G538"/>
      <c r="H538"/>
      <c r="I538"/>
    </row>
    <row r="539" spans="1:9">
      <c r="G539"/>
      <c r="H539"/>
      <c r="I539"/>
    </row>
    <row r="540" spans="1:9">
      <c r="G540"/>
      <c r="H540"/>
      <c r="I540"/>
    </row>
    <row r="541" spans="1:9">
      <c r="G541"/>
      <c r="H541"/>
      <c r="I541"/>
    </row>
    <row r="542" spans="1:9">
      <c r="G542"/>
      <c r="H542"/>
      <c r="I542"/>
    </row>
    <row r="543" spans="1:9">
      <c r="G543"/>
      <c r="H543"/>
      <c r="I543"/>
    </row>
    <row r="544" spans="1:9">
      <c r="G544"/>
      <c r="H544"/>
      <c r="I544"/>
    </row>
    <row r="545" spans="7:9">
      <c r="G545"/>
      <c r="H545"/>
      <c r="I545"/>
    </row>
    <row r="546" spans="7:9">
      <c r="G546"/>
      <c r="H546"/>
      <c r="I546"/>
    </row>
    <row r="547" spans="7:9">
      <c r="G547"/>
      <c r="H547"/>
      <c r="I547"/>
    </row>
    <row r="548" spans="7:9" ht="23.4">
      <c r="G548" s="65"/>
      <c r="H548"/>
      <c r="I548"/>
    </row>
    <row r="549" spans="7:9">
      <c r="G549"/>
      <c r="H549"/>
      <c r="I549"/>
    </row>
    <row r="550" spans="7:9">
      <c r="G550"/>
      <c r="H550" s="66"/>
      <c r="I550"/>
    </row>
    <row r="551" spans="7:9" ht="71.400000000000006" customHeight="1">
      <c r="G551"/>
      <c r="H551" s="88"/>
      <c r="I551"/>
    </row>
    <row r="552" spans="7:9">
      <c r="G552"/>
      <c r="H552" s="88"/>
      <c r="I552"/>
    </row>
    <row r="553" spans="7:9">
      <c r="G553"/>
      <c r="H553" s="67"/>
      <c r="I553"/>
    </row>
    <row r="554" spans="7:9">
      <c r="G554" s="1"/>
      <c r="H554" s="67"/>
      <c r="I554"/>
    </row>
    <row r="555" spans="7:9">
      <c r="G555"/>
      <c r="H555" s="67"/>
      <c r="I555"/>
    </row>
    <row r="556" spans="7:9">
      <c r="G556" s="68"/>
      <c r="H556"/>
      <c r="I556"/>
    </row>
    <row r="557" spans="7:9">
      <c r="G557" s="68"/>
      <c r="H557"/>
      <c r="I557"/>
    </row>
    <row r="558" spans="7:9">
      <c r="G558"/>
      <c r="H558"/>
      <c r="I558"/>
    </row>
    <row r="559" spans="7:9">
      <c r="G559"/>
      <c r="H559"/>
      <c r="I559"/>
    </row>
    <row r="560" spans="7:9">
      <c r="G560" s="69"/>
      <c r="H560"/>
      <c r="I560"/>
    </row>
    <row r="561" spans="7:9">
      <c r="G561" s="69"/>
      <c r="H561"/>
      <c r="I561"/>
    </row>
    <row r="562" spans="7:9">
      <c r="G562" s="70"/>
      <c r="H562"/>
      <c r="I562"/>
    </row>
    <row r="563" spans="7:9">
      <c r="G563"/>
      <c r="H563"/>
      <c r="I563"/>
    </row>
    <row r="564" spans="7:9" ht="18">
      <c r="G564" s="71"/>
      <c r="H564"/>
      <c r="I564"/>
    </row>
    <row r="565" spans="7:9">
      <c r="G565"/>
      <c r="H565"/>
      <c r="I565"/>
    </row>
    <row r="566" spans="7:9">
      <c r="G566"/>
      <c r="H566"/>
      <c r="I566"/>
    </row>
    <row r="567" spans="7:9">
      <c r="G567"/>
      <c r="H567"/>
      <c r="I567"/>
    </row>
    <row r="568" spans="7:9">
      <c r="G568"/>
      <c r="H568"/>
      <c r="I568"/>
    </row>
    <row r="569" spans="7:9">
      <c r="G569"/>
      <c r="H569"/>
      <c r="I569"/>
    </row>
    <row r="570" spans="7:9">
      <c r="G570"/>
      <c r="H570"/>
      <c r="I570"/>
    </row>
    <row r="571" spans="7:9">
      <c r="G571" s="69"/>
      <c r="H571"/>
      <c r="I571"/>
    </row>
    <row r="572" spans="7:9">
      <c r="G572" s="72"/>
      <c r="H572"/>
      <c r="I572"/>
    </row>
    <row r="573" spans="7:9">
      <c r="G573" s="72"/>
      <c r="H573"/>
      <c r="I573"/>
    </row>
    <row r="574" spans="7:9">
      <c r="G574" s="72"/>
      <c r="H574"/>
      <c r="I574"/>
    </row>
    <row r="575" spans="7:9">
      <c r="G575" s="72"/>
      <c r="H575"/>
      <c r="I575"/>
    </row>
    <row r="576" spans="7:9">
      <c r="G576" s="72"/>
      <c r="H576"/>
      <c r="I576"/>
    </row>
    <row r="577" spans="7:9">
      <c r="G577"/>
      <c r="H577"/>
      <c r="I577"/>
    </row>
    <row r="578" spans="7:9">
      <c r="G578"/>
      <c r="H578"/>
      <c r="I578"/>
    </row>
    <row r="579" spans="7:9">
      <c r="G579"/>
      <c r="H579"/>
      <c r="I579"/>
    </row>
    <row r="580" spans="7:9">
      <c r="G580"/>
      <c r="H580"/>
      <c r="I580"/>
    </row>
    <row r="581" spans="7:9">
      <c r="G581"/>
      <c r="H581"/>
      <c r="I581"/>
    </row>
    <row r="582" spans="7:9" ht="23.4">
      <c r="G582" s="65"/>
      <c r="H582"/>
      <c r="I582"/>
    </row>
    <row r="583" spans="7:9">
      <c r="G583"/>
      <c r="H583"/>
      <c r="I583"/>
    </row>
    <row r="584" spans="7:9">
      <c r="G584"/>
      <c r="H584"/>
      <c r="I584"/>
    </row>
    <row r="585" spans="7:9">
      <c r="G585"/>
      <c r="H585"/>
      <c r="I585"/>
    </row>
    <row r="586" spans="7:9" ht="18">
      <c r="G586" s="71"/>
      <c r="H586"/>
      <c r="I586"/>
    </row>
    <row r="587" spans="7:9">
      <c r="G587"/>
      <c r="H587"/>
      <c r="I587"/>
    </row>
    <row r="588" spans="7:9">
      <c r="G588" s="1"/>
      <c r="H588"/>
      <c r="I588"/>
    </row>
    <row r="589" spans="7:9">
      <c r="G589"/>
      <c r="H589"/>
      <c r="I589"/>
    </row>
    <row r="590" spans="7:9">
      <c r="G590" s="74"/>
      <c r="H590" s="74"/>
      <c r="I590" s="74"/>
    </row>
    <row r="591" spans="7:9">
      <c r="G591" s="73"/>
      <c r="H591" s="73"/>
      <c r="I591" s="73"/>
    </row>
    <row r="592" spans="7:9">
      <c r="G592" s="73"/>
      <c r="H592" s="73"/>
      <c r="I592" s="73"/>
    </row>
    <row r="593" spans="7:9">
      <c r="G593" s="73"/>
      <c r="H593" s="73"/>
      <c r="I593" s="73"/>
    </row>
    <row r="594" spans="7:9">
      <c r="G594" s="74"/>
      <c r="H594"/>
      <c r="I594"/>
    </row>
    <row r="595" spans="7:9">
      <c r="G595" s="73"/>
      <c r="H595"/>
      <c r="I595"/>
    </row>
    <row r="596" spans="7:9">
      <c r="G596"/>
      <c r="H596"/>
      <c r="I596"/>
    </row>
    <row r="597" spans="7:9">
      <c r="G597"/>
      <c r="H597"/>
      <c r="I597"/>
    </row>
    <row r="598" spans="7:9">
      <c r="G598"/>
      <c r="H598"/>
      <c r="I598"/>
    </row>
    <row r="599" spans="7:9">
      <c r="G599"/>
      <c r="H599"/>
      <c r="I599"/>
    </row>
    <row r="600" spans="7:9">
      <c r="G600"/>
      <c r="H600"/>
      <c r="I600"/>
    </row>
    <row r="601" spans="7:9" ht="18">
      <c r="G601" s="71"/>
      <c r="H601"/>
      <c r="I601"/>
    </row>
    <row r="602" spans="7:9">
      <c r="G602"/>
      <c r="H602"/>
      <c r="I602"/>
    </row>
    <row r="603" spans="7:9">
      <c r="G603"/>
      <c r="H603"/>
      <c r="I603"/>
    </row>
    <row r="604" spans="7:9">
      <c r="G604"/>
      <c r="H604"/>
      <c r="I604"/>
    </row>
    <row r="605" spans="7:9">
      <c r="G605" s="1"/>
      <c r="H605"/>
      <c r="I605"/>
    </row>
    <row r="606" spans="7:9">
      <c r="G606"/>
      <c r="H606"/>
      <c r="I606"/>
    </row>
    <row r="607" spans="7:9">
      <c r="G607" s="74"/>
      <c r="H607" s="74"/>
      <c r="I607" s="74"/>
    </row>
    <row r="608" spans="7:9">
      <c r="G608" s="73"/>
      <c r="H608" s="73"/>
      <c r="I608" s="73"/>
    </row>
    <row r="609" spans="7:9">
      <c r="G609" s="73"/>
      <c r="H609" s="73"/>
      <c r="I609" s="73"/>
    </row>
    <row r="610" spans="7:9">
      <c r="G610" s="73"/>
      <c r="H610" s="73"/>
      <c r="I610" s="73"/>
    </row>
    <row r="611" spans="7:9">
      <c r="G611" s="74"/>
      <c r="H611"/>
      <c r="I611"/>
    </row>
    <row r="612" spans="7:9">
      <c r="G612" s="73"/>
      <c r="H612"/>
      <c r="I612"/>
    </row>
    <row r="613" spans="7:9">
      <c r="G613"/>
      <c r="H613"/>
      <c r="I613"/>
    </row>
    <row r="614" spans="7:9">
      <c r="G614"/>
      <c r="H614"/>
      <c r="I614"/>
    </row>
  </sheetData>
  <mergeCells count="1">
    <mergeCell ref="H551:H552"/>
  </mergeCells>
  <conditionalFormatting sqref="D11:D537">
    <cfRule type="cellIs" dxfId="5" priority="1" operator="equal">
      <formula>"NOT TESTED"</formula>
    </cfRule>
    <cfRule type="cellIs" dxfId="4" priority="2" operator="equal">
      <formula>FALSE</formula>
    </cfRule>
  </conditionalFormatting>
  <hyperlinks>
    <hyperlink ref="A5" r:id="rId1" xr:uid="{811875DA-AC40-4B0D-B30B-FC8323470AF2}"/>
    <hyperlink ref="A6" r:id="rId2" xr:uid="{86BABEB9-9D60-4124-95B3-7123D740669C}"/>
    <hyperlink ref="B11" r:id="rId3" display="https://support.microsoft.com/en-us/excel/functions/abs-function" xr:uid="{160EB0A9-2172-426B-BEE9-473545A0D2C8}"/>
    <hyperlink ref="B12" r:id="rId4" display="https://support.microsoft.com/en-us/excel/functions/accrint-function" xr:uid="{F6825C2F-4FA3-4D36-94EC-27C98B3FC9A7}"/>
    <hyperlink ref="B13" r:id="rId5" display="https://support.microsoft.com/en-us/excel/functions/accrintm-function" xr:uid="{BBC6D93D-9327-4029-ABD5-B9FDAA938C83}"/>
    <hyperlink ref="B14" r:id="rId6" display="https://support.microsoft.com/en-us/excel/functions/acos-function" xr:uid="{E277E72E-C833-4909-8656-9E32D481C4CC}"/>
    <hyperlink ref="B15" r:id="rId7" display="https://support.microsoft.com/en-us/excel/functions/acosh-function" xr:uid="{C0BE2F06-5E05-408B-A1FF-677E5B01A129}"/>
    <hyperlink ref="B16" r:id="rId8" display="https://support.microsoft.com/en-us/excel/functions/acot-function" xr:uid="{25B57FF9-3EF8-4C2E-87E9-86CE60148853}"/>
    <hyperlink ref="B17" r:id="rId9" display="https://support.microsoft.com/en-us/excel/functions/acoth-function" xr:uid="{284284EB-FA9F-4282-A356-A2DBC24B5696}"/>
    <hyperlink ref="B18" r:id="rId10" display="https://support.microsoft.com/en-us/excel/functions/address-function" xr:uid="{49660A60-DE1E-499E-82C9-5DFA7DE6476E}"/>
    <hyperlink ref="B19" r:id="rId11" display="https://support.microsoft.com/en-us/excel/functions/aggregate-function" xr:uid="{855B48FE-6EC9-4EF8-B651-9C84CDC00538}"/>
    <hyperlink ref="B20" r:id="rId12" display="https://support.microsoft.com/en-us/excel/functions/amordegrc-function" xr:uid="{AF1B1E9A-80DA-4847-BA92-4BFC41B894DC}"/>
    <hyperlink ref="B21" r:id="rId13" display="https://support.microsoft.com/en-us/excel/functions/amorlinc-function" xr:uid="{81B31E42-24D5-44FC-A96C-39BAE0267682}"/>
    <hyperlink ref="B22" r:id="rId14" display="https://support.microsoft.com/en-us/excel/functions/and-function" xr:uid="{A699B421-D187-4435-89CC-5E3B984A0708}"/>
    <hyperlink ref="B23" r:id="rId15" display="https://support.microsoft.com/en-us/excel/functions/arabic-function" xr:uid="{75C3365E-2111-406F-9057-4B93354C6B89}"/>
    <hyperlink ref="B24" r:id="rId16" display="https://support.microsoft.com/en-us/excel/functions/areas-function" xr:uid="{C1C6B3F7-A5A7-4809-9165-3D86C55B724B}"/>
    <hyperlink ref="B25" r:id="rId17" display="https://support.microsoft.com/en-us/excel/functions/arraytotext-function" xr:uid="{C78ADAF7-C8C7-4979-9508-DA36C1FA2F7C}"/>
    <hyperlink ref="B26" r:id="rId18" display="https://support.microsoft.com/en-us/excel/functions/asc-function" xr:uid="{8691AAA4-5582-4B5D-BD23-D167E0ADDE31}"/>
    <hyperlink ref="B27" r:id="rId19" display="https://support.microsoft.com/en-us/excel/functions/asin-function" xr:uid="{DE55FAFB-56F2-489E-84EC-3CBBBDC8381B}"/>
    <hyperlink ref="B28" r:id="rId20" display="https://support.microsoft.com/en-us/excel/functions/asinh-function" xr:uid="{FB7C12DE-AB4E-4045-9D6F-3E1FC80559BF}"/>
    <hyperlink ref="B29" r:id="rId21" display="https://support.microsoft.com/en-us/excel/functions/atan-function" xr:uid="{AFEE25D5-25C1-45A0-924A-C6E69C2CE6B5}"/>
    <hyperlink ref="B30" r:id="rId22" display="https://support.microsoft.com/en-us/excel/functions/atan2-function" xr:uid="{E3FB7F65-C515-433F-8F40-64A0C997B6A0}"/>
    <hyperlink ref="B31" r:id="rId23" display="https://support.microsoft.com/en-us/excel/functions/atanh-function" xr:uid="{71D6743D-02DF-4CD0-8C58-52291AACE5B3}"/>
    <hyperlink ref="B32" r:id="rId24" display="https://support.microsoft.com/en-us/excel/functions/avedev-function" xr:uid="{BBD21B81-3674-48EC-9A9B-2CAAA079AA4D}"/>
    <hyperlink ref="B33" r:id="rId25" display="https://support.microsoft.com/en-us/excel/functions/average-function" xr:uid="{960B92CB-D239-412C-9F40-4AF883D2C31B}"/>
    <hyperlink ref="B34" r:id="rId26" display="https://support.microsoft.com/en-us/excel/functions/averagea-function" xr:uid="{AD998CA8-FEC4-4CA0-B5B6-EEC0A5D7F480}"/>
    <hyperlink ref="B35" r:id="rId27" display="https://support.microsoft.com/en-us/excel/functions/averageif-function" xr:uid="{5A998403-816F-49CA-83C8-DBB55F04D740}"/>
    <hyperlink ref="B36" r:id="rId28" display="https://support.microsoft.com/en-us/excel/functions/averageifs-function" xr:uid="{D51C364C-CD4B-40C4-A972-D5EFE8974A14}"/>
    <hyperlink ref="B37" r:id="rId29" display="https://support.microsoft.com/en-us/excel/functions/bahttext-function" xr:uid="{F9554A44-4205-42C7-91F2-2322D75B35F7}"/>
    <hyperlink ref="B38" r:id="rId30" display="https://support.microsoft.com/en-us/excel/functions/base-function" xr:uid="{2C27261A-C52E-405C-BC80-64B431371852}"/>
    <hyperlink ref="B39" r:id="rId31" display="https://support.microsoft.com/en-us/excel/functions/besseli-function" xr:uid="{20F036FE-5077-48DF-AB9C-E8880C1A07C1}"/>
    <hyperlink ref="B40" r:id="rId32" display="https://support.microsoft.com/en-us/excel/functions/besselj-function" xr:uid="{A1EDE8AC-FC6F-4CE0-8C31-CA6692384D8A}"/>
    <hyperlink ref="B41" r:id="rId33" display="https://support.microsoft.com/en-us/excel/functions/besselk-function" xr:uid="{EF2D66E8-3595-462D-AD0B-4D9A63B6CA66}"/>
    <hyperlink ref="B42" r:id="rId34" display="https://support.microsoft.com/en-us/excel/functions/bessely-function" xr:uid="{224399F6-55D0-4608-A36A-A359B8C3EDFE}"/>
    <hyperlink ref="B43" r:id="rId35" display="https://support.microsoft.com/en-us/excel/functions/beta-dist-function" xr:uid="{44BE54C0-A921-4390-A502-F2F59E5145C2}"/>
    <hyperlink ref="B44" r:id="rId36" display="https://support.microsoft.com/en-us/excel/functions/beta-inv-function" xr:uid="{C9363A9F-E93C-4CC1-8380-BC52F763DC63}"/>
    <hyperlink ref="B45" r:id="rId37" display="https://support.microsoft.com/en-us/excel/functions/betadist-function" xr:uid="{6FBCE0FD-EA05-4DD5-813E-D537902B8B75}"/>
    <hyperlink ref="B46" r:id="rId38" display="https://support.microsoft.com/en-us/excel/functions/betainv-function" xr:uid="{7538E3B4-0946-4E82-A855-F415F63ABF0D}"/>
    <hyperlink ref="B47" r:id="rId39" display="https://support.microsoft.com/en-us/excel/functions/bin2dec-function" xr:uid="{8791B67E-A43B-467A-93C7-CE702423F0D4}"/>
    <hyperlink ref="B48" r:id="rId40" display="https://support.microsoft.com/en-us/excel/functions/bin2hex-function" xr:uid="{839A7BBB-CF28-408F-90F5-2B93ADF393DC}"/>
    <hyperlink ref="B49" r:id="rId41" display="https://support.microsoft.com/en-us/excel/functions/bin2oct-function" xr:uid="{59F35C77-8B3D-48D5-9A7B-0814E6A1367E}"/>
    <hyperlink ref="B50" r:id="rId42" display="https://support.microsoft.com/en-us/excel/functions/binom-dist-function" xr:uid="{6E750B67-1B03-4A5E-BC74-199428ECE7A9}"/>
    <hyperlink ref="B51" r:id="rId43" display="https://support.microsoft.com/en-us/excel/functions/binom-dist-range-function" xr:uid="{89EBF7BB-B4BE-4BCB-AC63-26CD3C7F5663}"/>
    <hyperlink ref="B52" r:id="rId44" display="https://support.microsoft.com/en-us/excel/functions/binom-inv-function" xr:uid="{D217C485-7479-44C1-8C69-8674F5FB8F6A}"/>
    <hyperlink ref="B53" r:id="rId45" display="https://support.microsoft.com/en-us/excel/functions/binomdist-function" xr:uid="{96FC0C3F-856E-4ACF-BDF8-E1FEA947A2B7}"/>
    <hyperlink ref="B54" r:id="rId46" display="https://support.microsoft.com/en-us/excel/functions/bitand-function" xr:uid="{BCE3A6E2-22E6-470F-B9BE-0D86F3550F3D}"/>
    <hyperlink ref="B55" r:id="rId47" display="https://support.microsoft.com/en-us/excel/functions/bitlshift-function" xr:uid="{6EC89859-5B80-4E1E-B654-E01D93AB74B0}"/>
    <hyperlink ref="B56" r:id="rId48" display="https://support.microsoft.com/en-us/excel/functions/bitor-function" xr:uid="{44E513D9-6411-4F94-AD80-F70D17864661}"/>
    <hyperlink ref="B57" r:id="rId49" display="https://support.microsoft.com/en-us/excel/functions/bitrshift-function" xr:uid="{BAA7A72A-30EE-4CE7-AC0C-63CA09684B01}"/>
    <hyperlink ref="B58" r:id="rId50" display="https://support.microsoft.com/en-us/excel/functions/bitxor-function" xr:uid="{366FC72A-A7F7-45F2-AEF1-9F6B44CD7F95}"/>
    <hyperlink ref="B59" r:id="rId51" display="https://support.microsoft.com/en-us/excel/functions/bycol-function" xr:uid="{B78C65D0-1DCA-4133-B4F6-5A1F582CE713}"/>
    <hyperlink ref="B60" r:id="rId52" display="https://support.microsoft.com/en-us/excel/functions/byrow-function" xr:uid="{F717EFF4-824D-4784-81D3-5999DA899BED}"/>
    <hyperlink ref="B61" r:id="rId53" display="https://support.microsoft.com/en-us/excel/functions/call-function" xr:uid="{85CD8686-B714-494E-880B-88F98027B0D5}"/>
    <hyperlink ref="B62" r:id="rId54" display="https://support.microsoft.com/en-us/excel/functions/ceiling-function" xr:uid="{31186909-1A87-4EDD-9CF7-58EBCB5FEDCC}"/>
    <hyperlink ref="B63" r:id="rId55" display="https://support.microsoft.com/en-us/excel/functions/ceiling-math-function" xr:uid="{77A45E2F-0997-4BF2-B749-D3C8885EAE25}"/>
    <hyperlink ref="B64" r:id="rId56" display="https://support.microsoft.com/en-us/excel/functions/ceiling-precise-function" xr:uid="{1F3B23D9-37AC-4E3B-BF47-2303D73A44CB}"/>
    <hyperlink ref="B65" r:id="rId57" display="https://support.microsoft.com/en-us/excel/functions/cell-function" xr:uid="{929E1D3B-80A4-4BF8-A833-78AEB66F585A}"/>
    <hyperlink ref="B66" r:id="rId58" display="https://support.microsoft.com/en-us/excel/functions/char-function" xr:uid="{62D1ABF3-C41D-4C86-92EE-A14A2DE33F42}"/>
    <hyperlink ref="B67" r:id="rId59" display="https://support.microsoft.com/en-us/excel/functions/chidist-function" xr:uid="{C0DF8D79-FD21-4859-BCCE-DB5933EF4D6C}"/>
    <hyperlink ref="B68" r:id="rId60" display="https://support.microsoft.com/en-us/excel/functions/chiinv-function" xr:uid="{63C79F4E-0F92-4FDB-8F00-6B9A37358995}"/>
    <hyperlink ref="B69" r:id="rId61" display="https://support.microsoft.com/en-us/excel/functions/chisq-dist-function" xr:uid="{3E3FB77A-B155-4685-BD64-83EEBF47141E}"/>
    <hyperlink ref="B70" r:id="rId62" display="https://support.microsoft.com/en-us/excel/functions/chisq-dist-rt-function" xr:uid="{C937971A-F248-44BB-9BCF-2E8250901995}"/>
    <hyperlink ref="B71" r:id="rId63" display="https://support.microsoft.com/en-us/excel/functions/chisq-inv-function" xr:uid="{C460F183-D2AE-426E-A1FB-B9BCF8EDB378}"/>
    <hyperlink ref="B72" r:id="rId64" display="https://support.microsoft.com/en-us/excel/functions/chisq-inv-rt-function" xr:uid="{8DB6F30E-38A6-4FFA-A639-3E745A613A24}"/>
    <hyperlink ref="B73" r:id="rId65" display="https://support.microsoft.com/en-us/excel/functions/chisq-test-function" xr:uid="{48DD8F82-5342-4BD2-AB80-9C4EEE2C8E60}"/>
    <hyperlink ref="B74" r:id="rId66" display="https://support.microsoft.com/en-us/excel/functions/chitest-function" xr:uid="{0D7B9ABE-FD15-44E4-996D-B7F399235AEE}"/>
    <hyperlink ref="B75" r:id="rId67" display="https://support.microsoft.com/en-us/excel/functions/choose-function" xr:uid="{5566DD5A-5F06-4C3C-A151-65C0AB1B329A}"/>
    <hyperlink ref="B76" r:id="rId68" display="https://support.microsoft.com/en-us/excel/functions/choosecols-function" xr:uid="{70297601-CB34-40E1-AB24-A904A2378E22}"/>
    <hyperlink ref="B77" r:id="rId69" display="https://support.microsoft.com/en-us/excel/functions/chooserows-function" xr:uid="{DC860F28-1387-42FE-90D9-58AB9BE913D5}"/>
    <hyperlink ref="B78" r:id="rId70" display="https://support.microsoft.com/en-us/excel/functions/clean-function" xr:uid="{5AB1F7EE-0BE1-479D-8DB5-A94820B91C74}"/>
    <hyperlink ref="B79" r:id="rId71" display="https://support.microsoft.com/en-us/excel/functions/code-function" xr:uid="{74978890-9F18-4D0D-B87F-C0CD3E33138E}"/>
    <hyperlink ref="B80" r:id="rId72" display="https://support.microsoft.com/en-us/excel/functions/column-function" xr:uid="{68C57E27-D325-4537-B283-5BFD6A266F86}"/>
    <hyperlink ref="B81" r:id="rId73" display="https://support.microsoft.com/en-us/excel/functions/columns-function" xr:uid="{2A63D6F6-0F2C-4580-B7F9-035842B5B58F}"/>
    <hyperlink ref="B82" r:id="rId74" display="https://support.microsoft.com/en-us/excel/functions/combin-function" xr:uid="{35CD9F48-620C-4A7A-997A-97092E7EAC84}"/>
    <hyperlink ref="B83" r:id="rId75" display="https://support.microsoft.com/en-us/excel/functions/combina-function" xr:uid="{449206E6-1739-4E56-AC5B-F1CA13CFC8A7}"/>
    <hyperlink ref="B84" r:id="rId76" display="https://support.microsoft.com/en-us/excel/functions/complex-function" xr:uid="{B0651BEB-2EF3-47A6-9ED0-8D27F8B49A61}"/>
    <hyperlink ref="B85" r:id="rId77" display="https://support.microsoft.com/en-us/excel/functions/concat-function" xr:uid="{12D1D875-6279-4C88-B1E0-05C8913697F1}"/>
    <hyperlink ref="B86" r:id="rId78" display="https://support.microsoft.com/en-us/excel/functions/concatenate-function" xr:uid="{8594EED3-50E5-4F41-944E-CE1FCF04661F}"/>
    <hyperlink ref="B87" r:id="rId79" display="https://support.microsoft.com/en-us/excel/functions/confidence-function" xr:uid="{83EA358D-4166-413A-9063-A9339FD06908}"/>
    <hyperlink ref="B88" r:id="rId80" display="https://support.microsoft.com/en-us/excel/functions/confidence-norm-function" xr:uid="{F6612C80-86CC-4EA6-8EE0-FD7EB14023F8}"/>
    <hyperlink ref="B89" r:id="rId81" display="https://support.microsoft.com/en-us/excel/functions/confidence-t-function" xr:uid="{AB872F98-E32A-4E3C-8911-6EA343A988D6}"/>
    <hyperlink ref="B90" r:id="rId82" display="https://support.microsoft.com/en-us/excel/functions/convert-function" xr:uid="{B89F08CE-BAB1-4D90-A197-D7F18D3A4D19}"/>
    <hyperlink ref="B91" r:id="rId83" display="https://support.microsoft.com/en-us/excel/functions/copilot-function" xr:uid="{D933E1FB-A75F-4E24-8497-E0A3AF482BDF}"/>
    <hyperlink ref="B92" r:id="rId84" display="https://support.microsoft.com/en-us/excel/functions/correl-function" xr:uid="{922A3E61-C8B0-4C1A-8F37-0DBA4F221ED9}"/>
    <hyperlink ref="B93" r:id="rId85" display="https://support.microsoft.com/en-us/excel/functions/cos-function" xr:uid="{472E4E02-56C2-410D-98C3-F54F489C50A4}"/>
    <hyperlink ref="B94" r:id="rId86" display="https://support.microsoft.com/en-us/excel/functions/cosh-function" xr:uid="{E13F6284-2156-45E3-AF14-04495387A1E9}"/>
    <hyperlink ref="B95" r:id="rId87" display="https://support.microsoft.com/en-us/excel/functions/cot-function" xr:uid="{F7B1BBEE-33C3-4B82-BE80-148E0955306E}"/>
    <hyperlink ref="B96" r:id="rId88" display="https://support.microsoft.com/en-us/excel/functions/coth-function" xr:uid="{461F242A-01EB-44BC-850D-333681167EBB}"/>
    <hyperlink ref="B97" r:id="rId89" display="https://support.microsoft.com/en-us/excel/functions/count-function" xr:uid="{ABE9D13D-9D81-4177-9C17-DF35E8292E2D}"/>
    <hyperlink ref="B98" r:id="rId90" display="https://support.microsoft.com/en-us/excel/functions/counta-function" xr:uid="{332907FB-269F-41DF-8BB2-49B57F9CA394}"/>
    <hyperlink ref="B99" r:id="rId91" display="https://support.microsoft.com/en-us/excel/functions/countblank-function" xr:uid="{42E2693F-4DC9-434D-8C66-DA14B2795ED4}"/>
    <hyperlink ref="B100" r:id="rId92" display="https://support.microsoft.com/en-us/excel/functions/countifs-function" xr:uid="{A2AEF388-07B6-4CC2-8E1D-59B89E91B17B}"/>
    <hyperlink ref="B101" r:id="rId93" display="https://support.microsoft.com/en-us/excel/functions/coupdaybs-function" xr:uid="{1585AC3E-6962-4B4E-AB65-60AF12496135}"/>
    <hyperlink ref="B102" r:id="rId94" display="https://support.microsoft.com/en-us/excel/functions/coupdays-function" xr:uid="{853CF132-47EB-43BC-AB56-91BDC80D7358}"/>
    <hyperlink ref="B103" r:id="rId95" display="https://support.microsoft.com/en-us/excel/functions/coupdaysnc-function" xr:uid="{890317A6-421E-4917-9FA0-ABE7F1FE9E6F}"/>
    <hyperlink ref="B104" r:id="rId96" display="https://support.microsoft.com/en-us/excel/functions/coupncd-function" xr:uid="{7E462837-0F90-4CA6-8F6F-10351B2A85C1}"/>
    <hyperlink ref="B105" r:id="rId97" display="https://support.microsoft.com/en-us/excel/functions/coupnum-function" xr:uid="{23789085-1255-4031-AF3E-5EE2260D4220}"/>
    <hyperlink ref="B106" r:id="rId98" display="https://support.microsoft.com/en-us/excel/functions/couppcd-function" xr:uid="{12283C64-EEE0-459C-A950-122168573895}"/>
    <hyperlink ref="B107" r:id="rId99" display="https://support.microsoft.com/en-us/excel/functions/covar-function" xr:uid="{AE5CB667-B179-4C5D-BB18-F938E21349ED}"/>
    <hyperlink ref="B108" r:id="rId100" display="https://support.microsoft.com/en-us/excel/functions/covariance-p-function" xr:uid="{EE3BD00B-3D99-43EF-AFB8-121BD95511AC}"/>
    <hyperlink ref="B109" r:id="rId101" display="https://support.microsoft.com/en-us/excel/functions/covariance-s-function" xr:uid="{20559B21-C99B-4AAB-BA8D-A12CCAB4034E}"/>
    <hyperlink ref="B110" r:id="rId102" display="https://support.microsoft.com/en-us/excel/functions/critbinom-function" xr:uid="{98395D1F-362E-481C-B3BF-F8253D2D8134}"/>
    <hyperlink ref="B111" r:id="rId103" display="https://support.microsoft.com/en-us/excel/functions/csc-function" xr:uid="{5A50B3AB-E921-4266-B729-282C68D01E19}"/>
    <hyperlink ref="B112" r:id="rId104" display="https://support.microsoft.com/en-us/excel/functions/csch-function" xr:uid="{8E336484-E91A-4EDA-BC7F-C0F46EF5FB26}"/>
    <hyperlink ref="B113" r:id="rId105" display="https://support.microsoft.com/en-us/excel/functions/cubekpimember-function" xr:uid="{D2A1F1DA-E5B4-4528-AE33-37151B77C774}"/>
    <hyperlink ref="B114" r:id="rId106" display="https://support.microsoft.com/en-us/excel/functions/cubemember-function" xr:uid="{962B712F-ABC5-4DA8-9028-E4B562BCC9D0}"/>
    <hyperlink ref="B115" r:id="rId107" display="https://support.microsoft.com/en-us/excel/functions/cubememberproperty-function" xr:uid="{062F9B18-36FE-47A8-9F11-C614E16D9145}"/>
    <hyperlink ref="B116" r:id="rId108" display="https://support.microsoft.com/en-us/excel/functions/cuberankedmember-function" xr:uid="{305014FC-6800-4252-86FF-9D3C03075BAD}"/>
    <hyperlink ref="B117" r:id="rId109" display="https://support.microsoft.com/en-us/excel/functions/cubeset-function" xr:uid="{F7372462-B1DC-4C77-8502-112743A4D5F4}"/>
    <hyperlink ref="B118" r:id="rId110" display="https://support.microsoft.com/en-us/excel/functions/cubesetcount-function" xr:uid="{BFBDAF83-6D4E-4D1E-8E0E-C7AB866629B8}"/>
    <hyperlink ref="B119" r:id="rId111" display="https://support.microsoft.com/en-us/excel/functions/cubevalue-function" xr:uid="{9B1E2A02-CFDC-43BC-B10E-0E05291C0CE5}"/>
    <hyperlink ref="B120" r:id="rId112" display="https://support.microsoft.com/en-us/excel/functions/cumipmt-function" xr:uid="{13C74495-1EAA-484E-B4DE-02E97F4D39CE}"/>
    <hyperlink ref="B121" r:id="rId113" display="https://support.microsoft.com/en-us/excel/functions/cumprinc-function" xr:uid="{65A70C4B-684B-4668-A80C-4F75BBA94BB5}"/>
    <hyperlink ref="B122" r:id="rId114" display="https://support.microsoft.com/en-us/excel/functions/date-function" xr:uid="{15B971AF-970D-4DF4-97C5-3256E4ACCF32}"/>
    <hyperlink ref="B123" r:id="rId115" display="https://support.microsoft.com/en-us/excel/functions/datedif-function" xr:uid="{0B262050-619D-4614-B69E-87AB54BE259C}"/>
    <hyperlink ref="B124" r:id="rId116" display="https://support.microsoft.com/en-us/excel/functions/datevalue-function" xr:uid="{0A973875-2BCE-4D9A-95FD-78729D35F7B6}"/>
    <hyperlink ref="B125" r:id="rId117" display="https://support.microsoft.com/en-us/excel/functions/daverage-function" xr:uid="{3F9A9799-C36E-4AF3-A9D4-B508923C7EA7}"/>
    <hyperlink ref="B126" r:id="rId118" display="https://support.microsoft.com/en-us/excel/functions/day-function" xr:uid="{D5A93E9A-511E-45BB-A524-AD3198718324}"/>
    <hyperlink ref="B127" r:id="rId119" display="https://support.microsoft.com/en-us/excel/functions/days-function" xr:uid="{270A2445-8DB1-4FEE-8550-C3A40060721D}"/>
    <hyperlink ref="B128" r:id="rId120" display="https://support.microsoft.com/en-us/excel/functions/days360-function" xr:uid="{08BAF9D7-72FB-4F7F-9E9D-059988308747}"/>
    <hyperlink ref="B129" r:id="rId121" display="https://support.microsoft.com/en-us/excel/functions/db-function" xr:uid="{E1CFCFE9-6ED6-4B97-917A-1BFADFCB66AE}"/>
    <hyperlink ref="B130" r:id="rId122" display="https://support.microsoft.com/en-us/excel/functions/dbcs-function" xr:uid="{496119ED-C8C3-49A5-92BB-92B8D3295CBF}"/>
    <hyperlink ref="B131" r:id="rId123" display="https://support.microsoft.com/en-us/excel/functions/dcount-function" xr:uid="{CF66224F-3186-4AE7-B53A-83AB96E701F0}"/>
    <hyperlink ref="B132" r:id="rId124" display="https://support.microsoft.com/en-us/excel/functions/dcounta-function" xr:uid="{78934B71-9BD5-4D78-9C88-F8EAAF19AAC8}"/>
    <hyperlink ref="B133" r:id="rId125" display="https://support.microsoft.com/en-us/excel/functions/ddb-function" xr:uid="{0E51A679-F444-432B-9443-DC52C8799EBC}"/>
    <hyperlink ref="B134" r:id="rId126" display="https://support.microsoft.com/en-us/excel/functions/dec2bin-function" xr:uid="{E8C9B80B-4468-48B6-B64A-1AD1C60A24A9}"/>
    <hyperlink ref="B135" r:id="rId127" display="https://support.microsoft.com/en-us/excel/functions/dec2hex-function" xr:uid="{3FFA9AF9-A440-4052-B74A-CA65D2BE5325}"/>
    <hyperlink ref="B136" r:id="rId128" display="https://support.microsoft.com/en-us/excel/functions/dec2oct-function" xr:uid="{5C91ACF9-66A6-4ABE-A80F-9B76C73F26FD}"/>
    <hyperlink ref="B137" r:id="rId129" display="https://support.microsoft.com/en-us/excel/functions/decimal-function" xr:uid="{AB513EBB-4674-4D81-9C1C-166CED0466C9}"/>
    <hyperlink ref="B138" r:id="rId130" display="https://support.microsoft.com/en-us/excel/functions/degrees-function" xr:uid="{5838D505-678B-4BF6-9DAE-DA62E51CE46B}"/>
    <hyperlink ref="B139" r:id="rId131" display="https://support.microsoft.com/en-us/excel/functions/delta-function" xr:uid="{704427C1-D8D0-425F-959E-2C82DFE8410E}"/>
    <hyperlink ref="B140" r:id="rId132" display="https://support.microsoft.com/en-us/excel/functions/detectlanguage-function" xr:uid="{598DA89B-4947-4453-8FAE-B3662592C890}"/>
    <hyperlink ref="B141" r:id="rId133" display="https://support.microsoft.com/en-us/excel/functions/devsq-function" xr:uid="{E06E5252-2255-41B7-A895-F84FF64EA406}"/>
    <hyperlink ref="B142" r:id="rId134" display="https://support.microsoft.com/en-us/excel/functions/dget-function" xr:uid="{11A068D0-07B5-4A1D-BD15-A0DFD9EF77AD}"/>
    <hyperlink ref="B143" r:id="rId135" display="https://support.microsoft.com/en-us/excel/functions/disc-function" xr:uid="{58BDBB8E-C0C9-4F6E-B631-66C937BD7FC0}"/>
    <hyperlink ref="B144" r:id="rId136" display="https://support.microsoft.com/en-us/excel/functions/dmax-function" xr:uid="{D8DACB7B-A3D6-4FD8-A1F0-6FE5D1DDFB83}"/>
    <hyperlink ref="B145" r:id="rId137" display="https://support.microsoft.com/en-us/excel/functions/dmin-function" xr:uid="{25C36E61-0349-41D3-AD42-E8A11946CAC1}"/>
    <hyperlink ref="B146" r:id="rId138" display="https://support.microsoft.com/en-us/excel/functions/dollar-function" xr:uid="{7B3DD19F-9289-4A10-8073-43568F98433F}"/>
    <hyperlink ref="B147" r:id="rId139" display="https://support.microsoft.com/en-us/excel/functions/dollarde-function" xr:uid="{40EE9C96-A691-4A7D-B1B8-0D31B0E734FF}"/>
    <hyperlink ref="B148" r:id="rId140" display="https://support.microsoft.com/en-us/excel/functions/dollarfr-function" xr:uid="{15BBEAF6-6C99-4A3A-B4D6-8F4CF0A742D0}"/>
    <hyperlink ref="B149" r:id="rId141" display="https://support.microsoft.com/en-us/excel/functions/dproduct-function" xr:uid="{571EFE6D-1582-4ED2-8022-09EE63BAB5B8}"/>
    <hyperlink ref="B150" r:id="rId142" display="https://support.microsoft.com/en-us/excel/functions/drop-function" xr:uid="{47341FA1-57E9-40BD-BAE2-84CB379FCFDC}"/>
    <hyperlink ref="B151" r:id="rId143" display="https://support.microsoft.com/en-us/excel/functions/dstdev-function" xr:uid="{8BA3A1FE-B0FE-49D0-878A-B98D461A29E9}"/>
    <hyperlink ref="B152" r:id="rId144" display="https://support.microsoft.com/en-us/excel/functions/dstdevp-function" xr:uid="{81D8ED78-98F3-4F16-A3EA-AB33E1A01374}"/>
    <hyperlink ref="B153" r:id="rId145" display="https://support.microsoft.com/en-us/excel/functions/dsum-function" xr:uid="{CAEE1402-FC89-47E4-9C75-54BC2DB0EEF8}"/>
    <hyperlink ref="B154" r:id="rId146" display="https://support.microsoft.com/en-us/excel/functions/duration-function" xr:uid="{B14B64CA-DBFE-4C74-BDB1-D61605A8FB6D}"/>
    <hyperlink ref="B155" r:id="rId147" display="https://support.microsoft.com/en-us/excel/functions/dvar-function" xr:uid="{254D502F-4368-4071-82A8-7B9D1EBF3739}"/>
    <hyperlink ref="B156" r:id="rId148" display="https://support.microsoft.com/en-us/excel/functions/dvarp-function" xr:uid="{2EA935C4-6EA1-48C5-BDC0-99587DA6F636}"/>
    <hyperlink ref="B158" r:id="rId149" display="https://support.microsoft.com/en-us/excel/functions/edate-function" xr:uid="{9A9BD99B-5944-41ED-997C-7379FD2A0957}"/>
    <hyperlink ref="B159" r:id="rId150" display="https://support.microsoft.com/en-us/excel/functions/effect-function" xr:uid="{BD6418E4-FDD0-4C34-846B-02BB83792B4F}"/>
    <hyperlink ref="B160" r:id="rId151" display="https://support.microsoft.com/en-us/excel/functions/encodeurl-function" xr:uid="{A5F5E892-6FBE-48AD-89CA-D5FADBD794B0}"/>
    <hyperlink ref="B161" r:id="rId152" display="https://support.microsoft.com/en-us/excel/functions/eomonth-function" xr:uid="{E5E21AEF-3242-4068-AF9B-C4912910FED9}"/>
    <hyperlink ref="B162" r:id="rId153" display="https://support.microsoft.com/en-us/excel/functions/erf-function" xr:uid="{D2C02642-4B33-4C57-943C-5CB5D36806EC}"/>
    <hyperlink ref="B163" r:id="rId154" display="https://support.microsoft.com/en-us/excel/functions/erf-precise-function" xr:uid="{DF781EA8-96BD-4108-9A8C-65DA53B42A68}"/>
    <hyperlink ref="B164" r:id="rId155" display="https://support.microsoft.com/en-us/excel/functions/erfc-function" xr:uid="{B006D7D9-9B35-4D96-ACE6-C7FF64572696}"/>
    <hyperlink ref="B165" r:id="rId156" display="https://support.microsoft.com/en-us/excel/functions/erfc-precise-function" xr:uid="{5EA2EBDF-1031-4942-9813-2B59CA52F90A}"/>
    <hyperlink ref="B166" r:id="rId157" display="https://support.microsoft.com/en-us/excel/functions/error-type-function" xr:uid="{4D0D60B7-A459-4B49-84EF-56C21F61E148}"/>
    <hyperlink ref="B167" r:id="rId158" display="https://support.microsoft.com/en-us/excel/functions/euroconvert-function" xr:uid="{795A425A-E04D-4F2D-957B-E2D2E9558AAC}"/>
    <hyperlink ref="B168" r:id="rId159" display="https://support.microsoft.com/en-us/excel/functions/even-function" xr:uid="{2480498D-7AEE-4CD7-BC5A-EE41A2720F6C}"/>
    <hyperlink ref="B169" r:id="rId160" display="https://support.microsoft.com/en-us/excel/functions/exact-function" xr:uid="{7B55EE9E-35B5-44FF-8074-EB8E038687A4}"/>
    <hyperlink ref="B170" r:id="rId161" display="https://support.microsoft.com/en-us/excel/functions/exp-function" xr:uid="{317AC729-65AB-49AA-8278-99FD552DED5D}"/>
    <hyperlink ref="B171" r:id="rId162" display="https://support.microsoft.com/en-us/excel/functions/expand-function" xr:uid="{26A8ADF9-28AE-41F5-8900-7D88C1AA5DA2}"/>
    <hyperlink ref="B172" r:id="rId163" display="https://support.microsoft.com/en-us/excel/functions/expon-dist-function" xr:uid="{85D73380-A050-4468-994C-B9A7860B060C}"/>
    <hyperlink ref="B173" r:id="rId164" display="https://support.microsoft.com/en-us/excel/functions/expondist-function" xr:uid="{8DFD78EE-D11B-49A7-BDC6-E0548EF44B63}"/>
    <hyperlink ref="B174" r:id="rId165" display="https://support.microsoft.com/en-us/excel/functions/f-dist-function" xr:uid="{7EFF1DC0-13EB-4A5B-82FF-4C0F7278C5A9}"/>
    <hyperlink ref="B175" r:id="rId166" display="https://support.microsoft.com/en-us/excel/functions/f-dist-rt-function" xr:uid="{99EBFDCC-76E5-4F0D-B326-5C0E140BCFA6}"/>
    <hyperlink ref="B176" r:id="rId167" display="https://support.microsoft.com/en-us/excel/functions/f-inv-function" xr:uid="{9A878742-36A2-476D-93D4-6467F51FA0BC}"/>
    <hyperlink ref="B177" r:id="rId168" display="https://support.microsoft.com/en-us/excel/functions/f-inv-rt-function" xr:uid="{6E359639-D5E9-495D-AEC9-6C14BA968D39}"/>
    <hyperlink ref="B178" r:id="rId169" display="https://support.microsoft.com/en-us/excel/functions/f-test-function" xr:uid="{CCF569D4-5180-42C4-A638-DD3BC2486361}"/>
    <hyperlink ref="B179" r:id="rId170" display="https://support.microsoft.com/en-us/excel/functions/fact-function" xr:uid="{94A61DD6-0EBD-42A2-8596-40A0D0690D33}"/>
    <hyperlink ref="B180" r:id="rId171" display="https://support.microsoft.com/en-us/excel/functions/factdouble-function" xr:uid="{EAFE5308-FE42-40A7-A775-149B023C10AF}"/>
    <hyperlink ref="B181" r:id="rId172" display="https://support.microsoft.com/en-us/excel/functions/false-function" xr:uid="{3F1E2FEE-7F31-42FB-AB3B-FEE9B97A1BA6}"/>
    <hyperlink ref="B182" r:id="rId173" display="https://support.microsoft.com/en-us/excel/functions/fdist-function" xr:uid="{195032EE-CE14-4CEE-83B5-3531F510EEF4}"/>
    <hyperlink ref="B183" r:id="rId174" display="https://support.microsoft.com/en-us/excel/functions/fieldvalue-function" xr:uid="{4979397D-2F5B-4B41-9488-5934A08188F6}"/>
    <hyperlink ref="B184" r:id="rId175" display="https://support.microsoft.com/en-us/excel/functions/filter-function" xr:uid="{7C8794BA-88EB-4AF2-9D83-00A155979B49}"/>
    <hyperlink ref="B185" r:id="rId176" display="https://support.microsoft.com/en-us/excel/functions/filterxml-function" xr:uid="{8AACA9BA-CBBB-402D-8E47-305234A43554}"/>
    <hyperlink ref="B188" r:id="rId177" display="https://support.microsoft.com/en-us/excel/functions/finv-function" xr:uid="{794F40CD-4B93-4B06-899A-118200ECB7D8}"/>
    <hyperlink ref="B189" r:id="rId178" display="https://support.microsoft.com/en-us/excel/functions/fisher-function" xr:uid="{91855DB2-44AD-49FF-ADBC-5AE3E24D5555}"/>
    <hyperlink ref="B190" r:id="rId179" display="https://support.microsoft.com/en-us/excel/functions/fisherinv-function" xr:uid="{012FB9A8-F65A-4BD1-B568-348E75B0592E}"/>
    <hyperlink ref="B191" r:id="rId180" display="https://support.microsoft.com/en-us/excel/functions/fixed-function" xr:uid="{09AED500-F920-437E-8C9E-A5B1F2BBEFE7}"/>
    <hyperlink ref="B192" r:id="rId181" display="https://support.microsoft.com/en-us/excel/functions/floor-function" xr:uid="{B55BED2E-107B-4A5D-BAE8-2A1CC6DA281B}"/>
    <hyperlink ref="B193" r:id="rId182" display="https://support.microsoft.com/en-us/excel/functions/floor-math-function" xr:uid="{26E72E8F-DC9B-4787-B831-803B2DE9209F}"/>
    <hyperlink ref="B194" r:id="rId183" display="https://support.microsoft.com/en-us/excel/functions/floor-precise-function" xr:uid="{EE393E12-0B9C-48D5-968F-DA21A67A71E7}"/>
    <hyperlink ref="B195" r:id="rId184" display="https://support.microsoft.com/en-us/excel/functions/forecast-and-forecast-linear-functions" xr:uid="{3391E8AA-DA2E-4CA5-90DD-082D41E31515}"/>
    <hyperlink ref="B196" r:id="rId185" display="https://support.microsoft.com/en-us/excel/functions/forecast-ets-function" xr:uid="{768CA33C-1AA3-4133-9837-8C238A8AD987}"/>
    <hyperlink ref="B197" r:id="rId186" display="https://support.microsoft.com/en-us/excel/functions/forecast-ets-confint-function" xr:uid="{9B106435-8B70-4E80-98EF-CEBE955864BB}"/>
    <hyperlink ref="B198" r:id="rId187" display="https://support.microsoft.com/en-us/excel/functions/forecast-ets-seasonality-function" xr:uid="{5B88E60F-8067-4CB9-9D0B-966BCBDB8B60}"/>
    <hyperlink ref="B199" r:id="rId188" display="https://support.microsoft.com/en-us/excel/functions/forecast-ets-stat-function" xr:uid="{8C6EE290-5BAA-4F20-B68A-06C2C9421A79}"/>
    <hyperlink ref="B201" r:id="rId189" display="https://support.microsoft.com/en-us/excel/functions/formulatext-function" xr:uid="{75F6EE4F-83DA-4D44-BE24-57FBE98608B8}"/>
    <hyperlink ref="B202" r:id="rId190" display="https://support.microsoft.com/en-us/excel/functions/frequency-function" xr:uid="{DDF85F49-B0E0-4C2E-ACED-17235AF946F8}"/>
    <hyperlink ref="B203" r:id="rId191" display="https://support.microsoft.com/en-us/excel/functions/ftest-function" xr:uid="{A6016A12-E1AC-493A-ADFD-A31BE9FA8D53}"/>
    <hyperlink ref="B204" r:id="rId192" display="https://support.microsoft.com/en-us/excel/functions/fv-function" xr:uid="{DED87589-1D06-4012-A3D5-82F0368E0FA2}"/>
    <hyperlink ref="B205" r:id="rId193" display="https://support.microsoft.com/en-us/excel/functions/fvschedule-function" xr:uid="{91DEA5EC-2B17-47D0-962C-7D5E1B1A9449}"/>
    <hyperlink ref="B206" r:id="rId194" display="https://support.microsoft.com/en-us/excel/functions/gamma-function" xr:uid="{59C88056-D2D1-44EA-8284-6F7BA3F34514}"/>
    <hyperlink ref="B207" r:id="rId195" display="https://support.microsoft.com/en-us/excel/functions/gamma-dist-function" xr:uid="{9E590530-5C77-4923-A439-C73025CAC0BC}"/>
    <hyperlink ref="B208" r:id="rId196" display="https://support.microsoft.com/en-us/excel/functions/gamma-inv-function" xr:uid="{2AB9326C-94CF-4E8E-8DD2-75CBA1DE4F58}"/>
    <hyperlink ref="B209" r:id="rId197" display="https://support.microsoft.com/en-us/excel/functions/gammadist-function" xr:uid="{A47F0D48-324A-40FA-9915-07230A7077F2}"/>
    <hyperlink ref="B210" r:id="rId198" display="https://support.microsoft.com/en-us/excel/functions/gammainv-function" xr:uid="{9DC68BF5-C60B-442B-BFAD-FB3499C0FE45}"/>
    <hyperlink ref="B211" r:id="rId199" display="https://support.microsoft.com/en-us/excel/functions/gammaln-function" xr:uid="{DE27AECD-EAC4-4D2A-8281-590126B3C0AB}"/>
    <hyperlink ref="B212" r:id="rId200" display="https://support.microsoft.com/en-us/excel/functions/gammaln-precise-function" xr:uid="{097BCD80-0EF0-4EE5-BABC-EF4DDC6D60A3}"/>
    <hyperlink ref="B213" r:id="rId201" display="https://support.microsoft.com/en-us/excel/functions/gauss-function" xr:uid="{BF467A95-6470-4B5E-9A30-7D08D2B0F89A}"/>
    <hyperlink ref="B214" r:id="rId202" display="https://support.microsoft.com/en-us/excel/functions/gcd-function" xr:uid="{A07101F8-65A0-4B54-B8C4-90D72AD46530}"/>
    <hyperlink ref="B215" r:id="rId203" display="https://support.microsoft.com/en-us/excel/functions/geomean-function" xr:uid="{16F6D835-EFA9-4352-ADAF-17C69BB32645}"/>
    <hyperlink ref="B216" r:id="rId204" display="https://support.microsoft.com/en-us/excel/functions/gestep-function" xr:uid="{74DBFA06-5265-4311-8F30-BE1C6031C907}"/>
    <hyperlink ref="B217" r:id="rId205" display="https://support.microsoft.com/en-us/excel/functions/getpivotdata-function" xr:uid="{C99B5BB6-FF47-46B1-9AC2-0B35B9AE3CC1}"/>
    <hyperlink ref="B218" r:id="rId206" display="https://support.microsoft.com/en-us/excel/functions/groupby-function" xr:uid="{18D26FD0-5D73-4FF7-A60C-9630E8C74DBE}"/>
    <hyperlink ref="B219" r:id="rId207" display="https://support.microsoft.com/en-us/excel/functions/growth-function" xr:uid="{A5946B1E-93BF-4FB6-912E-8DE92F86A7DB}"/>
    <hyperlink ref="B220" r:id="rId208" display="https://support.microsoft.com/en-us/excel/functions/harmean-function" xr:uid="{766AE7E9-A8B1-46CB-9D2A-A50D15FD31D3}"/>
    <hyperlink ref="B221" r:id="rId209" display="https://support.microsoft.com/en-us/excel/functions/hex2bin-function" xr:uid="{960FD47E-01DD-4562-9CFC-076CE239A01F}"/>
    <hyperlink ref="B222" r:id="rId210" display="https://support.microsoft.com/en-us/excel/functions/hex2dec-function" xr:uid="{F8B13776-49A9-4DDA-8272-1C2B0E009D24}"/>
    <hyperlink ref="B223" r:id="rId211" display="https://support.microsoft.com/en-us/excel/functions/hex2oct-function" xr:uid="{E1CAF3C7-E7D2-447B-A332-3C14192316B0}"/>
    <hyperlink ref="B224" r:id="rId212" display="https://support.microsoft.com/en-us/excel/functions/hlookup-function" xr:uid="{75E81384-9E86-4512-B580-F4E6ADB2B586}"/>
    <hyperlink ref="B225" r:id="rId213" display="https://support.microsoft.com/en-us/excel/functions/hour-function" xr:uid="{8901348F-02C6-4335-8DEF-38CF81F7D8D9}"/>
    <hyperlink ref="B226" r:id="rId214" display="https://support.microsoft.com/en-us/excel/functions/hstack-function" xr:uid="{1BC203FC-8179-4DD5-8A0B-B7703337B763}"/>
    <hyperlink ref="B227" r:id="rId215" display="https://support.microsoft.com/en-us/excel/functions/hyperlink-function" xr:uid="{8C0E8084-1AB9-4D68-A4B0-17C82D1EA5B9}"/>
    <hyperlink ref="B228" r:id="rId216" display="https://support.microsoft.com/en-us/excel/functions/hypgeom-dist-function" xr:uid="{24142A6F-A8F9-4159-92DF-86A11BE95056}"/>
    <hyperlink ref="B229" r:id="rId217" display="https://support.microsoft.com/en-us/excel/functions/hypgeomdist-function" xr:uid="{A7927E8D-FBDA-4BDA-BFF0-DF17824A7207}"/>
    <hyperlink ref="B230" r:id="rId218" display="https://support.microsoft.com/en-us/excel/functions/if-function" xr:uid="{CDB71D89-F2AE-4E29-976B-0DE2EB953712}"/>
    <hyperlink ref="B231" r:id="rId219" display="https://support.microsoft.com/en-us/excel/functions/iferror-function" xr:uid="{9C88D1BC-0C8A-41F3-A53F-4E1F543D0089}"/>
    <hyperlink ref="B232" r:id="rId220" display="https://support.microsoft.com/en-us/excel/functions/ifna-function" xr:uid="{9D1A8AA4-6FC0-484A-BB8C-DC3F8D402895}"/>
    <hyperlink ref="B233" r:id="rId221" display="https://support.microsoft.com/en-us/excel/functions/ifs-function" xr:uid="{7A0AAA90-6D2B-4E92-8649-E0A5E62E2FDF}"/>
    <hyperlink ref="B234" r:id="rId222" display="https://support.microsoft.com/en-us/excel/functions/imabs-function" xr:uid="{CA4ECCE6-71B4-40ED-863C-9809882C14FE}"/>
    <hyperlink ref="B235" r:id="rId223" display="https://support.microsoft.com/en-us/excel/functions/image-function" xr:uid="{A2C4AE96-595E-4CFD-9F24-7ED0475AAD2D}"/>
    <hyperlink ref="B236" r:id="rId224" display="https://support.microsoft.com/en-us/excel/functions/imaginary-function" xr:uid="{E7E2151F-5B28-42FB-86B2-9C02E282A2CA}"/>
    <hyperlink ref="B237" r:id="rId225" display="https://support.microsoft.com/en-us/excel/functions/imargument-function" xr:uid="{0910201A-4F6A-4FDA-8630-23606E1B3696}"/>
    <hyperlink ref="B238" r:id="rId226" display="https://support.microsoft.com/en-us/excel/functions/imconjugate-function" xr:uid="{3D26F391-369B-44DE-905A-349139FE1E49}"/>
    <hyperlink ref="B239" r:id="rId227" display="https://support.microsoft.com/en-us/excel/functions/imcos-function" xr:uid="{AAF2C300-AF1A-4187-A9FB-0E9001853878}"/>
    <hyperlink ref="B240" r:id="rId228" display="https://support.microsoft.com/en-us/excel/functions/imcosh-function" xr:uid="{3078BCD7-5A75-4D9B-A86E-87BF9880C86F}"/>
    <hyperlink ref="B241" r:id="rId229" display="https://support.microsoft.com/en-us/excel/functions/imcot-function" xr:uid="{E5335E48-5625-4C66-BCDA-2CCD5AC6C4AE}"/>
    <hyperlink ref="B242" r:id="rId230" display="https://support.microsoft.com/en-us/excel/functions/imcsc-function" xr:uid="{01D1DDE5-2043-408B-8738-00A44E285C17}"/>
    <hyperlink ref="B243" r:id="rId231" display="https://support.microsoft.com/en-us/excel/functions/imcsch-function" xr:uid="{AD128FBE-F66B-4851-BC1D-51FCAFEEA36B}"/>
    <hyperlink ref="B244" r:id="rId232" display="https://support.microsoft.com/en-us/excel/functions/imdiv-function" xr:uid="{3AF427D8-C31A-43D7-9083-094611D81B02}"/>
    <hyperlink ref="B245" r:id="rId233" display="https://support.microsoft.com/en-us/excel/functions/imexp-function" xr:uid="{591C98EF-2AAC-4388-B0CD-9EC960A18B25}"/>
    <hyperlink ref="B246" r:id="rId234" display="https://support.microsoft.com/en-us/excel/functions/imln-function" xr:uid="{6FFC3480-12A3-406F-9DA3-99D8ADFC9E6C}"/>
    <hyperlink ref="B247" r:id="rId235" display="https://support.microsoft.com/en-us/excel/functions/imlog10-function" xr:uid="{1780FA60-3121-455C-B23B-539BF38833FB}"/>
    <hyperlink ref="B248" r:id="rId236" display="https://support.microsoft.com/en-us/excel/functions/imlog2-function" xr:uid="{5C6E1D5E-A246-4EB4-A12C-A351F699637A}"/>
    <hyperlink ref="B249" r:id="rId237" display="https://support.microsoft.com/en-us/excel/functions/importcsv-function" xr:uid="{BA22FD37-4D83-4C0A-B743-45C67EC59D81}"/>
    <hyperlink ref="B250" r:id="rId238" display="https://support.microsoft.com/en-us/excel/functions/importtext-function" xr:uid="{FB4B2276-CAA5-4231-BABA-F1BB584DF1F7}"/>
    <hyperlink ref="B251" r:id="rId239" display="https://support.microsoft.com/en-us/excel/functions/impower-function" xr:uid="{FA0A26D7-DC20-4EA4-ABA1-4AF87478E2B0}"/>
    <hyperlink ref="B252" r:id="rId240" display="https://support.microsoft.com/en-us/excel/functions/improduct-function" xr:uid="{7079625A-39DA-42C0-BBEA-897337BE2C37}"/>
    <hyperlink ref="B253" r:id="rId241" display="https://support.microsoft.com/en-us/excel/functions/imreal-function" xr:uid="{15BC973A-9AAC-41FA-9448-076D2C1CB10F}"/>
    <hyperlink ref="B254" r:id="rId242" display="https://support.microsoft.com/en-us/excel/functions/imsec-function" xr:uid="{840F7BAD-506F-45AC-8818-012FE1A9F802}"/>
    <hyperlink ref="B255" r:id="rId243" display="https://support.microsoft.com/en-us/excel/functions/imsech-function" xr:uid="{7E9FF9BE-E5AC-4AD1-AD6F-EC3225A52AEA}"/>
    <hyperlink ref="B256" r:id="rId244" display="https://support.microsoft.com/en-us/excel/functions/imsin-function" xr:uid="{A049B350-04DA-4155-9BEE-7A476F6A662A}"/>
    <hyperlink ref="B257" r:id="rId245" display="https://support.microsoft.com/en-us/excel/functions/imsinh-function" xr:uid="{78D4DD03-A59F-45D6-BD3A-30C093722D06}"/>
    <hyperlink ref="B258" r:id="rId246" display="https://support.microsoft.com/en-us/excel/functions/imsqrt-function" xr:uid="{37C6E2C6-4BCD-43DD-BF9A-AEDCA272C301}"/>
    <hyperlink ref="B259" r:id="rId247" display="https://support.microsoft.com/en-us/excel/functions/imsub-function" xr:uid="{27353CE6-5DCA-4B30-8AFB-0AEC868F4322}"/>
    <hyperlink ref="B260" r:id="rId248" display="https://support.microsoft.com/en-us/excel/functions/imsum-function" xr:uid="{89D1CD43-2F60-4787-8985-B85A7C597C57}"/>
    <hyperlink ref="B261" r:id="rId249" display="https://support.microsoft.com/en-us/excel/functions/imtan-function" xr:uid="{D75F9F73-0209-4F6D-8CB5-7BD4C1AA956D}"/>
    <hyperlink ref="B262" r:id="rId250" display="https://support.microsoft.com/en-us/excel/functions/index-function" xr:uid="{B42CAD49-AEF9-49C4-9FEF-DD7AC083479D}"/>
    <hyperlink ref="B263" r:id="rId251" display="https://support.microsoft.com/en-us/excel/functions/indirect-function" xr:uid="{A520A48F-11E6-4065-B9C5-03F4AA42D45A}"/>
    <hyperlink ref="B264" r:id="rId252" display="https://support.microsoft.com/en-us/excel/functions/info-function" xr:uid="{1D26DD89-AF81-474B-A1FE-DDE897E784FD}"/>
    <hyperlink ref="B265" r:id="rId253" display="https://support.microsoft.com/en-us/excel/functions/int-function" xr:uid="{45FE0802-7E2B-4B28-8A90-1086A9411F38}"/>
    <hyperlink ref="B266" r:id="rId254" display="https://support.microsoft.com/en-us/excel/functions/intercept-function" xr:uid="{ECDF3728-9267-4476-9414-A15415082F24}"/>
    <hyperlink ref="B267" r:id="rId255" display="https://support.microsoft.com/en-us/excel/functions/intrate-function" xr:uid="{EF669D5D-0296-4707-A200-BA726A299BDF}"/>
    <hyperlink ref="B268" r:id="rId256" display="https://support.microsoft.com/en-us/excel/functions/ipmt-function" xr:uid="{130DBC0D-D052-464C-8354-903AD95989B6}"/>
    <hyperlink ref="B269" r:id="rId257" display="https://support.microsoft.com/en-us/excel/functions/irr-function" xr:uid="{8AE838FE-4756-4EA5-8E2B-932F60B68F9C}"/>
    <hyperlink ref="B270" r:id="rId258" display="https://support.microsoft.com/en-us/excel/functions/is-functions" xr:uid="{CC562EF7-5D28-4ADB-8F2D-DD64E646A8EA}"/>
    <hyperlink ref="B273" r:id="rId259" display="https://support.microsoft.com/en-us/excel/functions/iseven-function" xr:uid="{217DB2DD-FF81-40D7-B6C7-1A032A3FD514}"/>
    <hyperlink ref="B274" r:id="rId260" display="https://support.microsoft.com/en-us/excel/functions/isformula-function" xr:uid="{3D8DBEB1-A4B3-4A4E-A476-E49F82C38181}"/>
    <hyperlink ref="B279" r:id="rId261" display="https://support.microsoft.com/en-us/excel/functions/iso-ceiling-function" xr:uid="{CC1376E1-5296-4C75-806D-5C8CC4EDCD7E}"/>
    <hyperlink ref="B280" r:id="rId262" display="https://support.microsoft.com/en-us/excel/functions/isodd-function" xr:uid="{5D13852F-5333-4C3A-A50B-4F4A205CF7B6}"/>
    <hyperlink ref="B281" r:id="rId263" display="https://support.microsoft.com/en-us/excel/functions/isomitted-function" xr:uid="{5EA75872-02CF-4C26-892C-33B348F143D1}"/>
    <hyperlink ref="B282" r:id="rId264" display="https://support.microsoft.com/en-us/excel/functions/isoweeknum-function" xr:uid="{CB5B4F11-5AE5-48DA-9459-87DCB9E4EF7A}"/>
    <hyperlink ref="B283" r:id="rId265" display="https://support.microsoft.com/en-us/excel/functions/ispmt-function" xr:uid="{19A4C823-899B-4CE9-9E25-C5E64D7677D5}"/>
    <hyperlink ref="B286" r:id="rId266" display="https://support.microsoft.com/en-us/excel/functions/jis-function" xr:uid="{7A30C71D-F897-4257-A9AA-41BAD750FF1E}"/>
    <hyperlink ref="B287" r:id="rId267" display="https://support.microsoft.com/en-us/excel/functions/kurt-function" xr:uid="{F1C226DB-C587-4F71-8F4C-00F2A758541F}"/>
    <hyperlink ref="B288" r:id="rId268" display="https://support.microsoft.com/en-us/excel/functions/lambda-function" xr:uid="{C4B03031-CE2C-4327-8407-54B0B0478EE1}"/>
    <hyperlink ref="B289" r:id="rId269" display="https://support.microsoft.com/en-us/excel/functions/large-function" xr:uid="{03EE345B-2C64-49A1-8012-5568E4124C43}"/>
    <hyperlink ref="B290" r:id="rId270" display="https://support.microsoft.com/en-us/excel/functions/lcm-function" xr:uid="{4CF73566-2199-45AF-B19C-E880312332B1}"/>
    <hyperlink ref="B291" r:id="rId271" display="https://support.microsoft.com/en-us/excel/functions/left-function" xr:uid="{3FB4B65C-506C-46F9-BC61-670AA6DC0AA3}"/>
    <hyperlink ref="B293" r:id="rId272" display="https://support.microsoft.com/en-us/excel/functions/len-function" xr:uid="{CA623E75-6FB3-4B2A-B5E4-E5F5EE051574}"/>
    <hyperlink ref="B295" r:id="rId273" display="https://support.microsoft.com/en-us/excel/functions/let-function" xr:uid="{E9FBDD0F-5C04-4803-8CCF-D4A956B8B486}"/>
    <hyperlink ref="B296" r:id="rId274" display="https://support.microsoft.com/en-us/excel/functions/linest-function" xr:uid="{B51A9434-F7FD-46CE-AD9F-2D20669C69E8}"/>
    <hyperlink ref="B297" r:id="rId275" display="https://support.microsoft.com/en-us/excel/functions/ln-function" xr:uid="{21430CF6-6375-416D-959A-2C970B6D2FAD}"/>
    <hyperlink ref="B298" r:id="rId276" display="https://support.microsoft.com/en-us/excel/functions/log-function" xr:uid="{5DE4876E-DDA4-46B2-9CF7-1139F1BA40CF}"/>
    <hyperlink ref="B299" r:id="rId277" display="https://support.microsoft.com/en-us/excel/functions/log10-function" xr:uid="{58C3F4FA-AEDD-4A9C-B1D9-5B261FDD099E}"/>
    <hyperlink ref="B300" r:id="rId278" display="https://support.microsoft.com/en-us/excel/functions/logest-function" xr:uid="{16D1A281-2C97-4612-BDD5-BEEF7DEEE4DD}"/>
    <hyperlink ref="B301" r:id="rId279" display="https://support.microsoft.com/en-us/excel/functions/loginv-function" xr:uid="{3C1E1E76-1D19-4282-BF41-C5547E1A2096}"/>
    <hyperlink ref="B302" r:id="rId280" display="https://support.microsoft.com/en-us/excel/functions/lognorm-dist-function" xr:uid="{A04D78E1-B963-41B1-9088-4E36EE07A658}"/>
    <hyperlink ref="B303" r:id="rId281" display="https://support.microsoft.com/en-us/excel/functions/lognorm-inv-function" xr:uid="{8BF68D69-BD8B-4F8A-977F-8A79641704BA}"/>
    <hyperlink ref="B304" r:id="rId282" display="https://support.microsoft.com/en-us/excel/functions/lognormdist-function" xr:uid="{AC06A044-3BF1-4454-943E-D1D16796691D}"/>
    <hyperlink ref="B305" r:id="rId283" display="https://support.microsoft.com/en-us/excel/functions/lookup-function" xr:uid="{D6A1BB24-4F18-4213-B9F3-E85968F505D8}"/>
    <hyperlink ref="B306" r:id="rId284" display="https://support.microsoft.com/en-us/excel/functions/lower-function" xr:uid="{40F40356-D6A3-47AE-8F0F-A47EC1CD3C0A}"/>
    <hyperlink ref="B307" r:id="rId285" display="https://support.microsoft.com/en-us/excel/functions/makearray-function" xr:uid="{57539DF2-1C56-4E04-9FD2-27A5E580C45C}"/>
    <hyperlink ref="B308" r:id="rId286" display="https://support.microsoft.com/en-us/excel/functions/map-function" xr:uid="{497DB782-46E8-4B99-AA69-62AF5499A37E}"/>
    <hyperlink ref="B309" r:id="rId287" display="https://support.microsoft.com/en-us/excel/functions/match-function" xr:uid="{828361B7-C792-42A1-A32C-DF55E9966D7A}"/>
    <hyperlink ref="B310" r:id="rId288" display="https://support.microsoft.com/en-us/excel/functions/max-function" xr:uid="{DE1C9786-ABB2-4266-9074-EB25140CAE3B}"/>
    <hyperlink ref="B311" r:id="rId289" display="https://support.microsoft.com/en-us/excel/functions/maxa-function" xr:uid="{3539C1E1-751D-49F2-8B84-BE95E5BAE0F4}"/>
    <hyperlink ref="B312" r:id="rId290" display="https://support.microsoft.com/en-us/excel/functions/maxifs-function" xr:uid="{7432E30D-68B1-42D6-ACD6-5B3D2A638914}"/>
    <hyperlink ref="B313" r:id="rId291" display="https://support.microsoft.com/en-us/excel/functions/mdeterm-function" xr:uid="{9AAA459F-AB3B-4E75-91B9-1707AB1A1E53}"/>
    <hyperlink ref="B314" r:id="rId292" display="https://support.microsoft.com/en-us/excel/functions/mduration-function" xr:uid="{886B191C-9DF4-44EF-AE88-E1C8BB680FBC}"/>
    <hyperlink ref="B315" r:id="rId293" display="https://support.microsoft.com/en-us/excel/functions/median-function" xr:uid="{342318B1-CA45-4288-95C9-3C26CAFCE13F}"/>
    <hyperlink ref="B316" r:id="rId294" display="https://support.microsoft.com/en-us/excel/functions/mid-function" xr:uid="{CFC77B8C-4805-4AC9-B6E2-B11756617C02}"/>
    <hyperlink ref="B318" r:id="rId295" display="https://support.microsoft.com/en-us/excel/functions/min-function" xr:uid="{540ABD0C-5783-4FAF-9AB7-89B253551B74}"/>
    <hyperlink ref="B319" r:id="rId296" display="https://support.microsoft.com/en-us/excel/functions/mina-function" xr:uid="{BF6D69DB-B152-4E9E-98C5-221156C76186}"/>
    <hyperlink ref="B320" r:id="rId297" display="https://support.microsoft.com/en-us/excel/functions/minifs-function" xr:uid="{C62E17EA-F52D-49B1-87B6-50DF423B4ACD}"/>
    <hyperlink ref="B321" r:id="rId298" display="https://support.microsoft.com/en-us/excel/functions/minute-function" xr:uid="{689DE3F4-8318-463B-BC94-FD025EAF24C3}"/>
    <hyperlink ref="B322" r:id="rId299" display="https://support.microsoft.com/en-us/excel/functions/minverse-function" xr:uid="{FEF52FD8-CCEC-45F6-9A7E-E612AD451803}"/>
    <hyperlink ref="B323" r:id="rId300" display="https://support.microsoft.com/en-us/excel/functions/mirr-function" xr:uid="{EF6D7823-1AE8-4CE2-A3F6-3B1595086243}"/>
    <hyperlink ref="B324" r:id="rId301" display="https://support.microsoft.com/en-us/excel/functions/mmult-function" xr:uid="{D8BF0050-7D3A-4AE8-87D8-40353B8AD7A7}"/>
    <hyperlink ref="B325" r:id="rId302" display="https://support.microsoft.com/en-us/excel/functions/mod-function" xr:uid="{BEDD7894-C419-4458-A5DB-56B48411B85F}"/>
    <hyperlink ref="B326" r:id="rId303" display="https://support.microsoft.com/en-us/excel/functions/mode-function" xr:uid="{27913D62-9E71-4032-9062-04FBFC0CD79D}"/>
    <hyperlink ref="B327" r:id="rId304" display="https://support.microsoft.com/en-us/excel/functions/mode-mult-function" xr:uid="{D626CE4E-413E-4C87-B05A-059965373928}"/>
    <hyperlink ref="B328" r:id="rId305" display="https://support.microsoft.com/en-us/excel/functions/mode-sngl-function" xr:uid="{0A6010D6-A234-44AD-A573-35EDBAFE6D6C}"/>
    <hyperlink ref="B329" r:id="rId306" display="https://support.microsoft.com/en-us/excel/functions/month-function" xr:uid="{1CBE3478-7088-4610-B0F9-92FE7F77A4FB}"/>
    <hyperlink ref="B330" r:id="rId307" display="https://support.microsoft.com/en-us/excel/functions/mround-function" xr:uid="{80C1B01E-5D48-414D-BD8E-046689A8E550}"/>
    <hyperlink ref="B331" r:id="rId308" display="https://support.microsoft.com/en-us/excel/functions/multinomial-function" xr:uid="{360DBABB-1238-4E77-8EC7-45401A263728}"/>
    <hyperlink ref="B332" r:id="rId309" display="https://support.microsoft.com/en-us/excel/functions/munit-function" xr:uid="{D597BB78-A106-4599-8444-C5973FA2DAE3}"/>
    <hyperlink ref="B333" r:id="rId310" display="https://support.microsoft.com/en-us/excel/functions/n-function" xr:uid="{34B5F89C-9B06-4A5D-85AC-933E097538C8}"/>
    <hyperlink ref="B334" r:id="rId311" display="https://support.microsoft.com/en-us/excel/functions/na-function" xr:uid="{43360590-525D-4206-8F9F-15D9B27F229A}"/>
    <hyperlink ref="B335" r:id="rId312" display="https://support.microsoft.com/en-us/excel/functions/negbinom-dist-function" xr:uid="{DA49386A-0846-4C1C-A012-204298DD961E}"/>
    <hyperlink ref="B336" r:id="rId313" display="https://support.microsoft.com/en-us/excel/functions/negbinomdist-function" xr:uid="{90F0C791-9134-41E1-BA71-8CC8B5E32339}"/>
    <hyperlink ref="B337" r:id="rId314" display="https://support.microsoft.com/en-us/excel/functions/networkdays-function" xr:uid="{9DF45B23-672D-49DC-AE58-DF036B6AED0B}"/>
    <hyperlink ref="B338" r:id="rId315" display="https://support.microsoft.com/en-us/excel/functions/networkdays-intl-function" xr:uid="{10077BC6-0BC1-4F92-A26E-6CD0FB6A2BFF}"/>
    <hyperlink ref="B339" r:id="rId316" display="https://support.microsoft.com/en-us/excel/functions/nominal-function" xr:uid="{8D898074-D157-4CB0-BA57-9AAFFEDDC4CA}"/>
    <hyperlink ref="B340" r:id="rId317" display="https://support.microsoft.com/en-us/excel/functions/norm-dist-function" xr:uid="{AD051B34-12A2-42B4-8156-D2966C1B7C27}"/>
    <hyperlink ref="B341" r:id="rId318" display="https://support.microsoft.com/en-us/excel/functions/norm-inv-function" xr:uid="{2E8790CE-6F77-44CE-BF06-8057D572EB73}"/>
    <hyperlink ref="B342" r:id="rId319" display="https://support.microsoft.com/en-us/excel/functions/norm-s-dist-function" xr:uid="{B0268CFE-301A-41C7-930B-3EB4EBF62FEC}"/>
    <hyperlink ref="B343" r:id="rId320" display="https://support.microsoft.com/en-us/excel/functions/norm-s-inv-function" xr:uid="{4ED567F9-6DDF-4669-B389-4632868F8AFA}"/>
    <hyperlink ref="B344" r:id="rId321" display="https://support.microsoft.com/en-us/excel/functions/normdist-function" xr:uid="{6E472A30-6700-4D1D-BD35-54A49B496E30}"/>
    <hyperlink ref="B345" r:id="rId322" display="https://support.microsoft.com/en-us/excel/functions/norminv-function" xr:uid="{990CC9BF-69D9-4C40-A9E4-CAF24CD9A56F}"/>
    <hyperlink ref="B346" r:id="rId323" display="https://support.microsoft.com/en-us/excel/functions/normsdist-function" xr:uid="{1D4C37A0-DBD4-48AF-8C69-D71440C3DBA6}"/>
    <hyperlink ref="B347" r:id="rId324" display="https://support.microsoft.com/en-us/excel/functions/normsinv-function" xr:uid="{9542F507-41F5-45CA-BD7D-B2EC05F88296}"/>
    <hyperlink ref="B348" r:id="rId325" display="https://support.microsoft.com/en-us/excel/functions/not-function" xr:uid="{9BB7E31A-B9FD-42BE-B359-CA12CFAB6258}"/>
    <hyperlink ref="B349" r:id="rId326" display="https://support.microsoft.com/en-us/excel/functions/now-function" xr:uid="{17B5227D-1EA8-48FB-9238-FCC3AE9A10F7}"/>
    <hyperlink ref="B350" r:id="rId327" display="https://support.microsoft.com/en-us/excel/functions/nper-function" xr:uid="{2C748B1D-663C-4898-9711-56F602480C92}"/>
    <hyperlink ref="B351" r:id="rId328" display="https://support.microsoft.com/en-us/excel/functions/npv-function" xr:uid="{798D5B0E-C651-4615-8B9F-4C71BD75B2E3}"/>
    <hyperlink ref="B352" r:id="rId329" display="https://support.microsoft.com/en-us/excel/functions/numbervalue-function" xr:uid="{B5C67F96-B3CF-4036-B8C0-BC57343E0AC8}"/>
    <hyperlink ref="B353" r:id="rId330" display="https://support.microsoft.com/en-us/excel/functions/oct2bin-function" xr:uid="{4AE15D84-8141-4E9C-A379-47C91C93A544}"/>
    <hyperlink ref="B354" r:id="rId331" display="https://support.microsoft.com/en-us/excel/functions/oct2dec-function" xr:uid="{86F18B6A-FD77-4E77-BA4F-05FA0DD64FCF}"/>
    <hyperlink ref="B355" r:id="rId332" display="https://support.microsoft.com/en-us/excel/functions/oct2hex-function" xr:uid="{C48B8109-83B5-4F97-B48E-E95F49D2966D}"/>
    <hyperlink ref="B356" r:id="rId333" display="https://support.microsoft.com/en-us/excel/functions/odd-function" xr:uid="{B63AA72B-2275-40E3-9A72-984750AA27FC}"/>
    <hyperlink ref="B357" r:id="rId334" display="https://support.microsoft.com/en-us/excel/functions/oddfprice-function" xr:uid="{318D4FFC-06E5-46B4-B0CC-3B9FC6BE812E}"/>
    <hyperlink ref="B358" r:id="rId335" display="https://support.microsoft.com/en-us/excel/functions/oddfyield-function" xr:uid="{457AE2A6-B62C-4AC9-AD91-2127EACD98CA}"/>
    <hyperlink ref="B359" r:id="rId336" display="https://support.microsoft.com/en-us/excel/functions/oddlprice-function" xr:uid="{B319F8C1-66D4-47F1-A6A5-6BF5E889D7A6}"/>
    <hyperlink ref="B360" r:id="rId337" display="https://support.microsoft.com/en-us/excel/functions/oddlyield-function" xr:uid="{959C7AF4-C422-4703-A9B2-CA6227CF4CD0}"/>
    <hyperlink ref="B361" r:id="rId338" display="https://support.microsoft.com/en-us/excel/functions/offset-function" xr:uid="{28F0D454-5732-4B20-A5EF-55D62BFB2E96}"/>
    <hyperlink ref="B362" r:id="rId339" display="https://support.microsoft.com/en-us/excel/functions/or-function" xr:uid="{D1F57EE3-F6F7-4C09-9DA5-BA4CE2607073}"/>
    <hyperlink ref="B363" r:id="rId340" display="https://support.microsoft.com/en-us/excel/functions/pduration-function" xr:uid="{24F2AF0D-A448-4A18-8666-6BF945ADFEC2}"/>
    <hyperlink ref="B364" r:id="rId341" display="https://support.microsoft.com/en-us/excel/functions/pearson-function" xr:uid="{1E44C39F-6F66-4FF9-B0F2-28D7F7E54BB2}"/>
    <hyperlink ref="B365" r:id="rId342" display="https://support.microsoft.com/en-us/excel/functions/percentile-function" xr:uid="{D7F08985-E7EE-4223-8AF7-21F825F00459}"/>
    <hyperlink ref="B366" r:id="rId343" display="https://support.microsoft.com/en-us/excel/functions/percentile-exc-function" xr:uid="{BC877822-CA45-4829-8F81-D290AD6FD236}"/>
    <hyperlink ref="B367" r:id="rId344" display="https://support.microsoft.com/en-us/excel/functions/percentile-inc-function" xr:uid="{94990E63-63EA-4033-84EB-2C295EB425C0}"/>
    <hyperlink ref="B368" r:id="rId345" display="https://support.microsoft.com/en-us/excel/functions/percentof-function" xr:uid="{C77CDE00-D2AC-4020-AD85-C3CA4E69BE92}"/>
    <hyperlink ref="B369" r:id="rId346" display="https://support.microsoft.com/en-us/excel/functions/percentrank-function" xr:uid="{3B2B8D15-3C93-49CB-87D4-5AA96882E7F8}"/>
    <hyperlink ref="B370" r:id="rId347" display="https://support.microsoft.com/en-us/excel/functions/percentrank-exc-function" xr:uid="{7D480BD8-7DDE-4569-A269-A741E65CB019}"/>
    <hyperlink ref="B371" r:id="rId348" display="https://support.microsoft.com/en-us/excel/functions/percentrank-inc-function" xr:uid="{F7BDFCF6-0863-434C-9A77-999A4DCF4661}"/>
    <hyperlink ref="B372" r:id="rId349" display="https://support.microsoft.com/en-us/excel/functions/permut-function" xr:uid="{AA5399AC-28A3-4DCB-B462-8E5C4DEC1475}"/>
    <hyperlink ref="B373" r:id="rId350" display="https://support.microsoft.com/en-us/excel/functions/permutationa-function" xr:uid="{394DF351-40D6-4FB6-A4B8-8E223F720362}"/>
    <hyperlink ref="B374" r:id="rId351" display="https://support.microsoft.com/en-us/excel/functions/phi-function" xr:uid="{D08741E2-22A3-413D-B53F-F7949A57B69C}"/>
    <hyperlink ref="B375" r:id="rId352" display="https://support.microsoft.com/en-us/excel/functions/phonetic-function" xr:uid="{1DEBD563-D9FB-425C-84AE-625B21EC1760}"/>
    <hyperlink ref="B376" r:id="rId353" display="https://support.microsoft.com/en-us/excel/functions/pi-function" xr:uid="{13F0FB2E-033F-475A-867A-EC7333A3A83A}"/>
    <hyperlink ref="B377" r:id="rId354" display="https://support.microsoft.com/en-us/excel/functions/pivotby-function" xr:uid="{DADC444C-3F39-4E49-BB55-94025C266462}"/>
    <hyperlink ref="B378" r:id="rId355" display="https://support.microsoft.com/en-us/excel/functions/pmt-function" xr:uid="{374A92D2-0E29-4ABB-A8AA-999467CD4C55}"/>
    <hyperlink ref="B379" r:id="rId356" display="https://support.microsoft.com/en-us/excel/functions/poisson-function" xr:uid="{3A49A7F6-7255-494C-92F0-400F7D996AD9}"/>
    <hyperlink ref="B380" r:id="rId357" display="https://support.microsoft.com/en-us/excel/functions/poisson-dist-function" xr:uid="{18190499-D02F-40C9-A2E7-73778D845D98}"/>
    <hyperlink ref="B381" r:id="rId358" display="https://support.microsoft.com/en-us/excel/functions/power-function" xr:uid="{B0114093-7854-48CB-9482-75982136B663}"/>
    <hyperlink ref="B382" r:id="rId359" display="https://support.microsoft.com/en-us/excel/functions/ppmt-function" xr:uid="{F8D74075-FB52-44FC-8D0E-228B64D797A3}"/>
    <hyperlink ref="B383" r:id="rId360" display="https://support.microsoft.com/en-us/excel/functions/price-function" xr:uid="{2B116876-9160-4BD5-8EA2-BB21B0386923}"/>
    <hyperlink ref="B384" r:id="rId361" display="https://support.microsoft.com/en-us/excel/functions/pricedisc-function" xr:uid="{C89B1BD2-9A25-4144-A644-982A0ACEF4BA}"/>
    <hyperlink ref="B385" r:id="rId362" display="https://support.microsoft.com/en-us/excel/functions/pricemat-function" xr:uid="{729C739A-50AD-42A6-8A7E-F2394514C0BB}"/>
    <hyperlink ref="B386" r:id="rId363" display="https://support.microsoft.com/en-us/excel/functions/prob-function" xr:uid="{AD18FC5C-9754-4391-AE04-D4DEE93C9F16}"/>
    <hyperlink ref="B387" r:id="rId364" display="https://support.microsoft.com/en-us/excel/functions/product-function" xr:uid="{383FCE19-8EAB-4711-8BBF-7AD750F8269C}"/>
    <hyperlink ref="B388" r:id="rId365" display="https://support.microsoft.com/en-us/excel/functions/proper-function" xr:uid="{BA6F6C02-0DB4-4AF9-9272-8C4109E9034A}"/>
    <hyperlink ref="B389" r:id="rId366" display="https://support.microsoft.com/en-us/excel/functions/pv-function" xr:uid="{2FFD2835-2A9E-43B3-AC6B-53F65E985CC5}"/>
    <hyperlink ref="B390" r:id="rId367" display="https://support.microsoft.com/en-us/excel/functions/py-function" xr:uid="{31943F71-D4C2-46B6-807D-F821E15EA0C9}"/>
    <hyperlink ref="B391" r:id="rId368" display="https://support.microsoft.com/en-us/excel/functions/quartile-function" xr:uid="{B7C7EDD2-2AA6-4C42-9B6A-9E1AA7FEACD9}"/>
    <hyperlink ref="B392" r:id="rId369" display="https://support.microsoft.com/en-us/excel/functions/quartile-exc-function" xr:uid="{87752E22-ED52-45F7-8CC2-1AB3519C3C30}"/>
    <hyperlink ref="B393" r:id="rId370" display="https://support.microsoft.com/en-us/excel/functions/quartile-inc-function" xr:uid="{B84211F7-53E1-4AEE-BCB2-B21E28A311CB}"/>
    <hyperlink ref="B394" r:id="rId371" display="https://support.microsoft.com/en-us/excel/functions/quotient-function" xr:uid="{F47AC803-49BA-4A1D-A406-CD2BD4A05AE4}"/>
    <hyperlink ref="B395" r:id="rId372" display="https://support.microsoft.com/en-us/excel/functions/radians-function" xr:uid="{E182B649-D175-48FC-AC16-A06C7D58C5A3}"/>
    <hyperlink ref="B396" r:id="rId373" display="https://support.microsoft.com/en-us/excel/functions/rand-function" xr:uid="{299F8247-FD8C-4604-BC4F-D9777F2A7EFE}"/>
    <hyperlink ref="B397" r:id="rId374" display="https://support.microsoft.com/en-us/excel/functions/randarray-function" xr:uid="{8F668C82-09BE-4BBA-8C8A-4A8ADA8009FC}"/>
    <hyperlink ref="B398" r:id="rId375" display="https://support.microsoft.com/en-us/excel/functions/randbetween-function" xr:uid="{43203202-BE10-47BB-AA2B-5609EA52F191}"/>
    <hyperlink ref="B399" r:id="rId376" display="https://support.microsoft.com/en-us/excel/functions/rank-function" xr:uid="{E8CEE8EB-4C10-4E1E-9A89-79E264D84651}"/>
    <hyperlink ref="B400" r:id="rId377" display="https://support.microsoft.com/en-us/excel/functions/rank-avg-function" xr:uid="{4B00E895-0DF6-43D7-BE02-7D0061905A17}"/>
    <hyperlink ref="B401" r:id="rId378" display="https://support.microsoft.com/en-us/excel/functions/rank-eq-function" xr:uid="{E75F11FE-00B5-4AFD-B2AC-1A6AEA518179}"/>
    <hyperlink ref="B402" r:id="rId379" display="https://support.microsoft.com/en-us/excel/functions/rate-function" xr:uid="{1DA47681-1352-4260-8BA5-114B1F9CF3A0}"/>
    <hyperlink ref="B403" r:id="rId380" display="https://support.microsoft.com/en-us/excel/functions/received-function" xr:uid="{31928A52-99D3-4C83-99AA-DC9377F02FC6}"/>
    <hyperlink ref="B404" r:id="rId381" display="https://support.microsoft.com/en-us/excel/functions/reduce-function" xr:uid="{F5FED531-0252-4CA1-9C26-F47FA812ECEA}"/>
    <hyperlink ref="B405" r:id="rId382" display="https://support.microsoft.com/en-us/excel/functions/regexextract-function" xr:uid="{AC7AE3ED-97DC-4DE2-84A5-793A3379CD41}"/>
    <hyperlink ref="B406" r:id="rId383" display="https://support.microsoft.com/en-us/excel/functions/regexreplace-function" xr:uid="{846B6D1B-ADE9-473C-9C8B-B3BCB6B78CA8}"/>
    <hyperlink ref="B407" r:id="rId384" display="https://support.microsoft.com/en-us/excel/functions/regextest-function" xr:uid="{7E14336D-A01E-45E6-8EBF-1F69FB93D903}"/>
    <hyperlink ref="B408" r:id="rId385" display="https://support.microsoft.com/en-us/excel/functions/register-id-function" xr:uid="{393072B2-3B94-4CE8-9F98-DB8B663077D4}"/>
    <hyperlink ref="B409" r:id="rId386" display="https://support.microsoft.com/en-us/excel/functions/replace-function" xr:uid="{89D85782-E684-4216-983E-61B195F83576}"/>
    <hyperlink ref="B411" r:id="rId387" display="https://support.microsoft.com/en-us/excel/functions/rept-function" xr:uid="{25B448C6-F332-4EF8-B86F-A565C3CFC2B4}"/>
    <hyperlink ref="B412" r:id="rId388" display="https://support.microsoft.com/en-us/excel/functions/right-function" xr:uid="{C2440956-A7C1-408E-9993-CFD2896A5849}"/>
    <hyperlink ref="B414" r:id="rId389" display="https://support.microsoft.com/en-us/excel/functions/roman-function" xr:uid="{AFEDB767-31E2-4CB2-8FFD-0B900FD5111E}"/>
    <hyperlink ref="B415" r:id="rId390" display="https://support.microsoft.com/en-us/excel/functions/round-function" xr:uid="{6202683B-31FB-4F66-A508-C51E2949A5A7}"/>
    <hyperlink ref="B416" r:id="rId391" display="https://support.microsoft.com/en-us/excel/functions/rounddown-function" xr:uid="{B2A1D48B-8193-4270-A145-1348666C4670}"/>
    <hyperlink ref="B417" r:id="rId392" display="https://support.microsoft.com/en-us/excel/functions/roundup-function" xr:uid="{FBC77898-F618-44B0-9B1D-A111A1090F26}"/>
    <hyperlink ref="B418" r:id="rId393" display="https://support.microsoft.com/en-us/excel/functions/row-function" xr:uid="{99A1C0A0-24D0-4FFB-9EFF-2527259688EC}"/>
    <hyperlink ref="B419" r:id="rId394" display="https://support.microsoft.com/en-us/excel/functions/rows-function" xr:uid="{520BBBD9-C624-4C1D-B375-D8D8AD7A920E}"/>
    <hyperlink ref="B420" r:id="rId395" display="https://support.microsoft.com/en-us/excel/functions/rri-function" xr:uid="{E87A96B1-9D01-4877-A3BD-7F53CE9F0483}"/>
    <hyperlink ref="B421" r:id="rId396" display="https://support.microsoft.com/en-us/excel/functions/rsq-function" xr:uid="{9F287D42-6720-498F-8DD5-A2D1F8D20D39}"/>
    <hyperlink ref="B422" r:id="rId397" display="https://support.microsoft.com/en-us/excel/functions/rtd-function" xr:uid="{3F38B5AC-38C0-46EF-BD32-632B52A6CA49}"/>
    <hyperlink ref="B423" r:id="rId398" display="https://support.microsoft.com/en-us/excel/functions/scan-function" xr:uid="{0CC068D3-3CD1-4010-AEF3-E13F803A0B33}"/>
    <hyperlink ref="B424" r:id="rId399" display="https://support.microsoft.com/en-us/excel/functions/search-function" xr:uid="{7AB83CCF-60FB-4DA3-A454-85671BB2F35C}"/>
    <hyperlink ref="B426" r:id="rId400" display="https://support.microsoft.com/en-us/excel/functions/sec-function" xr:uid="{9D075C77-78CA-446E-AF28-2EE4EC75F365}"/>
    <hyperlink ref="B427" r:id="rId401" display="https://support.microsoft.com/en-us/excel/functions/sech-function" xr:uid="{6C473522-0F5D-4A91-A6EC-624840D7E5C0}"/>
    <hyperlink ref="B428" r:id="rId402" display="https://support.microsoft.com/en-us/excel/functions/second-function" xr:uid="{DD089DD3-B568-4B7F-B82B-FBC473245FE2}"/>
    <hyperlink ref="B429" r:id="rId403" display="https://support.microsoft.com/en-us/excel/functions/sequence-function" xr:uid="{654CDF50-E5E5-49D7-A22F-FCB6E2A8E671}"/>
    <hyperlink ref="B430" r:id="rId404" display="https://support.microsoft.com/en-us/excel/functions/seriessum-function" xr:uid="{B5FAE496-A406-4939-B39B-0C8AF66C166C}"/>
    <hyperlink ref="B431" r:id="rId405" display="https://support.microsoft.com/en-us/excel/functions/sheet-function" xr:uid="{D041904C-8646-41CC-8248-5C9CA9685B48}"/>
    <hyperlink ref="B432" r:id="rId406" display="https://support.microsoft.com/en-us/excel/functions/sheets-function" xr:uid="{FDB7C345-0110-40F4-992E-2120055FA7C0}"/>
    <hyperlink ref="B433" r:id="rId407" display="https://support.microsoft.com/en-us/excel/functions/sign-function" xr:uid="{F57850D1-ED14-43BC-B56C-FEF8BC7ED04E}"/>
    <hyperlink ref="B434" r:id="rId408" display="https://support.microsoft.com/en-us/excel/functions/sin-function" xr:uid="{D84C06B5-9412-45C9-B39F-39D2C79AE5B7}"/>
    <hyperlink ref="B435" r:id="rId409" display="https://support.microsoft.com/en-us/excel/functions/sinh-function" xr:uid="{24145F5E-B709-4243-83C1-B0A5835879AC}"/>
    <hyperlink ref="B436" r:id="rId410" display="https://support.microsoft.com/en-us/excel/functions/skew-function" xr:uid="{E47F79AF-EF88-4C24-93C2-526447C3E1F4}"/>
    <hyperlink ref="B437" r:id="rId411" display="https://support.microsoft.com/en-us/excel/functions/skew-p-function" xr:uid="{DA1FEC23-7AFE-49A3-BEA4-30AA2F552310}"/>
    <hyperlink ref="B438" r:id="rId412" display="https://support.microsoft.com/en-us/excel/functions/sln-function" xr:uid="{7DE545A0-F6A8-4423-BFF6-2EDCB47EEDE2}"/>
    <hyperlink ref="B439" r:id="rId413" display="https://support.microsoft.com/en-us/excel/functions/slope-function" xr:uid="{59E755DB-A9E0-4A98-B840-C3AD8F5804D5}"/>
    <hyperlink ref="B440" r:id="rId414" display="https://support.microsoft.com/en-us/excel/functions/small-function" xr:uid="{51B577A7-F74A-464C-9BA2-A444C7437E8F}"/>
    <hyperlink ref="B441" r:id="rId415" display="https://support.microsoft.com/en-us/excel/functions/sort-function" xr:uid="{984CAA19-B999-4E39-871F-A377BC655726}"/>
    <hyperlink ref="B442" r:id="rId416" display="https://support.microsoft.com/en-us/excel/functions/sortby-function" xr:uid="{A1CB8391-2C09-4DB2-BC53-15132B68BAD4}"/>
    <hyperlink ref="B445" r:id="rId417" display="https://support.microsoft.com/en-us/excel/functions/standardize-function" xr:uid="{B4CE196C-D820-4C28-94B7-F3505F19E6F2}"/>
    <hyperlink ref="B446" r:id="rId418" display="https://support.microsoft.com/en-us/excel/functions/stdev-function" xr:uid="{54655B62-B4EB-4287-966B-15EEDE291821}"/>
    <hyperlink ref="B447" r:id="rId419" display="https://support.microsoft.com/en-us/excel/functions/stdev-p-function" xr:uid="{46C83DB5-DDB5-43EE-A0F5-071E9E42854B}"/>
    <hyperlink ref="B448" r:id="rId420" display="https://support.microsoft.com/en-us/excel/functions/stdev-s-function" xr:uid="{933026E7-2DD6-472A-B1E8-6791DEFAEC23}"/>
    <hyperlink ref="B449" r:id="rId421" display="https://support.microsoft.com/en-us/excel/functions/stdeva-function" xr:uid="{AECB87CB-03A0-44E5-8CBA-0B543A130202}"/>
    <hyperlink ref="B450" r:id="rId422" display="https://support.microsoft.com/en-us/excel/functions/stdevp-function" xr:uid="{4396E557-DC34-41B2-B166-E266F6680F1E}"/>
    <hyperlink ref="B451" r:id="rId423" display="https://support.microsoft.com/en-us/excel/functions/stdevpa-function" xr:uid="{B2215BEA-8422-40F0-BA36-1CA8BB35D2F2}"/>
    <hyperlink ref="B452" r:id="rId424" display="https://support.microsoft.com/en-us/excel/functions/steyx-function" xr:uid="{6F85A5BE-E41C-4DF8-B368-A40915C9BA5E}"/>
    <hyperlink ref="B453" r:id="rId425" display="https://support.microsoft.com/en-us/excel/functions/stockhistory-function" xr:uid="{94E72342-A719-47DF-BF43-409B2AE74B76}"/>
    <hyperlink ref="B454" r:id="rId426" display="https://support.microsoft.com/en-us/excel/functions/substitute-function" xr:uid="{219FA84D-ECA1-4842-9F08-2E0DC806E500}"/>
    <hyperlink ref="B455" r:id="rId427" display="https://support.microsoft.com/en-us/excel/functions/subtotal-function" xr:uid="{811B63D1-E93E-4BF9-AB76-870CBDE3365B}"/>
    <hyperlink ref="B456" r:id="rId428" display="https://support.microsoft.com/en-us/excel/functions/sum-function" xr:uid="{15F1D54E-A0A5-4EA9-8A28-EA82A123EC7C}"/>
    <hyperlink ref="B457" r:id="rId429" display="https://support.microsoft.com/en-us/excel/functions/sumif-function" xr:uid="{22641B48-ED43-42C2-815A-8A11F7AF6CFF}"/>
    <hyperlink ref="B458" r:id="rId430" display="https://support.microsoft.com/en-us/excel/functions/sumifs-function" xr:uid="{A240FBCF-65B9-4CF6-8182-90C127F5A100}"/>
    <hyperlink ref="B459" r:id="rId431" display="https://support.microsoft.com/en-us/excel/functions/sumproduct-function" xr:uid="{9FB11029-B821-44B7-B6AF-3CC742D2E6FC}"/>
    <hyperlink ref="B460" r:id="rId432" display="https://support.microsoft.com/en-us/excel/functions/sumsq-function" xr:uid="{E7349A70-61A0-46FF-9E62-06F90E0CC0E4}"/>
    <hyperlink ref="B461" r:id="rId433" display="https://support.microsoft.com/en-us/excel/functions/sumx2my2-function" xr:uid="{4C7BA5EC-EBCC-413F-A56F-E44636D6810D}"/>
    <hyperlink ref="B462" r:id="rId434" display="https://support.microsoft.com/en-us/excel/functions/sumx2py2-function" xr:uid="{EF9DEBD3-53B8-457C-AC7A-E604B46E2037}"/>
    <hyperlink ref="B463" r:id="rId435" display="https://support.microsoft.com/en-us/excel/functions/sumxmy2-function" xr:uid="{804F1AF3-AE24-4DFC-84BD-3595EE3B4051}"/>
    <hyperlink ref="B464" r:id="rId436" display="https://support.microsoft.com/en-us/excel/functions/switch-function" xr:uid="{292E6FFC-6ECF-4246-9C31-6A9C621D1E41}"/>
    <hyperlink ref="B465" r:id="rId437" display="https://support.microsoft.com/en-us/excel/functions/syd-function" xr:uid="{5636F1BC-F5CF-427F-B597-DCEFF0AA08B8}"/>
    <hyperlink ref="B466" r:id="rId438" display="https://support.microsoft.com/en-us/excel/functions/t-function" xr:uid="{C35B42F9-A09C-42B5-9422-1FC568BE5883}"/>
    <hyperlink ref="B467" r:id="rId439" display="https://support.microsoft.com/en-us/excel/functions/t-dist-function" xr:uid="{B3CFE53F-9896-4CE4-B667-0A07698BC9B9}"/>
    <hyperlink ref="B468" r:id="rId440" display="https://support.microsoft.com/en-us/excel/functions/t-dist-2t-function" xr:uid="{ABE49D93-F1FD-4147-AEB2-5BE0B3A416EF}"/>
    <hyperlink ref="B469" r:id="rId441" display="https://support.microsoft.com/en-us/excel/functions/t-dist-rt-function" xr:uid="{A50F4C53-63EF-49EB-94E7-07CD4CDD9CBB}"/>
    <hyperlink ref="B470" r:id="rId442" display="https://support.microsoft.com/en-us/excel/functions/t-inv-function" xr:uid="{1F80B393-D282-40F6-BC8D-4D71B3441B3F}"/>
    <hyperlink ref="B471" r:id="rId443" display="https://support.microsoft.com/en-us/excel/functions/t-inv-2t-function" xr:uid="{DF609B5F-4C81-4D9A-B010-267F743AEAF6}"/>
    <hyperlink ref="B472" r:id="rId444" display="https://support.microsoft.com/en-us/excel/functions/t-test-function" xr:uid="{AC6380E0-041F-416E-AE50-B5F227097E99}"/>
    <hyperlink ref="B474" r:id="rId445" display="https://support.microsoft.com/en-us/excel/functions/take-function" xr:uid="{2C2495D4-DB2F-4C9E-818B-92718E28FD22}"/>
    <hyperlink ref="B475" r:id="rId446" display="https://support.microsoft.com/en-us/excel/functions/tan-function" xr:uid="{2D68B726-4B57-4FDE-BB4A-256F34F39264}"/>
    <hyperlink ref="B476" r:id="rId447" display="https://support.microsoft.com/en-us/excel/functions/tanh-function" xr:uid="{A74258AD-DEBC-455E-ABDC-16513016F4F3}"/>
    <hyperlink ref="B477" r:id="rId448" display="https://support.microsoft.com/en-us/excel/functions/tbilleq-function" xr:uid="{2E208E0B-02D2-4676-A773-1449DEA2ABA4}"/>
    <hyperlink ref="B478" r:id="rId449" display="https://support.microsoft.com/en-us/excel/functions/tbillprice-function" xr:uid="{4750B11A-D521-4183-B78B-6F23550D3118}"/>
    <hyperlink ref="B479" r:id="rId450" display="https://support.microsoft.com/en-us/excel/functions/tbillyield-function" xr:uid="{F7CCFCA2-8976-42AE-84BB-6D753397E1F9}"/>
    <hyperlink ref="B480" r:id="rId451" display="https://support.microsoft.com/en-us/excel/functions/tdist-function" xr:uid="{287F3AB8-F6D3-4AFA-9EB1-C2CC11ACB2DD}"/>
    <hyperlink ref="B481" r:id="rId452" display="https://support.microsoft.com/en-us/excel/functions/text-function" xr:uid="{87F93E3C-4440-4ABA-A000-BCB2FECAA78E}"/>
    <hyperlink ref="B482" r:id="rId453" display="https://support.microsoft.com/en-us/excel/functions/textafter-function" xr:uid="{1AA6120F-7F0F-494B-A3B9-CBA31858B1EF}"/>
    <hyperlink ref="B483" r:id="rId454" display="https://support.microsoft.com/en-us/excel/functions/textbefore-function" xr:uid="{2AFE0C4D-8667-45E7-BB0B-1AA59D840E5A}"/>
    <hyperlink ref="B484" r:id="rId455" display="https://support.microsoft.com/en-us/excel/functions/textjoin-function" xr:uid="{41526270-E64C-4AE2-AED2-BD17AFAD1A2B}"/>
    <hyperlink ref="B485" r:id="rId456" display="https://support.microsoft.com/en-us/excel/functions/textsplit-function" xr:uid="{76085627-AFA8-4C2B-BE19-A469B0A55FB4}"/>
    <hyperlink ref="B486" r:id="rId457" display="https://support.microsoft.com/en-us/excel/functions/time-function" xr:uid="{AFF9609E-8B35-4C71-8102-B3E07DF3548F}"/>
    <hyperlink ref="B487" r:id="rId458" display="https://support.microsoft.com/en-us/excel/functions/timevalue-function" xr:uid="{8CAE5FF8-F9DA-4704-9B1B-E2ED84467D80}"/>
    <hyperlink ref="B488" r:id="rId459" display="https://support.microsoft.com/en-us/excel/functions/tinv-function" xr:uid="{0356C3C4-273E-4D73-9CF2-AA716800721F}"/>
    <hyperlink ref="B489" r:id="rId460" display="https://support.microsoft.com/en-us/excel/functions/tocol-function" xr:uid="{F4ED248F-75A1-4A7C-B512-25E0A8949FE3}"/>
    <hyperlink ref="B490" r:id="rId461" display="https://support.microsoft.com/en-us/excel/functions/today-function" xr:uid="{109F21A6-C43D-4426-AFF6-DC0641CCE748}"/>
    <hyperlink ref="B491" r:id="rId462" display="https://support.microsoft.com/en-us/excel/functions/torow-function" xr:uid="{53665AD5-B46C-4AC5-B02C-52FBF231BC65}"/>
    <hyperlink ref="B492" r:id="rId463" display="https://support.microsoft.com/en-us/excel/functions/translate-function" xr:uid="{FCBC1963-8322-4997-935F-A04376CDB35E}"/>
    <hyperlink ref="B493" r:id="rId464" display="https://support.microsoft.com/en-us/excel/functions/transpose-function" xr:uid="{79212467-B78B-41A6-B660-56B90667131F}"/>
    <hyperlink ref="B494" r:id="rId465" display="https://support.microsoft.com/en-us/excel/functions/trend-function" xr:uid="{3EC55D6C-FC7B-47E6-87E5-543B49D85890}"/>
    <hyperlink ref="B495" r:id="rId466" display="https://support.microsoft.com/en-us/excel/functions/trim-function" xr:uid="{85560706-84EC-4510-9EA8-ACCFA64B8BC3}"/>
    <hyperlink ref="B496" r:id="rId467" display="https://support.microsoft.com/en-us/excel/functions/trimmean-function" xr:uid="{A926A836-6193-4224-96E6-9F05942C58B9}"/>
    <hyperlink ref="B497" r:id="rId468" display="https://support.microsoft.com/en-us/excel/functions/trimrange-function" xr:uid="{C7B1A78A-7C0C-410C-B374-F9F0E49CC8E0}"/>
    <hyperlink ref="B498" r:id="rId469" display="https://support.microsoft.com/en-us/excel/functions/true-function" xr:uid="{9F71DFC9-E7EB-4F8F-B774-A6190970E908}"/>
    <hyperlink ref="B499" r:id="rId470" display="https://support.microsoft.com/en-us/excel/functions/trunc-function" xr:uid="{304B2F42-D8B5-4C25-96B0-F903444D0F84}"/>
    <hyperlink ref="B500" r:id="rId471" display="https://support.microsoft.com/en-us/excel/functions/ttest-function" xr:uid="{2B4DEAFE-BBCE-48C2-B00E-6579DF598757}"/>
    <hyperlink ref="B501" r:id="rId472" display="https://support.microsoft.com/en-us/excel/functions/type-function" xr:uid="{7D73FA60-F3B2-410C-AECB-20C35C1EF20F}"/>
    <hyperlink ref="B502" r:id="rId473" display="https://support.microsoft.com/en-us/excel/functions/unichar-function" xr:uid="{D9558140-CC39-4058-A553-23B0CB5B00FA}"/>
    <hyperlink ref="B503" r:id="rId474" display="https://support.microsoft.com/en-us/excel/functions/unicode-function" xr:uid="{3CEA37EF-062D-4047-844C-AA00C6055C05}"/>
    <hyperlink ref="B504" r:id="rId475" display="https://support.microsoft.com/en-us/excel/functions/unique-function" xr:uid="{BB4228D1-DF7A-4BDB-8A1A-10AB01EC4827}"/>
    <hyperlink ref="B505" r:id="rId476" display="https://support.microsoft.com/en-us/excel/functions/upper-function" xr:uid="{B3FBF509-D1E4-4767-9C6B-E6DCFC69CCCB}"/>
    <hyperlink ref="B506" r:id="rId477" display="https://support.microsoft.com/en-us/excel/functions/value-function" xr:uid="{755470DC-886F-40BB-ABB4-BDC84F59F25D}"/>
    <hyperlink ref="B507" r:id="rId478" display="https://support.microsoft.com/en-us/excel/functions/valuetotext-function" xr:uid="{0EE4DE21-3BF4-4CB3-8D45-E70E05AB9FD5}"/>
    <hyperlink ref="B508" r:id="rId479" display="https://support.microsoft.com/en-us/excel/functions/var-function" xr:uid="{EA28DEB8-65B4-4B59-B8CA-9A26626B6C71}"/>
    <hyperlink ref="B509" r:id="rId480" display="https://support.microsoft.com/en-us/excel/functions/var-p-function" xr:uid="{0533EEE3-83DE-44C0-B503-B1949553A339}"/>
    <hyperlink ref="B510" r:id="rId481" display="https://support.microsoft.com/en-us/excel/functions/var-s-function" xr:uid="{0A1DC5DE-9979-49F8-8A42-E6967B8A7674}"/>
    <hyperlink ref="B511" r:id="rId482" display="https://support.microsoft.com/en-us/excel/functions/vara-function" xr:uid="{384B7E98-42FF-49E4-80E8-D2338644330E}"/>
    <hyperlink ref="B512" r:id="rId483" display="https://support.microsoft.com/en-us/excel/functions/varp-function" xr:uid="{1DAC9457-3578-495A-8B8B-89AA45DCE87B}"/>
    <hyperlink ref="B513" r:id="rId484" display="https://support.microsoft.com/en-us/excel/functions/varpa-function" xr:uid="{2F403B79-B939-418E-BF15-5C572EDDF8B8}"/>
    <hyperlink ref="B514" r:id="rId485" display="https://support.microsoft.com/en-us/excel/functions/vdb-function" xr:uid="{2D001531-9569-415B-9666-54C62D6E069D}"/>
    <hyperlink ref="B515" r:id="rId486" display="https://support.microsoft.com/en-us/excel/functions/vlookup-function" xr:uid="{8029A5A4-CB83-45D8-9C17-CA75671FF7A6}"/>
    <hyperlink ref="B516" r:id="rId487" display="https://support.microsoft.com/en-us/excel/functions/vstack-function" xr:uid="{A357494E-53E9-45F1-84B5-AD1008117104}"/>
    <hyperlink ref="B517" r:id="rId488" display="https://support.microsoft.com/en-us/excel/functions/webservice-function" xr:uid="{57A6F7F5-8F3E-43A4-B21A-705747C8486A}"/>
    <hyperlink ref="B518" r:id="rId489" display="https://support.microsoft.com/en-us/excel/functions/weekday-function" xr:uid="{E159587E-87AD-4935-8D6E-A703D0CEE7B6}"/>
    <hyperlink ref="B519" r:id="rId490" display="https://support.microsoft.com/en-us/excel/functions/weeknum-function" xr:uid="{A9F2F2B8-373A-464F-9F1E-0EE5ECD8FA5C}"/>
    <hyperlink ref="B520" r:id="rId491" display="https://support.microsoft.com/en-us/excel/functions/weibull-function" xr:uid="{24ABAA6B-5A00-4956-BE6D-C86804FE916E}"/>
    <hyperlink ref="B521" r:id="rId492" display="https://support.microsoft.com/en-us/excel/functions/weibull-dist-function" xr:uid="{C58FAB1C-DFF6-4FE0-B939-05F6CFE8E9AF}"/>
    <hyperlink ref="B522" r:id="rId493" display="https://support.microsoft.com/en-us/excel/functions/workday-function" xr:uid="{68B6FD0F-1F92-4881-9A91-751B167AF776}"/>
    <hyperlink ref="B523" r:id="rId494" display="https://support.microsoft.com/en-us/excel/functions/workday-intl-function" xr:uid="{AC761855-CB66-406A-826E-CA4EB718E186}"/>
    <hyperlink ref="B524" r:id="rId495" display="https://support.microsoft.com/en-us/excel/functions/wrapcols-function" xr:uid="{DDA11A5B-FE35-400D-8A1E-2368DBBFF82A}"/>
    <hyperlink ref="B525" r:id="rId496" display="https://support.microsoft.com/en-us/excel/functions/wraprows-function" xr:uid="{4AA94B17-230F-4BF1-B033-D9237C44F013}"/>
    <hyperlink ref="B526" r:id="rId497" display="https://support.microsoft.com/en-us/excel/functions/xirr-function" xr:uid="{5D005214-DFBA-4EF4-93F1-218559E0FAC1}"/>
    <hyperlink ref="B527" r:id="rId498" display="https://support.microsoft.com/en-us/excel/functions/xlookup-function" xr:uid="{2F8BA21C-C5A2-49DA-88F2-26ECEF85AD8D}"/>
    <hyperlink ref="B528" r:id="rId499" display="https://support.microsoft.com/en-us/excel/functions/xmatch-function" xr:uid="{AAA241A5-10B5-4F67-A3FC-D543E77C447B}"/>
    <hyperlink ref="B529" r:id="rId500" display="https://support.microsoft.com/en-us/excel/functions/xnpv-function" xr:uid="{93266804-2F0E-4AD0-B4B1-56CD9EBB4385}"/>
    <hyperlink ref="B530" r:id="rId501" display="https://support.microsoft.com/en-us/excel/functions/xor-function" xr:uid="{FCB82A82-5FFD-48B0-9700-87746066B509}"/>
    <hyperlink ref="B531" r:id="rId502" display="https://support.microsoft.com/en-us/excel/functions/year-function" xr:uid="{54E03954-3939-4528-9140-3621BF223E96}"/>
    <hyperlink ref="B532" r:id="rId503" display="https://support.microsoft.com/en-us/excel/functions/yearfrac-function" xr:uid="{65B59414-EB45-469B-9938-831A4A0C0AF8}"/>
    <hyperlink ref="B533" r:id="rId504" display="https://support.microsoft.com/en-us/excel/functions/yield-function" xr:uid="{2951299C-4741-4E90-A9F5-CACA5D26F159}"/>
    <hyperlink ref="B534" r:id="rId505" display="https://support.microsoft.com/en-us/excel/functions/yielddisc-function" xr:uid="{D2C04102-5C5E-4D30-8139-467F2C34B9DC}"/>
    <hyperlink ref="B535" r:id="rId506" display="https://support.microsoft.com/en-us/excel/functions/yieldmat-function" xr:uid="{B33A0CAA-759E-4321-BBBA-014CA71CF875}"/>
    <hyperlink ref="B536" r:id="rId507" display="https://support.microsoft.com/en-us/excel/functions/z-test-function" xr:uid="{769FD3F4-34E8-485B-8AB7-86BB342A20C4}"/>
    <hyperlink ref="B537" r:id="rId508" display="https://support.microsoft.com/en-us/excel/functions/ztest-function" xr:uid="{9A60F1B3-8F38-45A9-9FA4-00883597B1A0}"/>
    <hyperlink ref="B200" r:id="rId509" display="https://support.microsoft.com/en-us/excel/functions/forecast-and-forecast-linear-functions" xr:uid="{76FC5669-AF2B-4CEE-A13C-EC5247816ADB}"/>
    <hyperlink ref="A7" r:id="rId510" xr:uid="{2BE01217-0193-4A1C-BE9D-94293936EF40}"/>
    <hyperlink ref="B271" r:id="rId511" display="https://support.microsoft.com/en-us/excel/functions/is-functions" xr:uid="{9CE8CB1F-2B63-4C92-A626-3BE2306E6616}"/>
    <hyperlink ref="B272" r:id="rId512" display="https://support.microsoft.com/en-us/excel/functions/is-functions" xr:uid="{06BC954B-60D2-4BDF-AB6F-D6FD3C51DAD8}"/>
    <hyperlink ref="B275:B278" r:id="rId513" display="https://support.microsoft.com/en-us/excel/functions/is-functions" xr:uid="{30F859A8-D8EF-4A5A-B3E5-C995460AE950}"/>
    <hyperlink ref="B284" r:id="rId514" display="https://support.microsoft.com/en-us/excel/functions/is-functions" xr:uid="{60D16E24-B37E-4D49-BAC7-8E2B920C23BE}"/>
    <hyperlink ref="B285" r:id="rId515" display="https://support.microsoft.com/en-us/excel/functions/is-functions" xr:uid="{52475E90-98D0-4671-AF5C-D33318779A15}"/>
    <hyperlink ref="B292" r:id="rId516" display="https://support.microsoft.com/en-us/excel/functions/left-function" xr:uid="{A695F022-E63F-422A-941B-5D8FDCC94176}"/>
    <hyperlink ref="B294" r:id="rId517" display="https://support.microsoft.com/en-us/excel/functions/len-function" xr:uid="{4FFBA5EB-AF72-4209-ACD7-F6E37FFCC4A9}"/>
    <hyperlink ref="B317" r:id="rId518" display="https://support.microsoft.com/en-us/excel/functions/mid-function" xr:uid="{87D7EB43-E1D2-456F-8A62-9D6D9FA354D3}"/>
    <hyperlink ref="B410" r:id="rId519" display="https://support.microsoft.com/en-us/excel/functions/replace-function" xr:uid="{D08C907D-BB58-4E1C-8D90-947B3B6E78E5}"/>
    <hyperlink ref="B413" r:id="rId520" display="https://support.microsoft.com/en-us/excel/functions/right-function" xr:uid="{F4DA104B-F03B-4F74-B966-6518CBF4F128}"/>
    <hyperlink ref="B425" r:id="rId521" display="https://support.microsoft.com/en-us/excel/functions/search-function" xr:uid="{9D3B3D44-01B6-498B-A915-AF88C0D2DA4C}"/>
    <hyperlink ref="B443" r:id="rId522" xr:uid="{1B6B77B1-AAE2-48A1-803B-E2E704A8F851}"/>
    <hyperlink ref="B444" r:id="rId523" xr:uid="{2F7F4F69-E70C-47B4-AA6B-F3B8ABD2034A}"/>
  </hyperlinks>
  <pageMargins left="0.7" right="0.7" top="0.75" bottom="0.75" header="0.3" footer="0.3"/>
  <drawing r:id="rId52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49EAA-40AF-4507-A905-3BEBE01BE6D9}">
  <dimension ref="B2:R198"/>
  <sheetViews>
    <sheetView zoomScaleNormal="100" zoomScaleSheetLayoutView="115" workbookViewId="0">
      <pane xSplit="1" ySplit="1" topLeftCell="B2" activePane="bottomRight" state="frozen"/>
      <selection pane="topRight" activeCell="B1" sqref="B1"/>
      <selection pane="bottomLeft" activeCell="A2" sqref="A2"/>
      <selection pane="bottomRight" activeCell="B2" sqref="B2"/>
    </sheetView>
  </sheetViews>
  <sheetFormatPr defaultRowHeight="14.4" outlineLevelRow="1"/>
  <cols>
    <col min="2" max="2" width="10.6640625" customWidth="1"/>
    <col min="3" max="4" width="9" bestFit="1" customWidth="1"/>
    <col min="5" max="5" width="11.21875" bestFit="1" customWidth="1"/>
    <col min="6" max="14" width="9" bestFit="1" customWidth="1"/>
  </cols>
  <sheetData>
    <row r="2" spans="2:7">
      <c r="B2" s="61" t="s">
        <v>681</v>
      </c>
    </row>
    <row r="3" spans="2:7">
      <c r="B3" s="43" t="s">
        <v>682</v>
      </c>
      <c r="G3" s="34"/>
    </row>
    <row r="4" spans="2:7">
      <c r="B4" s="43"/>
      <c r="G4" s="34"/>
    </row>
    <row r="5" spans="2:7">
      <c r="B5" t="s">
        <v>23</v>
      </c>
      <c r="C5" t="s">
        <v>24</v>
      </c>
      <c r="D5" t="s">
        <v>25</v>
      </c>
    </row>
    <row r="6" spans="2:7">
      <c r="B6" s="21">
        <v>45292</v>
      </c>
      <c r="C6">
        <v>3.377576441901553E-2</v>
      </c>
      <c r="D6">
        <v>6.1729222247865092</v>
      </c>
    </row>
    <row r="7" spans="2:7">
      <c r="B7" s="21">
        <v>45293</v>
      </c>
      <c r="C7">
        <v>0.88884255759677255</v>
      </c>
      <c r="D7">
        <v>4.8676780204882331</v>
      </c>
    </row>
    <row r="8" spans="2:7">
      <c r="B8" s="21">
        <v>45294</v>
      </c>
      <c r="C8">
        <v>0.26015419502894865</v>
      </c>
      <c r="D8">
        <v>9.7391483375100769</v>
      </c>
    </row>
    <row r="9" spans="2:7">
      <c r="B9" s="21">
        <v>45295</v>
      </c>
      <c r="C9">
        <v>0.68569244053834144</v>
      </c>
      <c r="D9">
        <v>7.2015865700377528</v>
      </c>
    </row>
    <row r="10" spans="2:7">
      <c r="B10" s="21">
        <v>45296</v>
      </c>
      <c r="C10">
        <v>6.8024771619042301E-2</v>
      </c>
      <c r="D10">
        <v>1.6052156250349425</v>
      </c>
    </row>
    <row r="12" spans="2:7">
      <c r="B12" s="61" t="s">
        <v>684</v>
      </c>
    </row>
    <row r="13" spans="2:7">
      <c r="B13" s="43" t="s">
        <v>683</v>
      </c>
    </row>
    <row r="15" spans="2:7">
      <c r="B15" t="s">
        <v>23</v>
      </c>
      <c r="C15" t="s">
        <v>24</v>
      </c>
      <c r="D15" t="s">
        <v>25</v>
      </c>
    </row>
    <row r="16" spans="2:7">
      <c r="B16" s="21">
        <v>45292</v>
      </c>
      <c r="C16">
        <v>3.377576441901553E-2</v>
      </c>
      <c r="D16">
        <v>6.1729222247865092</v>
      </c>
    </row>
    <row r="17" spans="2:4">
      <c r="B17" s="21">
        <v>45293</v>
      </c>
      <c r="C17">
        <v>0.88884255759677255</v>
      </c>
      <c r="D17">
        <v>4.8676780204882331</v>
      </c>
    </row>
    <row r="18" spans="2:4">
      <c r="B18" s="21">
        <v>45294</v>
      </c>
      <c r="C18">
        <v>0.26015419502894865</v>
      </c>
      <c r="D18">
        <v>9.7391483375100769</v>
      </c>
    </row>
    <row r="19" spans="2:4">
      <c r="B19" s="21">
        <v>45295</v>
      </c>
      <c r="C19">
        <v>0.68569244053834144</v>
      </c>
      <c r="D19">
        <v>7.2015865700377528</v>
      </c>
    </row>
    <row r="20" spans="2:4">
      <c r="B20" s="21">
        <v>45296</v>
      </c>
      <c r="C20">
        <v>6.8024771619042301E-2</v>
      </c>
      <c r="D20">
        <v>1.6052156250349425</v>
      </c>
    </row>
    <row r="21" spans="2:4">
      <c r="B21" s="21">
        <v>45297</v>
      </c>
      <c r="C21">
        <v>0.22883187262928595</v>
      </c>
      <c r="D21">
        <v>3.4167631726301053</v>
      </c>
    </row>
    <row r="22" spans="2:4">
      <c r="B22" s="21">
        <v>45298</v>
      </c>
      <c r="C22">
        <v>0.75744718382060017</v>
      </c>
      <c r="D22">
        <v>1.4802600091677109</v>
      </c>
    </row>
    <row r="23" spans="2:4">
      <c r="B23" s="21">
        <v>45299</v>
      </c>
      <c r="C23">
        <v>0.53380980058606531</v>
      </c>
      <c r="D23">
        <v>9.1436568214468963</v>
      </c>
    </row>
    <row r="24" spans="2:4">
      <c r="B24" s="21">
        <v>45300</v>
      </c>
      <c r="C24">
        <v>0.64650973901830933</v>
      </c>
      <c r="D24">
        <v>3.2987711327138278</v>
      </c>
    </row>
    <row r="25" spans="2:4">
      <c r="B25" s="21">
        <v>45301</v>
      </c>
      <c r="C25">
        <v>0.10854746515907998</v>
      </c>
      <c r="D25">
        <v>2.8120340213084791</v>
      </c>
    </row>
    <row r="26" spans="2:4">
      <c r="B26" s="21">
        <v>45302</v>
      </c>
      <c r="C26">
        <v>0.87496440715500323</v>
      </c>
      <c r="D26">
        <v>3.6521123801558861</v>
      </c>
    </row>
    <row r="27" spans="2:4">
      <c r="B27" s="21">
        <v>45303</v>
      </c>
      <c r="C27">
        <v>0.24561656203923354</v>
      </c>
      <c r="D27">
        <v>1.8733671243266481</v>
      </c>
    </row>
    <row r="28" spans="2:4">
      <c r="B28" s="21">
        <v>45304</v>
      </c>
      <c r="C28">
        <v>0.16426657780788534</v>
      </c>
      <c r="D28">
        <v>8.3257325842221892</v>
      </c>
    </row>
    <row r="29" spans="2:4">
      <c r="B29" s="21">
        <v>45305</v>
      </c>
      <c r="C29">
        <v>0.21950373372515064</v>
      </c>
      <c r="D29">
        <v>5.0143960248903205</v>
      </c>
    </row>
    <row r="30" spans="2:4">
      <c r="B30" s="21">
        <v>45306</v>
      </c>
      <c r="C30">
        <v>0.28202333186365036</v>
      </c>
      <c r="D30">
        <v>1.6120247328380644</v>
      </c>
    </row>
    <row r="33" spans="2:14">
      <c r="B33" s="61" t="s">
        <v>685</v>
      </c>
    </row>
    <row r="35" spans="2:14">
      <c r="B35" s="47" t="s">
        <v>128</v>
      </c>
      <c r="C35" s="47" t="s">
        <v>129</v>
      </c>
    </row>
    <row r="36" spans="2:14">
      <c r="B36" s="47" t="s">
        <v>131</v>
      </c>
      <c r="C36" s="23">
        <v>-5</v>
      </c>
      <c r="D36" s="23">
        <v>-4</v>
      </c>
      <c r="E36" s="23">
        <v>-3</v>
      </c>
      <c r="F36" s="23">
        <v>-2</v>
      </c>
      <c r="G36" s="23">
        <v>-1</v>
      </c>
      <c r="H36" s="23">
        <v>0</v>
      </c>
      <c r="I36" s="23">
        <v>1</v>
      </c>
      <c r="J36" s="23">
        <v>2</v>
      </c>
      <c r="K36" s="23">
        <v>3</v>
      </c>
      <c r="L36" s="23">
        <v>4</v>
      </c>
      <c r="M36" s="23">
        <v>5</v>
      </c>
      <c r="N36" s="23" t="s">
        <v>130</v>
      </c>
    </row>
    <row r="37" spans="2:14">
      <c r="B37" s="48">
        <v>4.2043461718417219E-2</v>
      </c>
      <c r="D37">
        <v>19</v>
      </c>
      <c r="N37">
        <v>19</v>
      </c>
    </row>
    <row r="38" spans="2:14">
      <c r="B38" s="48">
        <v>9.3779590993076201E-2</v>
      </c>
      <c r="L38">
        <v>16</v>
      </c>
      <c r="N38">
        <v>16</v>
      </c>
    </row>
    <row r="39" spans="2:14">
      <c r="B39" s="48">
        <v>0.11478237085731069</v>
      </c>
      <c r="J39">
        <v>25</v>
      </c>
      <c r="N39">
        <v>25</v>
      </c>
    </row>
    <row r="40" spans="2:14">
      <c r="B40" s="48">
        <v>0.18444621686123341</v>
      </c>
      <c r="L40">
        <v>43</v>
      </c>
      <c r="N40">
        <v>43</v>
      </c>
    </row>
    <row r="41" spans="2:14">
      <c r="B41" s="48">
        <v>0.27848121516603996</v>
      </c>
      <c r="M41">
        <v>32</v>
      </c>
      <c r="N41">
        <v>32</v>
      </c>
    </row>
    <row r="42" spans="2:14">
      <c r="B42" s="48">
        <v>0.32276640359913511</v>
      </c>
      <c r="F42">
        <v>34</v>
      </c>
      <c r="N42">
        <v>34</v>
      </c>
    </row>
    <row r="43" spans="2:14">
      <c r="B43" s="48">
        <v>0.3676493154073206</v>
      </c>
      <c r="D43">
        <v>40</v>
      </c>
      <c r="N43">
        <v>40</v>
      </c>
    </row>
    <row r="44" spans="2:14">
      <c r="B44" s="48">
        <v>0.39021720267095206</v>
      </c>
      <c r="I44">
        <v>26</v>
      </c>
      <c r="N44">
        <v>26</v>
      </c>
    </row>
    <row r="45" spans="2:14">
      <c r="B45" s="48">
        <v>0.43911508427168433</v>
      </c>
      <c r="I45">
        <v>44</v>
      </c>
      <c r="N45">
        <v>44</v>
      </c>
    </row>
    <row r="46" spans="2:14">
      <c r="B46" s="48">
        <v>0.44552623141760328</v>
      </c>
      <c r="G46">
        <v>10</v>
      </c>
      <c r="N46">
        <v>10</v>
      </c>
    </row>
    <row r="47" spans="2:14">
      <c r="B47" s="48">
        <v>0.50173815733843996</v>
      </c>
      <c r="C47">
        <v>30</v>
      </c>
      <c r="N47">
        <v>30</v>
      </c>
    </row>
    <row r="48" spans="2:14">
      <c r="B48" s="48">
        <v>0.63618417138910355</v>
      </c>
      <c r="K48">
        <v>28</v>
      </c>
      <c r="N48">
        <v>28</v>
      </c>
    </row>
    <row r="49" spans="2:14">
      <c r="B49" s="48">
        <v>0.72673451456429117</v>
      </c>
      <c r="K49">
        <v>38</v>
      </c>
      <c r="N49">
        <v>38</v>
      </c>
    </row>
    <row r="50" spans="2:14">
      <c r="B50" s="48">
        <v>0.73324271528591056</v>
      </c>
      <c r="L50">
        <v>37</v>
      </c>
      <c r="N50">
        <v>37</v>
      </c>
    </row>
    <row r="51" spans="2:14">
      <c r="B51" s="48">
        <v>0.84491926684303353</v>
      </c>
      <c r="F51">
        <v>22</v>
      </c>
      <c r="N51">
        <v>22</v>
      </c>
    </row>
    <row r="52" spans="2:14">
      <c r="B52" s="48">
        <v>1.0415518072153302</v>
      </c>
      <c r="K52">
        <v>36</v>
      </c>
      <c r="N52">
        <v>36</v>
      </c>
    </row>
    <row r="53" spans="2:14">
      <c r="B53" s="48">
        <v>1.0553036448004516</v>
      </c>
      <c r="C53">
        <v>35</v>
      </c>
      <c r="N53">
        <v>35</v>
      </c>
    </row>
    <row r="54" spans="2:14">
      <c r="B54" s="48">
        <v>1.1818591336976039</v>
      </c>
      <c r="D54">
        <v>42</v>
      </c>
      <c r="N54">
        <v>42</v>
      </c>
    </row>
    <row r="55" spans="2:14">
      <c r="B55" s="48">
        <v>1.3885648278661464</v>
      </c>
      <c r="M55">
        <v>41</v>
      </c>
      <c r="N55">
        <v>41</v>
      </c>
    </row>
    <row r="56" spans="2:14">
      <c r="B56" s="48">
        <v>1.4053785810924828</v>
      </c>
      <c r="I56">
        <v>12</v>
      </c>
      <c r="N56">
        <v>12</v>
      </c>
    </row>
    <row r="57" spans="2:14">
      <c r="B57" s="48">
        <v>1.7917186200425816</v>
      </c>
      <c r="F57">
        <v>9</v>
      </c>
      <c r="N57">
        <v>9</v>
      </c>
    </row>
    <row r="58" spans="2:14">
      <c r="B58" s="48">
        <v>1.8109214372981315</v>
      </c>
      <c r="J58">
        <v>1</v>
      </c>
      <c r="N58">
        <v>1</v>
      </c>
    </row>
    <row r="59" spans="2:14">
      <c r="B59" s="48">
        <v>1.8142262935476663</v>
      </c>
      <c r="L59">
        <v>3</v>
      </c>
      <c r="N59">
        <v>3</v>
      </c>
    </row>
    <row r="60" spans="2:14">
      <c r="B60" s="48">
        <v>1.875014876681754</v>
      </c>
      <c r="J60">
        <v>8</v>
      </c>
      <c r="N60">
        <v>8</v>
      </c>
    </row>
    <row r="61" spans="2:14">
      <c r="B61" s="48">
        <v>1.9550141650678929</v>
      </c>
      <c r="G61">
        <v>4</v>
      </c>
      <c r="N61">
        <v>4</v>
      </c>
    </row>
    <row r="62" spans="2:14">
      <c r="B62" s="48">
        <v>1.9599325373471794</v>
      </c>
      <c r="M62">
        <v>7</v>
      </c>
      <c r="N62">
        <v>7</v>
      </c>
    </row>
    <row r="63" spans="2:14">
      <c r="B63" s="48">
        <v>1.9618935058689135</v>
      </c>
      <c r="H63">
        <v>31</v>
      </c>
      <c r="N63">
        <v>31</v>
      </c>
    </row>
    <row r="64" spans="2:14">
      <c r="B64" s="48">
        <v>1.9883541494724741</v>
      </c>
      <c r="M64">
        <v>23</v>
      </c>
      <c r="N64">
        <v>23</v>
      </c>
    </row>
    <row r="65" spans="2:14">
      <c r="B65" s="48">
        <v>1.9999379201029699</v>
      </c>
      <c r="F65">
        <v>21</v>
      </c>
      <c r="N65">
        <v>21</v>
      </c>
    </row>
    <row r="66" spans="2:14">
      <c r="B66" s="48">
        <v>2.0345714347173249</v>
      </c>
      <c r="C66">
        <v>33</v>
      </c>
      <c r="N66">
        <v>33</v>
      </c>
    </row>
    <row r="67" spans="2:14">
      <c r="B67" s="48">
        <v>2.0982753709135715</v>
      </c>
      <c r="J67">
        <v>24</v>
      </c>
      <c r="N67">
        <v>24</v>
      </c>
    </row>
    <row r="68" spans="2:14">
      <c r="B68" s="48">
        <v>2.1596363152368427</v>
      </c>
      <c r="M68">
        <v>6</v>
      </c>
      <c r="N68">
        <v>6</v>
      </c>
    </row>
    <row r="69" spans="2:14">
      <c r="B69" s="48">
        <v>2.2069290019763321</v>
      </c>
      <c r="J69">
        <v>29</v>
      </c>
      <c r="N69">
        <v>29</v>
      </c>
    </row>
    <row r="70" spans="2:14">
      <c r="B70" s="48">
        <v>2.5622602011899778</v>
      </c>
      <c r="E70">
        <v>14</v>
      </c>
      <c r="N70">
        <v>14</v>
      </c>
    </row>
    <row r="71" spans="2:14">
      <c r="B71" s="48">
        <v>2.5741667309607252</v>
      </c>
      <c r="H71">
        <v>13</v>
      </c>
      <c r="N71">
        <v>13</v>
      </c>
    </row>
    <row r="72" spans="2:14">
      <c r="B72" s="48">
        <v>2.5846117410114227</v>
      </c>
      <c r="H72">
        <v>39</v>
      </c>
      <c r="N72">
        <v>39</v>
      </c>
    </row>
    <row r="73" spans="2:14">
      <c r="B73" s="48">
        <v>2.5905737989007691</v>
      </c>
      <c r="G73">
        <v>2</v>
      </c>
      <c r="N73">
        <v>2</v>
      </c>
    </row>
    <row r="74" spans="2:14">
      <c r="B74" s="48">
        <v>2.7287134654179281</v>
      </c>
      <c r="F74">
        <v>27</v>
      </c>
      <c r="N74">
        <v>27</v>
      </c>
    </row>
    <row r="75" spans="2:14">
      <c r="B75" s="48">
        <v>2.7485502859952482</v>
      </c>
      <c r="F75">
        <v>15</v>
      </c>
      <c r="N75">
        <v>15</v>
      </c>
    </row>
    <row r="76" spans="2:14">
      <c r="B76" s="48">
        <v>2.8153261591835714</v>
      </c>
      <c r="F76">
        <v>11</v>
      </c>
      <c r="N76">
        <v>11</v>
      </c>
    </row>
    <row r="77" spans="2:14">
      <c r="B77" s="48">
        <v>2.8363339306848254</v>
      </c>
      <c r="L77">
        <v>5</v>
      </c>
      <c r="N77">
        <v>5</v>
      </c>
    </row>
    <row r="78" spans="2:14">
      <c r="B78" s="48">
        <v>2.8917730838956124</v>
      </c>
      <c r="H78">
        <v>20</v>
      </c>
      <c r="N78">
        <v>20</v>
      </c>
    </row>
    <row r="79" spans="2:14">
      <c r="B79" s="48">
        <v>2.9496437594343314</v>
      </c>
      <c r="G79">
        <v>18</v>
      </c>
      <c r="N79">
        <v>18</v>
      </c>
    </row>
    <row r="80" spans="2:14">
      <c r="B80" s="48">
        <v>2.9788967610697545</v>
      </c>
      <c r="H80">
        <v>17</v>
      </c>
      <c r="N80">
        <v>17</v>
      </c>
    </row>
    <row r="81" spans="2:18">
      <c r="B81" s="48" t="s">
        <v>130</v>
      </c>
      <c r="C81">
        <v>98</v>
      </c>
      <c r="D81">
        <v>101</v>
      </c>
      <c r="E81">
        <v>14</v>
      </c>
      <c r="F81">
        <v>139</v>
      </c>
      <c r="G81">
        <v>34</v>
      </c>
      <c r="H81">
        <v>120</v>
      </c>
      <c r="I81">
        <v>82</v>
      </c>
      <c r="J81">
        <v>87</v>
      </c>
      <c r="K81">
        <v>102</v>
      </c>
      <c r="L81">
        <v>104</v>
      </c>
      <c r="M81">
        <v>109</v>
      </c>
      <c r="N81">
        <v>990</v>
      </c>
    </row>
    <row r="84" spans="2:18">
      <c r="B84" s="61" t="s">
        <v>688</v>
      </c>
    </row>
    <row r="85" spans="2:18">
      <c r="B85" s="43" t="s">
        <v>686</v>
      </c>
    </row>
    <row r="87" spans="2:18">
      <c r="B87" t="s">
        <v>105</v>
      </c>
      <c r="E87" s="32">
        <v>1</v>
      </c>
    </row>
    <row r="88" spans="2:18">
      <c r="B88" t="s">
        <v>106</v>
      </c>
      <c r="E88" s="32">
        <v>1</v>
      </c>
    </row>
    <row r="89" spans="2:18">
      <c r="B89" t="s">
        <v>107</v>
      </c>
      <c r="E89" s="33">
        <v>36524</v>
      </c>
    </row>
    <row r="90" spans="2:18">
      <c r="B90" t="s">
        <v>112</v>
      </c>
      <c r="E90" s="22" t="s">
        <v>109</v>
      </c>
      <c r="G90" t="s">
        <v>108</v>
      </c>
      <c r="H90" t="s">
        <v>109</v>
      </c>
      <c r="I90" t="s">
        <v>110</v>
      </c>
      <c r="J90" t="s">
        <v>111</v>
      </c>
    </row>
    <row r="91" spans="2:18">
      <c r="B91" t="s">
        <v>113</v>
      </c>
      <c r="E91" s="22" t="s">
        <v>114</v>
      </c>
    </row>
    <row r="94" spans="2:18">
      <c r="B94" s="61" t="s">
        <v>687</v>
      </c>
      <c r="R94" s="61" t="s">
        <v>689</v>
      </c>
    </row>
    <row r="95" spans="2:18">
      <c r="B95" s="43" t="s">
        <v>115</v>
      </c>
    </row>
    <row r="97" spans="2:5">
      <c r="B97" s="35" t="s">
        <v>29</v>
      </c>
      <c r="C97" s="36"/>
      <c r="D97" s="36"/>
      <c r="E97" s="37" t="s">
        <v>29</v>
      </c>
    </row>
    <row r="98" spans="2:5">
      <c r="B98" s="38"/>
      <c r="E98" s="39"/>
    </row>
    <row r="99" spans="2:5">
      <c r="B99" s="38"/>
      <c r="E99" s="39"/>
    </row>
    <row r="100" spans="2:5">
      <c r="B100" s="38"/>
      <c r="E100" s="39"/>
    </row>
    <row r="101" spans="2:5">
      <c r="B101" s="38"/>
      <c r="E101" s="39"/>
    </row>
    <row r="102" spans="2:5">
      <c r="B102" s="38"/>
      <c r="E102" s="39"/>
    </row>
    <row r="103" spans="2:5">
      <c r="B103" s="38"/>
      <c r="E103" s="39"/>
    </row>
    <row r="104" spans="2:5">
      <c r="B104" s="38"/>
      <c r="E104" s="39"/>
    </row>
    <row r="105" spans="2:5">
      <c r="B105" s="38"/>
      <c r="E105" s="39"/>
    </row>
    <row r="106" spans="2:5">
      <c r="B106" s="40" t="s">
        <v>29</v>
      </c>
      <c r="C106" s="41"/>
      <c r="D106" s="41"/>
      <c r="E106" s="42" t="s">
        <v>29</v>
      </c>
    </row>
    <row r="112" spans="2:5">
      <c r="B112" s="61" t="s">
        <v>690</v>
      </c>
    </row>
    <row r="114" spans="2:2">
      <c r="B114" s="43" t="s">
        <v>116</v>
      </c>
    </row>
    <row r="115" spans="2:2" hidden="1"/>
    <row r="116" spans="2:2" hidden="1"/>
    <row r="117" spans="2:2" hidden="1"/>
    <row r="118" spans="2:2" hidden="1"/>
    <row r="119" spans="2:2" hidden="1"/>
    <row r="121" spans="2:2">
      <c r="B121" s="43" t="s">
        <v>117</v>
      </c>
    </row>
    <row r="122" spans="2:2" hidden="1" outlineLevel="1"/>
    <row r="123" spans="2:2" hidden="1" outlineLevel="1"/>
    <row r="124" spans="2:2" hidden="1" outlineLevel="1"/>
    <row r="125" spans="2:2" hidden="1" outlineLevel="1"/>
    <row r="126" spans="2:2" collapsed="1"/>
    <row r="129" spans="2:18">
      <c r="B129" s="61" t="s">
        <v>729</v>
      </c>
      <c r="R129" s="61" t="s">
        <v>689</v>
      </c>
    </row>
    <row r="131" spans="2:18">
      <c r="B131" s="43" t="s">
        <v>691</v>
      </c>
    </row>
    <row r="132" spans="2:18">
      <c r="B132" s="43" t="s">
        <v>692</v>
      </c>
    </row>
    <row r="145" spans="2:3">
      <c r="B145" s="61" t="s">
        <v>693</v>
      </c>
    </row>
    <row r="147" spans="2:3">
      <c r="C147" s="43" t="s">
        <v>694</v>
      </c>
    </row>
    <row r="148" spans="2:3">
      <c r="C148" s="43" t="s">
        <v>695</v>
      </c>
    </row>
    <row r="151" spans="2:3">
      <c r="B151" s="62" t="s">
        <v>703</v>
      </c>
    </row>
    <row r="152" spans="2:3">
      <c r="B152" s="43" t="s">
        <v>704</v>
      </c>
    </row>
    <row r="156" spans="2:3">
      <c r="B156" s="61" t="s">
        <v>696</v>
      </c>
    </row>
    <row r="157" spans="2:3">
      <c r="B157" s="43" t="s">
        <v>697</v>
      </c>
    </row>
    <row r="158" spans="2:3">
      <c r="B158" s="43"/>
    </row>
    <row r="159" spans="2:3">
      <c r="B159" s="46"/>
      <c r="C159" t="s">
        <v>127</v>
      </c>
    </row>
    <row r="160" spans="2:3">
      <c r="B160">
        <v>100</v>
      </c>
      <c r="C160" t="b">
        <f>ISNUMBER(B160)</f>
        <v>1</v>
      </c>
    </row>
    <row r="161" spans="2:4">
      <c r="B161" s="2" t="s">
        <v>126</v>
      </c>
      <c r="C161" t="b">
        <f>ISNUMBER(B161)</f>
        <v>0</v>
      </c>
    </row>
    <row r="165" spans="2:4">
      <c r="B165" s="61" t="s">
        <v>699</v>
      </c>
    </row>
    <row r="166" spans="2:4">
      <c r="B166">
        <f>5*5</f>
        <v>25</v>
      </c>
    </row>
    <row r="167" spans="2:4">
      <c r="B167">
        <f>fivetimesfive</f>
        <v>25</v>
      </c>
      <c r="C167" s="43" t="s">
        <v>698</v>
      </c>
    </row>
    <row r="170" spans="2:4">
      <c r="B170" s="61" t="s">
        <v>700</v>
      </c>
    </row>
    <row r="171" spans="2:4">
      <c r="B171" s="45" t="s">
        <v>125</v>
      </c>
      <c r="D171" s="43" t="s">
        <v>705</v>
      </c>
    </row>
    <row r="174" spans="2:4">
      <c r="B174" s="61" t="s">
        <v>701</v>
      </c>
    </row>
    <row r="175" spans="2:4">
      <c r="B175" s="43" t="s">
        <v>702</v>
      </c>
    </row>
    <row r="178" spans="2:17">
      <c r="B178" s="61" t="s">
        <v>706</v>
      </c>
    </row>
    <row r="179" spans="2:17">
      <c r="B179" s="43" t="s">
        <v>707</v>
      </c>
    </row>
    <row r="182" spans="2:17">
      <c r="B182" s="61" t="s">
        <v>708</v>
      </c>
    </row>
    <row r="183" spans="2:17">
      <c r="B183" s="89" t="s">
        <v>709</v>
      </c>
      <c r="C183" s="89"/>
      <c r="D183" s="89"/>
      <c r="E183" s="89"/>
      <c r="F183" s="89"/>
    </row>
    <row r="186" spans="2:17">
      <c r="B186" s="61" t="s">
        <v>710</v>
      </c>
      <c r="Q186" s="61" t="s">
        <v>689</v>
      </c>
    </row>
    <row r="187" spans="2:17">
      <c r="B187" s="43" t="s">
        <v>712</v>
      </c>
    </row>
    <row r="189" spans="2:17">
      <c r="B189" t="s">
        <v>711</v>
      </c>
    </row>
    <row r="194" spans="2:2">
      <c r="B194" s="61" t="s">
        <v>715</v>
      </c>
    </row>
    <row r="195" spans="2:2">
      <c r="B195" s="43" t="s">
        <v>713</v>
      </c>
    </row>
    <row r="196" spans="2:2">
      <c r="B196" s="43" t="s">
        <v>714</v>
      </c>
    </row>
    <row r="198" spans="2:2">
      <c r="B198">
        <f>COUNTA(START:END!A1:B3)</f>
        <v>8</v>
      </c>
    </row>
  </sheetData>
  <autoFilter ref="B5:D10" xr:uid="{89949EAA-40AF-4507-A905-3BEBE01BE6D9}"/>
  <mergeCells count="1">
    <mergeCell ref="B183:F183"/>
  </mergeCells>
  <dataValidations disablePrompts="1" count="5">
    <dataValidation type="list" allowBlank="1" showInputMessage="1" showErrorMessage="1" sqref="E91" xr:uid="{3B47A738-A66A-4521-8238-0BBECE8B7D7C}">
      <formula1>"Sigma,Omega,Ligma"</formula1>
    </dataValidation>
    <dataValidation type="list" allowBlank="1" showInputMessage="1" showErrorMessage="1" sqref="E90" xr:uid="{2C9FA35B-1272-4602-8B59-312EE466C610}">
      <formula1>$I$46:$K$46</formula1>
    </dataValidation>
    <dataValidation type="date" allowBlank="1" showInputMessage="1" showErrorMessage="1" sqref="E89" xr:uid="{0D415230-4FA4-49DD-A8B6-A2C2CDFD7AA0}">
      <formula1>25569</formula1>
      <formula2>36525</formula2>
    </dataValidation>
    <dataValidation type="decimal" operator="greaterThan" allowBlank="1" showInputMessage="1" showErrorMessage="1" sqref="E88" xr:uid="{4431998D-CB74-4768-A3DF-8306B7901EA5}">
      <formula1>0</formula1>
    </dataValidation>
    <dataValidation type="whole" allowBlank="1" showInputMessage="1" showErrorMessage="1" sqref="E87" xr:uid="{CDC11F1C-A014-40D5-B49C-23747578A0A7}">
      <formula1>0</formula1>
      <formula2>100</formula2>
    </dataValidation>
  </dataValidations>
  <hyperlinks>
    <hyperlink ref="B171" r:id="rId2" xr:uid="{F3341782-3392-40F8-A73E-D57AABA78CB1}"/>
  </hyperlinks>
  <pageMargins left="0.7" right="0.7" top="0.75" bottom="0.75" header="0.3" footer="0.3"/>
  <pageSetup paperSize="9" orientation="portrait" verticalDpi="0" r:id="rId3"/>
  <drawing r:id="rId4"/>
  <legacyDrawing r:id="rId5"/>
  <tableParts count="1">
    <tablePart r:id="rId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876CA-8608-42C1-A52A-8422FC0FF276}">
  <dimension ref="B2:P38"/>
  <sheetViews>
    <sheetView workbookViewId="0"/>
  </sheetViews>
  <sheetFormatPr defaultRowHeight="14.4"/>
  <cols>
    <col min="3" max="3" width="10.33203125" bestFit="1" customWidth="1"/>
  </cols>
  <sheetData>
    <row r="2" spans="2:16">
      <c r="B2" s="61" t="s">
        <v>716</v>
      </c>
    </row>
    <row r="3" spans="2:16">
      <c r="B3" s="63" t="s">
        <v>717</v>
      </c>
    </row>
    <row r="5" spans="2:16">
      <c r="B5" t="s">
        <v>26</v>
      </c>
      <c r="C5">
        <v>2</v>
      </c>
      <c r="E5" t="s">
        <v>28</v>
      </c>
      <c r="F5">
        <f>C5*C6</f>
        <v>6</v>
      </c>
    </row>
    <row r="6" spans="2:16">
      <c r="B6" t="s">
        <v>27</v>
      </c>
      <c r="C6">
        <v>3</v>
      </c>
      <c r="F6" s="2" t="s">
        <v>104</v>
      </c>
    </row>
    <row r="8" spans="2:16">
      <c r="D8" t="s">
        <v>26</v>
      </c>
    </row>
    <row r="9" spans="2:16">
      <c r="C9">
        <f>F5</f>
        <v>6</v>
      </c>
      <c r="D9" s="22">
        <v>1</v>
      </c>
      <c r="E9" s="22">
        <v>2</v>
      </c>
      <c r="F9" s="22">
        <v>3</v>
      </c>
    </row>
    <row r="10" spans="2:16">
      <c r="B10" t="s">
        <v>27</v>
      </c>
      <c r="C10" s="22">
        <v>1</v>
      </c>
      <c r="D10" s="64">
        <f t="dataTable" ref="D10:F12" dt2D="1" dtr="1" r1="C5" r2="C6"/>
        <v>1</v>
      </c>
      <c r="E10" s="64">
        <v>2</v>
      </c>
      <c r="F10" s="64">
        <v>3</v>
      </c>
    </row>
    <row r="11" spans="2:16">
      <c r="C11" s="22">
        <v>2</v>
      </c>
      <c r="D11" s="64">
        <v>2</v>
      </c>
      <c r="E11" s="64">
        <v>4</v>
      </c>
      <c r="F11" s="64">
        <v>6</v>
      </c>
    </row>
    <row r="12" spans="2:16">
      <c r="C12" s="22">
        <v>3</v>
      </c>
      <c r="D12" s="64">
        <v>3</v>
      </c>
      <c r="E12" s="64">
        <v>6</v>
      </c>
      <c r="F12" s="64">
        <v>9</v>
      </c>
    </row>
    <row r="16" spans="2:16">
      <c r="B16" s="61" t="s">
        <v>718</v>
      </c>
      <c r="P16" s="61" t="s">
        <v>689</v>
      </c>
    </row>
    <row r="18" spans="2:6">
      <c r="B18" t="s">
        <v>719</v>
      </c>
      <c r="D18" t="s">
        <v>720</v>
      </c>
      <c r="F18" t="s">
        <v>721</v>
      </c>
    </row>
    <row r="19" spans="2:6">
      <c r="B19">
        <v>100</v>
      </c>
      <c r="D19">
        <f>B19*(1+F19)^5</f>
        <v>127.62815625000002</v>
      </c>
      <c r="F19" s="25">
        <v>0.05</v>
      </c>
    </row>
    <row r="21" spans="2:6">
      <c r="B21" s="43" t="s">
        <v>722</v>
      </c>
    </row>
    <row r="27" spans="2:6">
      <c r="B27" s="61" t="s">
        <v>120</v>
      </c>
    </row>
    <row r="28" spans="2:6">
      <c r="B28" s="61"/>
    </row>
    <row r="29" spans="2:6">
      <c r="B29" t="s">
        <v>121</v>
      </c>
      <c r="C29" t="s">
        <v>122</v>
      </c>
      <c r="E29" s="43" t="s">
        <v>123</v>
      </c>
    </row>
    <row r="30" spans="2:6">
      <c r="B30" s="22"/>
      <c r="C30" s="44" t="str">
        <f ca="1">IF(B30&lt;&gt;"",IF(C30&lt;&gt;"",C30,TODAY()),"")</f>
        <v/>
      </c>
      <c r="E30" s="43" t="s">
        <v>124</v>
      </c>
    </row>
    <row r="35" spans="2:6">
      <c r="B35" s="61" t="s">
        <v>723</v>
      </c>
    </row>
    <row r="36" spans="2:6">
      <c r="B36" s="29" t="s">
        <v>724</v>
      </c>
      <c r="C36" s="29" t="s">
        <v>118</v>
      </c>
      <c r="D36" s="29" t="s">
        <v>725</v>
      </c>
      <c r="F36" s="43" t="s">
        <v>726</v>
      </c>
    </row>
    <row r="37" spans="2:6">
      <c r="B37">
        <v>1</v>
      </c>
      <c r="C37">
        <v>2</v>
      </c>
      <c r="D37">
        <f>B37+C37</f>
        <v>3</v>
      </c>
      <c r="F37" s="43" t="s">
        <v>727</v>
      </c>
    </row>
    <row r="38" spans="2:6">
      <c r="F38" s="43" t="s">
        <v>728</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346D9-E3AC-4052-B9A3-E0BB5CF9ED69}">
  <dimension ref="B2:L54"/>
  <sheetViews>
    <sheetView workbookViewId="0"/>
  </sheetViews>
  <sheetFormatPr defaultRowHeight="14.4"/>
  <cols>
    <col min="3" max="3" width="10.5546875" bestFit="1" customWidth="1"/>
    <col min="4" max="4" width="10.33203125" bestFit="1" customWidth="1"/>
  </cols>
  <sheetData>
    <row r="2" spans="2:12">
      <c r="B2" s="61" t="s">
        <v>744</v>
      </c>
      <c r="L2" s="61" t="s">
        <v>689</v>
      </c>
    </row>
    <row r="4" spans="2:12">
      <c r="B4" t="s">
        <v>745</v>
      </c>
      <c r="D4" s="79"/>
    </row>
    <row r="6" spans="2:12">
      <c r="B6" t="s">
        <v>746</v>
      </c>
      <c r="D6" s="78"/>
    </row>
    <row r="7" spans="2:12" ht="15" thickBot="1"/>
    <row r="8" spans="2:12" ht="15.6" thickTop="1" thickBot="1">
      <c r="B8" t="s">
        <v>747</v>
      </c>
      <c r="D8" s="77"/>
    </row>
    <row r="9" spans="2:12" ht="15" thickTop="1"/>
    <row r="10" spans="2:12">
      <c r="B10" t="s">
        <v>748</v>
      </c>
      <c r="D10" s="41"/>
    </row>
    <row r="13" spans="2:12">
      <c r="B13" s="61" t="s">
        <v>749</v>
      </c>
    </row>
    <row r="15" spans="2:12">
      <c r="B15" s="15"/>
      <c r="C15" s="19"/>
      <c r="D15" s="20"/>
      <c r="F15" t="s">
        <v>751</v>
      </c>
    </row>
    <row r="18" spans="2:6">
      <c r="B18" s="61" t="s">
        <v>750</v>
      </c>
    </row>
    <row r="20" spans="2:6">
      <c r="B20" s="16"/>
      <c r="C20" s="17"/>
      <c r="D20" s="18"/>
    </row>
    <row r="23" spans="2:6">
      <c r="B23" s="61" t="s">
        <v>752</v>
      </c>
    </row>
    <row r="24" spans="2:6">
      <c r="B24" s="61"/>
    </row>
    <row r="25" spans="2:6">
      <c r="B25" t="b">
        <v>1</v>
      </c>
      <c r="C25" t="b">
        <v>0</v>
      </c>
      <c r="F25" t="s">
        <v>3</v>
      </c>
    </row>
    <row r="26" spans="2:6">
      <c r="B26" t="s">
        <v>5</v>
      </c>
      <c r="C26" t="s">
        <v>6</v>
      </c>
      <c r="F26" t="s">
        <v>4</v>
      </c>
    </row>
    <row r="27" spans="2:6">
      <c r="B27">
        <v>100</v>
      </c>
      <c r="C27">
        <v>101</v>
      </c>
      <c r="D27">
        <v>100</v>
      </c>
      <c r="F27" t="s">
        <v>7</v>
      </c>
    </row>
    <row r="28" spans="2:6">
      <c r="B28">
        <v>-1</v>
      </c>
      <c r="C28">
        <v>1</v>
      </c>
      <c r="F28" t="s">
        <v>8</v>
      </c>
    </row>
    <row r="29" spans="2:6">
      <c r="B29">
        <v>1</v>
      </c>
      <c r="C29">
        <v>1.5</v>
      </c>
      <c r="D29">
        <v>3</v>
      </c>
      <c r="F29" t="s">
        <v>9</v>
      </c>
    </row>
    <row r="30" spans="2:6">
      <c r="B30">
        <v>1</v>
      </c>
      <c r="C30">
        <v>1.5</v>
      </c>
      <c r="D30">
        <v>3</v>
      </c>
      <c r="F30" t="s">
        <v>10</v>
      </c>
    </row>
    <row r="33" spans="2:6">
      <c r="B33" s="61" t="s">
        <v>753</v>
      </c>
    </row>
    <row r="34" spans="2:6">
      <c r="B34" s="1"/>
    </row>
    <row r="35" spans="2:6">
      <c r="B35" t="s">
        <v>11</v>
      </c>
      <c r="C35" t="s">
        <v>12</v>
      </c>
      <c r="D35" t="s">
        <v>13</v>
      </c>
      <c r="F35" t="s">
        <v>754</v>
      </c>
    </row>
    <row r="36" spans="2:6" ht="16.8">
      <c r="B36" t="s">
        <v>14</v>
      </c>
      <c r="C36" t="s">
        <v>15</v>
      </c>
      <c r="D36" t="s">
        <v>16</v>
      </c>
      <c r="F36" t="s">
        <v>757</v>
      </c>
    </row>
    <row r="37" spans="2:6">
      <c r="B37" s="13" t="s">
        <v>22</v>
      </c>
      <c r="C37" s="14" t="s">
        <v>22</v>
      </c>
      <c r="F37" t="s">
        <v>756</v>
      </c>
    </row>
    <row r="38" spans="2:6">
      <c r="B38" s="8" t="s">
        <v>17</v>
      </c>
      <c r="C38" s="8"/>
      <c r="D38" s="8"/>
      <c r="F38" t="s">
        <v>755</v>
      </c>
    </row>
    <row r="39" spans="2:6" ht="16.2">
      <c r="B39" s="9" t="s">
        <v>18</v>
      </c>
      <c r="F39" t="s">
        <v>758</v>
      </c>
    </row>
    <row r="40" spans="2:6" ht="28.8">
      <c r="B40" s="10" t="s">
        <v>19</v>
      </c>
      <c r="F40" t="s">
        <v>759</v>
      </c>
    </row>
    <row r="41" spans="2:6" ht="116.4">
      <c r="B41" s="11" t="s">
        <v>20</v>
      </c>
      <c r="C41" s="12" t="s">
        <v>21</v>
      </c>
      <c r="F41" t="s">
        <v>760</v>
      </c>
    </row>
    <row r="44" spans="2:6">
      <c r="B44" s="61" t="s">
        <v>0</v>
      </c>
    </row>
    <row r="45" spans="2:6">
      <c r="B45" s="1"/>
    </row>
    <row r="46" spans="2:6">
      <c r="B46" s="3">
        <v>10000</v>
      </c>
      <c r="C46" s="3">
        <v>-10000</v>
      </c>
      <c r="D46" s="3">
        <v>0</v>
      </c>
      <c r="F46" s="2" t="s">
        <v>1</v>
      </c>
    </row>
    <row r="47" spans="2:6">
      <c r="B47" s="4">
        <v>1</v>
      </c>
      <c r="C47" s="4">
        <v>0</v>
      </c>
      <c r="D47" s="4"/>
      <c r="F47" s="2" t="s">
        <v>2</v>
      </c>
    </row>
    <row r="48" spans="2:6">
      <c r="B48" s="80">
        <v>10000000</v>
      </c>
      <c r="C48" s="80">
        <f>-B48</f>
        <v>-10000000</v>
      </c>
      <c r="D48" s="5"/>
      <c r="F48" s="2" t="s">
        <v>761</v>
      </c>
    </row>
    <row r="49" spans="2:6">
      <c r="B49" s="6">
        <v>0</v>
      </c>
      <c r="F49" s="2" t="s">
        <v>762</v>
      </c>
    </row>
    <row r="50" spans="2:6">
      <c r="B50" s="7">
        <v>45292</v>
      </c>
      <c r="C50" s="81">
        <v>45292</v>
      </c>
      <c r="D50" s="82">
        <v>45292</v>
      </c>
      <c r="F50" t="s">
        <v>763</v>
      </c>
    </row>
    <row r="54" spans="2:6">
      <c r="B54" s="1"/>
    </row>
  </sheetData>
  <conditionalFormatting sqref="B25:C25">
    <cfRule type="cellIs" dxfId="3" priority="6" operator="equal">
      <formula>FALSE</formula>
    </cfRule>
  </conditionalFormatting>
  <conditionalFormatting sqref="B26:C26">
    <cfRule type="containsText" dxfId="2" priority="5" operator="containsText" text="x">
      <formula>NOT(ISERROR(SEARCH("x",B26)))</formula>
    </cfRule>
  </conditionalFormatting>
  <conditionalFormatting sqref="B28:C28">
    <cfRule type="cellIs" dxfId="1" priority="3" operator="lessThan">
      <formula>0</formula>
    </cfRule>
  </conditionalFormatting>
  <conditionalFormatting sqref="B27:D27">
    <cfRule type="duplicateValues" dxfId="0" priority="4"/>
  </conditionalFormatting>
  <conditionalFormatting sqref="B29:D29">
    <cfRule type="colorScale" priority="2">
      <colorScale>
        <cfvo type="min"/>
        <cfvo type="percentile" val="50"/>
        <cfvo type="max"/>
        <color rgb="FFF8696B"/>
        <color rgb="FFFFEB84"/>
        <color rgb="FF63BE7B"/>
      </colorScale>
    </cfRule>
  </conditionalFormatting>
  <conditionalFormatting sqref="B30:D30">
    <cfRule type="dataBar" priority="1">
      <dataBar>
        <cfvo type="min"/>
        <cfvo type="max"/>
        <color rgb="FF638EC6"/>
      </dataBar>
      <extLst>
        <ext xmlns:x14="http://schemas.microsoft.com/office/spreadsheetml/2009/9/main" uri="{B025F937-C7B1-47D3-B67F-A62EFF666E3E}">
          <x14:id>{28AE81F0-5C1C-47CE-95AE-C8A969D110C4}</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28AE81F0-5C1C-47CE-95AE-C8A969D110C4}">
            <x14:dataBar minLength="0" maxLength="100" border="1" negativeBarBorderColorSameAsPositive="0">
              <x14:cfvo type="autoMin"/>
              <x14:cfvo type="autoMax"/>
              <x14:borderColor rgb="FF638EC6"/>
              <x14:negativeFillColor rgb="FFFF0000"/>
              <x14:negativeBorderColor rgb="FFFF0000"/>
              <x14:axisColor rgb="FF000000"/>
            </x14:dataBar>
          </x14:cfRule>
          <xm:sqref>B30:D30</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C865AE-F9F9-4216-BB48-0724CE12E29D}">
  <dimension ref="B2:N134"/>
  <sheetViews>
    <sheetView workbookViewId="0"/>
  </sheetViews>
  <sheetFormatPr defaultRowHeight="14.4"/>
  <cols>
    <col min="2" max="2" width="25.44140625" customWidth="1"/>
  </cols>
  <sheetData>
    <row r="2" spans="2:14">
      <c r="B2" s="61" t="s">
        <v>764</v>
      </c>
      <c r="N2" s="61" t="s">
        <v>689</v>
      </c>
    </row>
    <row r="12" spans="2:14">
      <c r="B12" s="61" t="s">
        <v>765</v>
      </c>
    </row>
    <row r="14" spans="2:14" ht="69" customHeight="1">
      <c r="B14" t="e" vm="4">
        <v>#VALUE!</v>
      </c>
      <c r="C14" s="90" t="s">
        <v>766</v>
      </c>
      <c r="D14" s="90"/>
      <c r="E14" s="90"/>
      <c r="F14" s="90"/>
      <c r="G14" s="90"/>
      <c r="H14" s="90"/>
      <c r="I14" s="90"/>
    </row>
    <row r="19" spans="2:7">
      <c r="B19" s="61" t="s">
        <v>767</v>
      </c>
    </row>
    <row r="22" spans="2:7">
      <c r="G22" s="43" t="s">
        <v>768</v>
      </c>
    </row>
    <row r="23" spans="2:7">
      <c r="G23" s="43" t="s">
        <v>769</v>
      </c>
    </row>
    <row r="25" spans="2:7">
      <c r="G25" t="s">
        <v>770</v>
      </c>
    </row>
    <row r="62" spans="2:2">
      <c r="B62" s="61" t="s">
        <v>771</v>
      </c>
    </row>
    <row r="69" spans="2:3">
      <c r="B69" s="61" t="s">
        <v>772</v>
      </c>
    </row>
    <row r="72" spans="2:3">
      <c r="C72" s="43" t="s">
        <v>773</v>
      </c>
    </row>
    <row r="73" spans="2:3">
      <c r="C73" s="43" t="s">
        <v>774</v>
      </c>
    </row>
    <row r="79" spans="2:3">
      <c r="B79" s="61" t="s">
        <v>775</v>
      </c>
    </row>
    <row r="81" spans="2:2">
      <c r="B81" s="43" t="s">
        <v>776</v>
      </c>
    </row>
    <row r="98" spans="2:11">
      <c r="B98" s="61" t="s">
        <v>777</v>
      </c>
    </row>
    <row r="100" spans="2:11">
      <c r="B100" t="s">
        <v>92</v>
      </c>
      <c r="C100" t="s">
        <v>93</v>
      </c>
      <c r="E100" t="s">
        <v>94</v>
      </c>
      <c r="G100" t="s">
        <v>95</v>
      </c>
      <c r="I100" t="s">
        <v>96</v>
      </c>
      <c r="K100" t="s">
        <v>97</v>
      </c>
    </row>
    <row r="111" spans="2:11">
      <c r="B111" s="61" t="s">
        <v>778</v>
      </c>
    </row>
    <row r="113" spans="2:13">
      <c r="B113" t="s">
        <v>81</v>
      </c>
      <c r="C113" t="s">
        <v>82</v>
      </c>
      <c r="E113" t="s">
        <v>83</v>
      </c>
      <c r="F113" t="s">
        <v>84</v>
      </c>
      <c r="H113" t="s">
        <v>85</v>
      </c>
      <c r="J113" t="s">
        <v>86</v>
      </c>
      <c r="M113" t="s">
        <v>87</v>
      </c>
    </row>
    <row r="120" spans="2:13">
      <c r="B120" s="61" t="s">
        <v>88</v>
      </c>
    </row>
    <row r="122" spans="2:13">
      <c r="B122" t="s">
        <v>89</v>
      </c>
      <c r="C122" t="s">
        <v>82</v>
      </c>
      <c r="E122" t="s">
        <v>90</v>
      </c>
      <c r="G122" t="s">
        <v>91</v>
      </c>
    </row>
    <row r="131" spans="2:12">
      <c r="B131" s="61" t="s">
        <v>98</v>
      </c>
      <c r="E131" s="43" t="s">
        <v>119</v>
      </c>
    </row>
    <row r="134" spans="2:12">
      <c r="C134" t="s">
        <v>99</v>
      </c>
      <c r="E134" t="s">
        <v>100</v>
      </c>
      <c r="G134" t="s">
        <v>101</v>
      </c>
      <c r="I134" t="s">
        <v>102</v>
      </c>
      <c r="L134" t="s">
        <v>103</v>
      </c>
    </row>
  </sheetData>
  <mergeCells count="1">
    <mergeCell ref="C14:I14"/>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B6A4B-A95D-4B2A-BA61-8279B83E3D2B}">
  <sheetPr codeName="Sheet3"/>
  <dimension ref="A1:AN496"/>
  <sheetViews>
    <sheetView zoomScaleNormal="100" workbookViewId="0"/>
  </sheetViews>
  <sheetFormatPr defaultRowHeight="14.4"/>
  <cols>
    <col min="1" max="1" width="10.21875" bestFit="1" customWidth="1"/>
    <col min="2" max="2" width="10.21875" customWidth="1"/>
    <col min="4" max="4" width="10.21875" bestFit="1" customWidth="1"/>
    <col min="17" max="17" width="9.5546875" customWidth="1"/>
  </cols>
  <sheetData>
    <row r="1" spans="1:31" ht="15.6">
      <c r="H1" s="83"/>
    </row>
    <row r="2" spans="1:31" ht="15.6">
      <c r="H2" s="84" t="s">
        <v>779</v>
      </c>
      <c r="AE2" s="61" t="s">
        <v>689</v>
      </c>
    </row>
    <row r="5" spans="1:31">
      <c r="A5" t="s">
        <v>34</v>
      </c>
      <c r="B5" t="s">
        <v>30</v>
      </c>
      <c r="C5" t="s">
        <v>31</v>
      </c>
      <c r="D5" t="s">
        <v>32</v>
      </c>
      <c r="E5" t="s">
        <v>33</v>
      </c>
    </row>
    <row r="6" spans="1:31">
      <c r="A6" s="24">
        <v>1</v>
      </c>
      <c r="B6" s="23">
        <v>2</v>
      </c>
      <c r="C6" s="23">
        <v>1.8109214372981315</v>
      </c>
      <c r="D6" s="23">
        <v>3.8142053619659535</v>
      </c>
      <c r="E6" s="23">
        <v>1.0535863885888921</v>
      </c>
    </row>
    <row r="7" spans="1:31">
      <c r="A7" s="24">
        <v>2</v>
      </c>
      <c r="B7" s="23">
        <v>-1</v>
      </c>
      <c r="C7" s="23">
        <v>2.5905737989007691</v>
      </c>
      <c r="D7" s="23">
        <v>7.8693798891939446</v>
      </c>
      <c r="E7" s="23">
        <v>-1.0937479096589318</v>
      </c>
    </row>
    <row r="8" spans="1:31">
      <c r="A8" s="24">
        <v>3</v>
      </c>
      <c r="B8" s="23">
        <v>4</v>
      </c>
      <c r="C8" s="23">
        <v>1.8142262935476663</v>
      </c>
      <c r="D8" s="23">
        <v>2.092017049945547</v>
      </c>
      <c r="E8" s="23">
        <v>21.436142209616996</v>
      </c>
    </row>
    <row r="9" spans="1:31">
      <c r="A9" s="24">
        <v>4</v>
      </c>
      <c r="B9" s="23">
        <v>-1</v>
      </c>
      <c r="C9" s="23">
        <v>1.9550141650678929</v>
      </c>
      <c r="D9" s="23">
        <v>8.3200751839804798</v>
      </c>
      <c r="E9" s="23">
        <v>-0.81114673752533961</v>
      </c>
    </row>
    <row r="10" spans="1:31">
      <c r="A10" s="24">
        <v>5</v>
      </c>
      <c r="B10" s="23">
        <v>4</v>
      </c>
      <c r="C10" s="23">
        <v>2.8363339306848254</v>
      </c>
      <c r="D10" s="23">
        <v>6.211213271338865</v>
      </c>
      <c r="E10" s="23">
        <v>1.7427168115770999</v>
      </c>
    </row>
    <row r="11" spans="1:31">
      <c r="A11" s="24">
        <v>6</v>
      </c>
      <c r="B11" s="23">
        <v>5</v>
      </c>
      <c r="C11" s="23">
        <v>2.1596363152368427</v>
      </c>
      <c r="D11" s="23">
        <v>0.89690823635206085</v>
      </c>
      <c r="E11" s="23">
        <v>9.7998375208759789</v>
      </c>
    </row>
    <row r="12" spans="1:31">
      <c r="A12" s="24">
        <v>7</v>
      </c>
      <c r="B12" s="23">
        <v>5</v>
      </c>
      <c r="C12" s="23">
        <v>1.9599325373471794</v>
      </c>
      <c r="D12" s="23">
        <v>3.5676022907838592</v>
      </c>
      <c r="E12" s="23">
        <v>2.6383475194258241</v>
      </c>
    </row>
    <row r="13" spans="1:31">
      <c r="A13" s="24">
        <v>8</v>
      </c>
      <c r="B13" s="23">
        <v>2</v>
      </c>
      <c r="C13" s="23">
        <v>1.875014876681754</v>
      </c>
      <c r="D13" s="23">
        <v>0.15475364784804269</v>
      </c>
      <c r="E13" s="23">
        <v>1.9667171440659352</v>
      </c>
    </row>
    <row r="14" spans="1:31">
      <c r="A14" s="24">
        <v>9</v>
      </c>
      <c r="B14" s="23">
        <v>-2</v>
      </c>
      <c r="C14" s="23">
        <v>1.7917186200425816</v>
      </c>
      <c r="D14" s="23">
        <v>0.84632906110049366</v>
      </c>
      <c r="E14" s="23">
        <v>-1.6572157673278893</v>
      </c>
    </row>
    <row r="15" spans="1:31">
      <c r="A15" s="24">
        <v>10</v>
      </c>
      <c r="B15" s="23">
        <v>-1</v>
      </c>
      <c r="C15" s="23">
        <v>0.44552623141760328</v>
      </c>
      <c r="D15" s="23">
        <v>3.8123899189198651</v>
      </c>
      <c r="E15" s="23">
        <v>-1.0721601939677019</v>
      </c>
    </row>
    <row r="16" spans="1:31">
      <c r="A16" s="24">
        <v>11</v>
      </c>
      <c r="B16" s="23">
        <v>-2</v>
      </c>
      <c r="C16" s="23">
        <v>2.8153261591835714</v>
      </c>
      <c r="D16" s="23">
        <v>1.4016699417898049</v>
      </c>
      <c r="E16" s="23">
        <v>-1.3667979593696533</v>
      </c>
    </row>
    <row r="17" spans="1:5">
      <c r="A17" s="24">
        <v>12</v>
      </c>
      <c r="B17" s="23">
        <v>1</v>
      </c>
      <c r="C17" s="23">
        <v>1.4053785810924828</v>
      </c>
      <c r="D17" s="23">
        <v>5.912547565525359</v>
      </c>
      <c r="E17" s="23">
        <v>3.7543815003844063</v>
      </c>
    </row>
    <row r="18" spans="1:5">
      <c r="A18" s="24">
        <v>13</v>
      </c>
      <c r="B18" s="23">
        <v>0</v>
      </c>
      <c r="C18" s="23">
        <v>2.5741667309607252</v>
      </c>
      <c r="D18" s="23">
        <v>4.6358807386385816</v>
      </c>
      <c r="E18" s="23">
        <v>0</v>
      </c>
    </row>
    <row r="19" spans="1:5">
      <c r="A19" s="24">
        <v>14</v>
      </c>
      <c r="B19" s="23">
        <v>-3</v>
      </c>
      <c r="C19" s="23">
        <v>2.5622602011899778</v>
      </c>
      <c r="D19" s="23">
        <v>6.714489127724371</v>
      </c>
      <c r="E19" s="23">
        <v>-7.0581234960348986</v>
      </c>
    </row>
    <row r="20" spans="1:5">
      <c r="A20" s="24">
        <v>15</v>
      </c>
      <c r="B20" s="23">
        <v>-2</v>
      </c>
      <c r="C20" s="23">
        <v>2.7485502859952482</v>
      </c>
      <c r="D20" s="23">
        <v>5.3358632489228484</v>
      </c>
      <c r="E20" s="23">
        <v>-2.382027490382121</v>
      </c>
    </row>
    <row r="21" spans="1:5">
      <c r="A21" s="24">
        <v>16</v>
      </c>
      <c r="B21" s="23">
        <v>4</v>
      </c>
      <c r="C21" s="23">
        <v>9.3779590993076201E-2</v>
      </c>
      <c r="D21" s="23">
        <v>6.7742326635337236</v>
      </c>
      <c r="E21" s="23">
        <v>8.9091714761648007</v>
      </c>
    </row>
    <row r="22" spans="1:5">
      <c r="A22" s="24">
        <v>17</v>
      </c>
      <c r="B22" s="23">
        <v>0</v>
      </c>
      <c r="C22" s="23">
        <v>2.9788967610697545</v>
      </c>
      <c r="D22" s="23">
        <v>7.4212839803512924</v>
      </c>
      <c r="E22" s="23">
        <v>0</v>
      </c>
    </row>
    <row r="23" spans="1:5">
      <c r="A23" s="24">
        <v>18</v>
      </c>
      <c r="B23" s="23">
        <v>-1</v>
      </c>
      <c r="C23" s="23">
        <v>2.9496437594343314</v>
      </c>
      <c r="D23" s="23">
        <v>2.5024349903241392</v>
      </c>
      <c r="E23" s="23">
        <v>-0.56835412136087005</v>
      </c>
    </row>
    <row r="24" spans="1:5">
      <c r="A24" s="24">
        <v>19</v>
      </c>
      <c r="B24" s="23">
        <v>-4</v>
      </c>
      <c r="C24" s="23">
        <v>4.2043461718417219E-2</v>
      </c>
      <c r="D24" s="23">
        <v>4.9238457073952988</v>
      </c>
      <c r="E24" s="23">
        <v>-2.8761874412424495</v>
      </c>
    </row>
    <row r="25" spans="1:5">
      <c r="A25" s="24">
        <v>20</v>
      </c>
      <c r="B25" s="23">
        <v>0</v>
      </c>
      <c r="C25" s="23">
        <v>2.8917730838956124</v>
      </c>
      <c r="D25" s="23">
        <v>2.4795234894810392</v>
      </c>
      <c r="E25" s="23">
        <v>0</v>
      </c>
    </row>
    <row r="26" spans="1:5">
      <c r="A26" s="24">
        <v>21</v>
      </c>
      <c r="B26" s="23">
        <v>-2</v>
      </c>
      <c r="C26" s="23">
        <v>1.9999379201029699</v>
      </c>
      <c r="D26" s="23">
        <v>0.88527709558692602</v>
      </c>
      <c r="E26" s="23">
        <v>-1.0641587757944062</v>
      </c>
    </row>
    <row r="27" spans="1:5">
      <c r="A27" s="24">
        <v>22</v>
      </c>
      <c r="B27" s="23">
        <v>-2</v>
      </c>
      <c r="C27" s="23">
        <v>0.84491926684303353</v>
      </c>
      <c r="D27" s="23">
        <v>3.4355207351112602</v>
      </c>
      <c r="E27" s="23">
        <v>-1.4771883087268423</v>
      </c>
    </row>
    <row r="28" spans="1:5">
      <c r="A28" s="24">
        <v>23</v>
      </c>
      <c r="B28" s="23">
        <v>5</v>
      </c>
      <c r="C28" s="23">
        <v>1.9883541494724741</v>
      </c>
      <c r="D28" s="23">
        <v>5.4516765151590931</v>
      </c>
      <c r="E28" s="23">
        <v>4.8113779209706999</v>
      </c>
    </row>
    <row r="29" spans="1:5">
      <c r="A29" s="24">
        <v>24</v>
      </c>
      <c r="B29" s="23">
        <v>2</v>
      </c>
      <c r="C29" s="23">
        <v>2.0982753709135715</v>
      </c>
      <c r="D29" s="23">
        <v>4.1786254072598457</v>
      </c>
      <c r="E29" s="23">
        <v>2.297296339337628</v>
      </c>
    </row>
    <row r="30" spans="1:5">
      <c r="A30" s="24">
        <v>25</v>
      </c>
      <c r="B30" s="23">
        <v>2</v>
      </c>
      <c r="C30" s="23">
        <v>0.11478237085731069</v>
      </c>
      <c r="D30" s="23">
        <v>3.3850317199417468</v>
      </c>
      <c r="E30" s="23">
        <v>1.2602684623351494</v>
      </c>
    </row>
    <row r="31" spans="1:5">
      <c r="A31" s="24">
        <v>26</v>
      </c>
      <c r="B31" s="23">
        <v>1</v>
      </c>
      <c r="C31" s="23">
        <v>0.39021720267095206</v>
      </c>
      <c r="D31" s="23">
        <v>9.0600681993983994</v>
      </c>
      <c r="E31" s="23">
        <v>1.0110366391300989</v>
      </c>
    </row>
    <row r="32" spans="1:5">
      <c r="A32" s="24">
        <v>27</v>
      </c>
      <c r="B32" s="23">
        <v>-2</v>
      </c>
      <c r="C32" s="23">
        <v>2.7287134654179281</v>
      </c>
      <c r="D32" s="23">
        <v>3.4948126228094898</v>
      </c>
      <c r="E32" s="23">
        <v>-5.8299167359071875</v>
      </c>
    </row>
    <row r="33" spans="1:31">
      <c r="A33" s="24">
        <v>28</v>
      </c>
      <c r="B33" s="23">
        <v>3</v>
      </c>
      <c r="C33" s="23">
        <v>0.63618417138910355</v>
      </c>
      <c r="D33" s="23">
        <v>2.7074059326877356</v>
      </c>
      <c r="E33" s="23">
        <v>8.6896473619859993</v>
      </c>
    </row>
    <row r="34" spans="1:31">
      <c r="A34" s="24">
        <v>29</v>
      </c>
      <c r="B34" s="23">
        <v>2</v>
      </c>
      <c r="C34" s="23">
        <v>2.2069290019763321</v>
      </c>
      <c r="D34" s="23">
        <v>5.1237431334005894</v>
      </c>
      <c r="E34" s="23">
        <v>3.3840281939889536</v>
      </c>
    </row>
    <row r="35" spans="1:31">
      <c r="A35" s="24">
        <v>30</v>
      </c>
      <c r="B35" s="23">
        <v>-5</v>
      </c>
      <c r="C35" s="23">
        <v>0.50173815733843996</v>
      </c>
      <c r="D35" s="23">
        <v>3.7592166746530098</v>
      </c>
      <c r="E35" s="23">
        <v>-3.1115125260320426</v>
      </c>
    </row>
    <row r="36" spans="1:31">
      <c r="A36" s="24">
        <v>31</v>
      </c>
      <c r="B36" s="23">
        <v>0</v>
      </c>
      <c r="C36" s="23">
        <v>1.9618935058689135</v>
      </c>
      <c r="D36" s="23">
        <v>9.4280057220096154</v>
      </c>
      <c r="E36" s="23">
        <v>0</v>
      </c>
    </row>
    <row r="37" spans="1:31" ht="15.6">
      <c r="A37" s="24">
        <v>32</v>
      </c>
      <c r="B37" s="23">
        <v>5</v>
      </c>
      <c r="C37" s="23">
        <v>0.27848121516603996</v>
      </c>
      <c r="D37" s="23">
        <v>2.5282354608785393</v>
      </c>
      <c r="E37" s="23">
        <v>2.5432131685481982</v>
      </c>
      <c r="H37" s="84" t="s">
        <v>780</v>
      </c>
    </row>
    <row r="38" spans="1:31">
      <c r="A38" s="24">
        <v>33</v>
      </c>
      <c r="B38" s="23">
        <v>-5</v>
      </c>
      <c r="C38" s="23">
        <v>2.0345714347173249</v>
      </c>
      <c r="D38" s="23">
        <v>0.4332367863427744</v>
      </c>
      <c r="E38" s="23">
        <v>-2.533567579017987</v>
      </c>
    </row>
    <row r="39" spans="1:31">
      <c r="A39" s="24">
        <v>34</v>
      </c>
      <c r="B39" s="23">
        <v>-2</v>
      </c>
      <c r="C39" s="23">
        <v>0.32276640359913511</v>
      </c>
      <c r="D39" s="23">
        <v>5.3763937328217626</v>
      </c>
      <c r="E39" s="23">
        <v>-2.9546624453981676</v>
      </c>
      <c r="AE39" s="61" t="s">
        <v>689</v>
      </c>
    </row>
    <row r="40" spans="1:31">
      <c r="A40" s="24">
        <v>35</v>
      </c>
      <c r="B40" s="23">
        <v>-5</v>
      </c>
      <c r="C40" s="23">
        <v>1.0553036448004516</v>
      </c>
      <c r="D40" s="23">
        <v>8.4434090802367123</v>
      </c>
      <c r="E40" s="23">
        <v>-0.91017341412450004</v>
      </c>
    </row>
    <row r="41" spans="1:31">
      <c r="A41" s="24">
        <v>36</v>
      </c>
      <c r="B41" s="23">
        <v>3</v>
      </c>
      <c r="C41" s="23">
        <v>1.0415518072153302</v>
      </c>
      <c r="D41" s="23">
        <v>8.3935336833090748</v>
      </c>
      <c r="E41" s="23">
        <v>3.0839267191792028</v>
      </c>
    </row>
    <row r="42" spans="1:31">
      <c r="A42" s="24">
        <v>37</v>
      </c>
      <c r="B42" s="23">
        <v>4</v>
      </c>
      <c r="C42" s="23">
        <v>0.73324271528591056</v>
      </c>
      <c r="D42" s="23">
        <v>1.6434409096585889</v>
      </c>
      <c r="E42" s="23">
        <v>2.143960764507022</v>
      </c>
    </row>
    <row r="43" spans="1:31">
      <c r="A43" s="24">
        <v>38</v>
      </c>
      <c r="B43" s="23">
        <v>3</v>
      </c>
      <c r="C43" s="23">
        <v>0.72673451456429117</v>
      </c>
      <c r="D43" s="23">
        <v>0.47272517020168436</v>
      </c>
      <c r="E43" s="23">
        <v>2.6838478218474151</v>
      </c>
    </row>
    <row r="44" spans="1:31">
      <c r="A44" s="24">
        <v>39</v>
      </c>
      <c r="B44" s="23">
        <v>0</v>
      </c>
      <c r="C44" s="23">
        <v>2.5846117410114227</v>
      </c>
      <c r="D44" s="23">
        <v>1.6735700189346414</v>
      </c>
      <c r="E44" s="23">
        <v>0</v>
      </c>
    </row>
    <row r="45" spans="1:31">
      <c r="A45" s="24">
        <v>40</v>
      </c>
      <c r="B45" s="23">
        <v>-4</v>
      </c>
      <c r="C45" s="23">
        <v>0.3676493154073206</v>
      </c>
      <c r="D45" s="23">
        <v>4.8538296270728907</v>
      </c>
      <c r="E45" s="23">
        <v>-7.9571479379693519</v>
      </c>
    </row>
    <row r="46" spans="1:31">
      <c r="A46" s="24">
        <v>41</v>
      </c>
      <c r="B46" s="23">
        <v>5</v>
      </c>
      <c r="C46" s="23">
        <v>1.3885648278661464</v>
      </c>
      <c r="D46" s="23">
        <v>4.6698327346125108</v>
      </c>
      <c r="E46" s="23">
        <v>4.6465086136534381</v>
      </c>
    </row>
    <row r="47" spans="1:31">
      <c r="A47" s="24">
        <v>42</v>
      </c>
      <c r="B47" s="23">
        <v>-4</v>
      </c>
      <c r="C47" s="23">
        <v>1.1818591336976039</v>
      </c>
      <c r="D47" s="23">
        <v>8.2441451067236198</v>
      </c>
      <c r="E47" s="23">
        <v>-3.0194676687115347</v>
      </c>
    </row>
    <row r="48" spans="1:31">
      <c r="A48" s="24">
        <v>43</v>
      </c>
      <c r="B48" s="23">
        <v>4</v>
      </c>
      <c r="C48" s="23">
        <v>0.18444621686123341</v>
      </c>
      <c r="D48" s="23">
        <v>4.5020291525664913</v>
      </c>
      <c r="E48" s="23">
        <v>2.2154595164630355</v>
      </c>
    </row>
    <row r="49" spans="1:5">
      <c r="A49" s="24">
        <v>44</v>
      </c>
      <c r="B49" s="23">
        <v>1</v>
      </c>
      <c r="C49" s="23">
        <v>0.43911508427168433</v>
      </c>
      <c r="D49" s="23">
        <v>6.6451210924288446</v>
      </c>
      <c r="E49" s="23">
        <v>0.60138159504017319</v>
      </c>
    </row>
    <row r="51" spans="1:5">
      <c r="A51" t="s">
        <v>43</v>
      </c>
      <c r="B51" t="s">
        <v>44</v>
      </c>
      <c r="C51" t="s">
        <v>42</v>
      </c>
      <c r="E51" s="23"/>
    </row>
    <row r="52" spans="1:5">
      <c r="A52" t="s">
        <v>35</v>
      </c>
      <c r="C52">
        <v>0.14049842841018301</v>
      </c>
    </row>
    <row r="53" spans="1:5">
      <c r="A53" t="s">
        <v>36</v>
      </c>
      <c r="B53" t="s">
        <v>37</v>
      </c>
      <c r="C53">
        <v>4.2689393329451431E-3</v>
      </c>
    </row>
    <row r="54" spans="1:5">
      <c r="B54" t="s">
        <v>38</v>
      </c>
      <c r="C54">
        <v>0.15705102818135441</v>
      </c>
    </row>
    <row r="55" spans="1:5">
      <c r="B55" t="s">
        <v>39</v>
      </c>
      <c r="C55">
        <v>0.12914054571187988</v>
      </c>
    </row>
    <row r="56" spans="1:5">
      <c r="B56" t="s">
        <v>40</v>
      </c>
      <c r="C56">
        <v>0.24139316504125236</v>
      </c>
    </row>
    <row r="57" spans="1:5">
      <c r="A57" t="s">
        <v>41</v>
      </c>
      <c r="C57">
        <v>0.6910485842036016</v>
      </c>
    </row>
    <row r="60" spans="1:5">
      <c r="A60" t="s">
        <v>45</v>
      </c>
      <c r="B60" s="25">
        <v>0.1</v>
      </c>
    </row>
    <row r="61" spans="1:5">
      <c r="A61" t="s">
        <v>46</v>
      </c>
      <c r="B61" s="25">
        <v>0.2</v>
      </c>
    </row>
    <row r="62" spans="1:5">
      <c r="A62" t="s">
        <v>47</v>
      </c>
      <c r="B62" s="25">
        <v>0.25</v>
      </c>
    </row>
    <row r="63" spans="1:5">
      <c r="A63" t="s">
        <v>48</v>
      </c>
      <c r="B63" s="25">
        <v>0.125</v>
      </c>
    </row>
    <row r="64" spans="1:5">
      <c r="A64" t="s">
        <v>49</v>
      </c>
      <c r="B64" s="25">
        <v>0.25</v>
      </c>
    </row>
    <row r="65" spans="1:31">
      <c r="A65" t="s">
        <v>50</v>
      </c>
      <c r="B65" s="25">
        <f>1-SUM(B60:B64)</f>
        <v>7.4999999999999956E-2</v>
      </c>
    </row>
    <row r="72" spans="1:31">
      <c r="H72" s="61" t="s">
        <v>781</v>
      </c>
      <c r="AE72" s="61" t="s">
        <v>689</v>
      </c>
    </row>
    <row r="91" spans="8:8">
      <c r="H91" s="61" t="s">
        <v>782</v>
      </c>
    </row>
    <row r="108" spans="8:16">
      <c r="H108" s="61" t="s">
        <v>783</v>
      </c>
    </row>
    <row r="111" spans="8:16">
      <c r="P111" s="43" t="s">
        <v>784</v>
      </c>
    </row>
    <row r="126" spans="8:8">
      <c r="H126" s="61" t="s">
        <v>785</v>
      </c>
    </row>
    <row r="144" spans="8:8">
      <c r="H144" s="61" t="s">
        <v>786</v>
      </c>
    </row>
    <row r="162" spans="8:8">
      <c r="H162" s="61" t="s">
        <v>787</v>
      </c>
    </row>
    <row r="181" spans="8:8">
      <c r="H181" s="61" t="s">
        <v>788</v>
      </c>
    </row>
    <row r="182" spans="8:8">
      <c r="H182" s="61"/>
    </row>
    <row r="183" spans="8:8">
      <c r="H183" s="61"/>
    </row>
    <row r="184" spans="8:8">
      <c r="H184" s="61"/>
    </row>
    <row r="185" spans="8:8">
      <c r="H185" s="61"/>
    </row>
    <row r="186" spans="8:8">
      <c r="H186" s="61"/>
    </row>
    <row r="187" spans="8:8">
      <c r="H187" s="61"/>
    </row>
    <row r="188" spans="8:8">
      <c r="H188" s="61"/>
    </row>
    <row r="189" spans="8:8">
      <c r="H189" s="61"/>
    </row>
    <row r="190" spans="8:8">
      <c r="H190" s="61"/>
    </row>
    <row r="191" spans="8:8">
      <c r="H191" s="61"/>
    </row>
    <row r="192" spans="8:8">
      <c r="H192" s="61"/>
    </row>
    <row r="193" spans="8:8">
      <c r="H193" s="61"/>
    </row>
    <row r="194" spans="8:8">
      <c r="H194" s="61"/>
    </row>
    <row r="195" spans="8:8">
      <c r="H195" s="61"/>
    </row>
    <row r="196" spans="8:8">
      <c r="H196" s="61"/>
    </row>
    <row r="197" spans="8:8">
      <c r="H197" s="61"/>
    </row>
    <row r="198" spans="8:8">
      <c r="H198" s="61"/>
    </row>
    <row r="199" spans="8:8">
      <c r="H199" s="61"/>
    </row>
    <row r="200" spans="8:8">
      <c r="H200" s="61"/>
    </row>
    <row r="201" spans="8:8">
      <c r="H201" s="61"/>
    </row>
    <row r="202" spans="8:8">
      <c r="H202" s="61"/>
    </row>
    <row r="203" spans="8:8">
      <c r="H203" s="61"/>
    </row>
    <row r="204" spans="8:8">
      <c r="H204" s="61"/>
    </row>
    <row r="205" spans="8:8">
      <c r="H205" s="61"/>
    </row>
    <row r="206" spans="8:8">
      <c r="H206" s="61"/>
    </row>
    <row r="207" spans="8:8">
      <c r="H207" s="61"/>
    </row>
    <row r="208" spans="8:8">
      <c r="H208" s="61"/>
    </row>
    <row r="209" spans="1:8">
      <c r="H209" s="61"/>
    </row>
    <row r="210" spans="1:8">
      <c r="H210" s="61"/>
    </row>
    <row r="211" spans="1:8">
      <c r="H211" s="61"/>
    </row>
    <row r="212" spans="1:8">
      <c r="H212" s="61"/>
    </row>
    <row r="213" spans="1:8">
      <c r="H213" s="61"/>
    </row>
    <row r="214" spans="1:8">
      <c r="H214" s="61"/>
    </row>
    <row r="215" spans="1:8">
      <c r="H215" s="61" t="s">
        <v>789</v>
      </c>
    </row>
    <row r="219" spans="1:8">
      <c r="A219" t="s">
        <v>66</v>
      </c>
      <c r="B219" s="25">
        <v>0.1</v>
      </c>
    </row>
    <row r="220" spans="1:8">
      <c r="A220" t="s">
        <v>67</v>
      </c>
      <c r="B220" s="25">
        <v>0.05</v>
      </c>
    </row>
    <row r="221" spans="1:8">
      <c r="A221" t="s">
        <v>68</v>
      </c>
      <c r="B221" s="25">
        <v>0.06</v>
      </c>
    </row>
    <row r="224" spans="1:8">
      <c r="A224" t="s">
        <v>73</v>
      </c>
      <c r="B224" s="25">
        <v>0.15</v>
      </c>
    </row>
    <row r="225" spans="1:2">
      <c r="A225" t="s">
        <v>74</v>
      </c>
      <c r="B225" s="25">
        <v>0.25</v>
      </c>
    </row>
    <row r="226" spans="1:2">
      <c r="A226" t="s">
        <v>75</v>
      </c>
      <c r="B226" s="25">
        <v>0.03</v>
      </c>
    </row>
    <row r="227" spans="1:2">
      <c r="A227" t="s">
        <v>76</v>
      </c>
      <c r="B227" s="25">
        <v>0.05</v>
      </c>
    </row>
    <row r="230" spans="1:2">
      <c r="A230" t="s">
        <v>77</v>
      </c>
      <c r="B230" s="25">
        <v>-0.05</v>
      </c>
    </row>
    <row r="231" spans="1:2">
      <c r="A231" t="s">
        <v>78</v>
      </c>
      <c r="B231" s="25">
        <v>0.01</v>
      </c>
    </row>
    <row r="232" spans="1:2">
      <c r="A232" t="s">
        <v>79</v>
      </c>
      <c r="B232" s="31">
        <v>5.5E-2</v>
      </c>
    </row>
    <row r="233" spans="1:2">
      <c r="A233" t="s">
        <v>80</v>
      </c>
      <c r="B233" s="31">
        <v>-2.75E-2</v>
      </c>
    </row>
    <row r="235" spans="1:2">
      <c r="B235" s="25"/>
    </row>
    <row r="236" spans="1:2">
      <c r="B236" s="25"/>
    </row>
    <row r="237" spans="1:2">
      <c r="B237" s="31"/>
    </row>
    <row r="238" spans="1:2">
      <c r="B238" s="31"/>
    </row>
    <row r="248" spans="8:15">
      <c r="H248" s="61"/>
    </row>
    <row r="249" spans="8:15">
      <c r="H249" s="61" t="s">
        <v>69</v>
      </c>
    </row>
    <row r="250" spans="8:15">
      <c r="H250" s="61"/>
    </row>
    <row r="252" spans="8:15">
      <c r="N252" s="1" t="s">
        <v>69</v>
      </c>
    </row>
    <row r="253" spans="8:15">
      <c r="H253">
        <v>0.45252748240316465</v>
      </c>
      <c r="I253">
        <v>0.54586820320948504</v>
      </c>
      <c r="J253">
        <v>0.50164395042865584</v>
      </c>
      <c r="K253">
        <v>0.87886473165817347</v>
      </c>
      <c r="L253">
        <v>0.32760326213223245</v>
      </c>
      <c r="M253">
        <v>0.75385310468688171</v>
      </c>
      <c r="O253" t="s">
        <v>70</v>
      </c>
    </row>
    <row r="254" spans="8:15">
      <c r="H254">
        <v>0.49940905086443088</v>
      </c>
      <c r="I254">
        <v>0.93473970809507712</v>
      </c>
      <c r="J254">
        <v>0.52724774108913808</v>
      </c>
      <c r="K254">
        <v>3.5794551153561005E-2</v>
      </c>
      <c r="L254">
        <v>0.45441756956039248</v>
      </c>
      <c r="M254">
        <v>0.96952130906634915</v>
      </c>
      <c r="O254" t="s">
        <v>71</v>
      </c>
    </row>
    <row r="255" spans="8:15">
      <c r="H255" s="30">
        <v>0.28860000000000002</v>
      </c>
      <c r="I255" s="30">
        <v>0.3226</v>
      </c>
      <c r="J255" s="30">
        <v>0.26379999999999998</v>
      </c>
      <c r="K255" s="30">
        <v>-0.92069999999999996</v>
      </c>
      <c r="L255" s="30">
        <v>-0.43880000000000002</v>
      </c>
      <c r="M255" s="30">
        <v>0.79159999999999997</v>
      </c>
      <c r="O255" t="s">
        <v>72</v>
      </c>
    </row>
    <row r="258" spans="8:8">
      <c r="H258" s="61" t="s">
        <v>790</v>
      </c>
    </row>
    <row r="265" spans="8:8">
      <c r="H265" s="61"/>
    </row>
    <row r="266" spans="8:8">
      <c r="H266" s="61"/>
    </row>
    <row r="267" spans="8:8">
      <c r="H267" s="61"/>
    </row>
    <row r="268" spans="8:8">
      <c r="H268" s="61"/>
    </row>
    <row r="269" spans="8:8">
      <c r="H269" s="61"/>
    </row>
    <row r="270" spans="8:8">
      <c r="H270" s="61"/>
    </row>
    <row r="271" spans="8:8">
      <c r="H271" s="61"/>
    </row>
    <row r="276" spans="8:8">
      <c r="H276" s="61" t="s">
        <v>791</v>
      </c>
    </row>
    <row r="283" spans="8:8">
      <c r="H283" s="61"/>
    </row>
    <row r="284" spans="8:8">
      <c r="H284" s="61"/>
    </row>
    <row r="285" spans="8:8">
      <c r="H285" s="61"/>
    </row>
    <row r="286" spans="8:8">
      <c r="H286" s="61"/>
    </row>
    <row r="287" spans="8:8">
      <c r="H287" s="61"/>
    </row>
    <row r="288" spans="8:8">
      <c r="H288" s="61"/>
    </row>
    <row r="289" spans="8:8">
      <c r="H289" s="61"/>
    </row>
    <row r="294" spans="8:8">
      <c r="H294" s="61" t="s">
        <v>792</v>
      </c>
    </row>
    <row r="310" spans="8:8">
      <c r="H310" s="61" t="s">
        <v>793</v>
      </c>
    </row>
    <row r="329" spans="8:16">
      <c r="H329" s="61" t="s">
        <v>794</v>
      </c>
    </row>
    <row r="330" spans="8:16">
      <c r="P330" s="43" t="s">
        <v>795</v>
      </c>
    </row>
    <row r="348" spans="8:32">
      <c r="H348" s="61" t="s">
        <v>796</v>
      </c>
      <c r="AF348" s="61" t="s">
        <v>689</v>
      </c>
    </row>
    <row r="366" spans="8:16">
      <c r="H366" s="61" t="s">
        <v>797</v>
      </c>
    </row>
    <row r="368" spans="8:16">
      <c r="P368" s="43" t="s">
        <v>798</v>
      </c>
    </row>
    <row r="385" spans="8:8">
      <c r="H385" s="61" t="s">
        <v>799</v>
      </c>
    </row>
    <row r="402" spans="1:20">
      <c r="B402" s="87" t="s">
        <v>803</v>
      </c>
    </row>
    <row r="403" spans="1:20">
      <c r="A403" t="s">
        <v>23</v>
      </c>
      <c r="B403" s="87" t="s">
        <v>51</v>
      </c>
      <c r="C403" s="87" t="s">
        <v>52</v>
      </c>
      <c r="H403" s="61" t="s">
        <v>800</v>
      </c>
    </row>
    <row r="404" spans="1:20">
      <c r="A404" s="21">
        <v>45292</v>
      </c>
      <c r="B404" s="23">
        <v>4.6358807386385816</v>
      </c>
    </row>
    <row r="405" spans="1:20">
      <c r="A405" s="21">
        <f>A404+1</f>
        <v>45293</v>
      </c>
      <c r="B405" s="23">
        <v>6.714489127724371</v>
      </c>
      <c r="C405" s="26">
        <f>B405/B404-1</f>
        <v>0.44837399973671754</v>
      </c>
      <c r="P405" s="1" t="s">
        <v>54</v>
      </c>
      <c r="Q405" s="1"/>
      <c r="S405" s="29" t="s">
        <v>62</v>
      </c>
    </row>
    <row r="406" spans="1:20">
      <c r="A406" s="21">
        <f t="shared" ref="A406:A409" si="0">A405+1</f>
        <v>45294</v>
      </c>
      <c r="B406" s="23">
        <v>5.3358632489228484</v>
      </c>
      <c r="C406" s="26">
        <f t="shared" ref="C406:C419" si="1">B406/B405-1</f>
        <v>-0.20532103821705894</v>
      </c>
      <c r="P406" s="1" t="s">
        <v>55</v>
      </c>
      <c r="Q406" s="85">
        <v>45295</v>
      </c>
      <c r="S406">
        <f>COUNTIF($A$404:$A$419,"&lt;"&amp;$Q$406)</f>
        <v>3</v>
      </c>
    </row>
    <row r="407" spans="1:20">
      <c r="A407" s="21">
        <f t="shared" si="0"/>
        <v>45295</v>
      </c>
      <c r="B407" s="23">
        <v>6.7742326635337236</v>
      </c>
      <c r="C407" s="26">
        <f t="shared" si="1"/>
        <v>0.26956639394782833</v>
      </c>
      <c r="P407" s="1" t="s">
        <v>56</v>
      </c>
      <c r="Q407" s="85">
        <v>45303</v>
      </c>
      <c r="S407">
        <f>COUNTIF($A$404:$A$419,"&gt;"&amp;$Q$407)</f>
        <v>4</v>
      </c>
    </row>
    <row r="408" spans="1:20">
      <c r="A408" s="21">
        <f t="shared" si="0"/>
        <v>45296</v>
      </c>
      <c r="B408" s="23">
        <v>7.4212839803512924</v>
      </c>
      <c r="C408" s="26">
        <f t="shared" si="1"/>
        <v>9.5516547623275772E-2</v>
      </c>
      <c r="Q408" s="27"/>
      <c r="S408">
        <f>COUNT($A$404:$A$419)-S406-S407</f>
        <v>9</v>
      </c>
      <c r="T408" t="s">
        <v>59</v>
      </c>
    </row>
    <row r="409" spans="1:20">
      <c r="A409" s="21">
        <f t="shared" si="0"/>
        <v>45297</v>
      </c>
      <c r="B409" s="23">
        <v>2.5024349903241392</v>
      </c>
      <c r="C409" s="26">
        <f t="shared" si="1"/>
        <v>-0.66280296011449968</v>
      </c>
      <c r="P409" s="1" t="s">
        <v>63</v>
      </c>
    </row>
    <row r="410" spans="1:20">
      <c r="A410" s="21">
        <f>A409+1</f>
        <v>45298</v>
      </c>
      <c r="B410" s="23">
        <v>4.9238457073952988</v>
      </c>
      <c r="C410" s="26">
        <f t="shared" si="1"/>
        <v>0.96762182691407927</v>
      </c>
      <c r="P410" t="s">
        <v>57</v>
      </c>
      <c r="Q410" s="28" t="s">
        <v>61</v>
      </c>
    </row>
    <row r="411" spans="1:20">
      <c r="A411" s="21">
        <f t="shared" ref="A411:A419" si="2">A410+1</f>
        <v>45299</v>
      </c>
      <c r="B411" s="23">
        <v>2.4795234894810392</v>
      </c>
      <c r="C411" s="26">
        <f t="shared" si="1"/>
        <v>-0.4964254290590473</v>
      </c>
      <c r="P411" t="s">
        <v>58</v>
      </c>
      <c r="Q411" s="28" t="s">
        <v>60</v>
      </c>
    </row>
    <row r="412" spans="1:20">
      <c r="A412" s="21">
        <f t="shared" si="2"/>
        <v>45300</v>
      </c>
      <c r="B412" s="23">
        <v>0.88527709558692602</v>
      </c>
      <c r="C412" s="26">
        <f t="shared" si="1"/>
        <v>-0.64296482798305199</v>
      </c>
    </row>
    <row r="413" spans="1:20">
      <c r="A413" s="21">
        <f t="shared" si="2"/>
        <v>45301</v>
      </c>
      <c r="B413" s="23">
        <v>1.43552073511126</v>
      </c>
      <c r="C413" s="26">
        <f t="shared" si="1"/>
        <v>0.62154961680052323</v>
      </c>
      <c r="P413" s="1" t="s">
        <v>64</v>
      </c>
    </row>
    <row r="414" spans="1:20">
      <c r="A414" s="21">
        <f t="shared" si="2"/>
        <v>45302</v>
      </c>
      <c r="B414" s="23">
        <v>2.45167651515909</v>
      </c>
      <c r="C414" s="26">
        <f t="shared" si="1"/>
        <v>0.70786562338932213</v>
      </c>
      <c r="P414" t="s">
        <v>65</v>
      </c>
    </row>
    <row r="415" spans="1:20">
      <c r="A415" s="21">
        <f t="shared" si="2"/>
        <v>45303</v>
      </c>
      <c r="B415" s="23">
        <v>4.1786254072598457</v>
      </c>
      <c r="C415" s="26">
        <f t="shared" si="1"/>
        <v>0.70439508696305042</v>
      </c>
    </row>
    <row r="416" spans="1:20">
      <c r="A416" s="21">
        <f t="shared" si="2"/>
        <v>45304</v>
      </c>
      <c r="B416" s="23">
        <v>3.3850317199417468</v>
      </c>
      <c r="C416" s="26">
        <f t="shared" si="1"/>
        <v>-0.18991740344547947</v>
      </c>
      <c r="P416" s="43" t="s">
        <v>801</v>
      </c>
    </row>
    <row r="417" spans="1:40">
      <c r="A417" s="21">
        <f t="shared" si="2"/>
        <v>45305</v>
      </c>
      <c r="B417" s="23">
        <v>4.0600681993984002</v>
      </c>
      <c r="C417" s="26">
        <f t="shared" si="1"/>
        <v>0.19941806615279511</v>
      </c>
      <c r="P417" s="43" t="s">
        <v>807</v>
      </c>
    </row>
    <row r="418" spans="1:40">
      <c r="A418" s="21">
        <f t="shared" si="2"/>
        <v>45306</v>
      </c>
      <c r="B418" s="23">
        <v>3.4948126228094898</v>
      </c>
      <c r="C418" s="26">
        <f t="shared" si="1"/>
        <v>-0.1392231728207588</v>
      </c>
    </row>
    <row r="419" spans="1:40">
      <c r="A419" s="21">
        <f t="shared" si="2"/>
        <v>45307</v>
      </c>
      <c r="B419" s="23">
        <v>2.7074059326877356</v>
      </c>
      <c r="C419" s="26">
        <f t="shared" si="1"/>
        <v>-0.22530726968954229</v>
      </c>
    </row>
    <row r="421" spans="1:40">
      <c r="H421" s="61" t="s">
        <v>802</v>
      </c>
      <c r="AN421" t="s">
        <v>805</v>
      </c>
    </row>
    <row r="423" spans="1:40">
      <c r="P423" s="43" t="s">
        <v>804</v>
      </c>
    </row>
    <row r="424" spans="1:40">
      <c r="P424" s="43" t="s">
        <v>807</v>
      </c>
    </row>
    <row r="438" spans="1:40">
      <c r="AN438" t="s">
        <v>808</v>
      </c>
    </row>
    <row r="439" spans="1:40">
      <c r="H439" s="61" t="s">
        <v>806</v>
      </c>
    </row>
    <row r="442" spans="1:40">
      <c r="P442" s="43" t="s">
        <v>809</v>
      </c>
    </row>
    <row r="443" spans="1:40">
      <c r="P443" s="43" t="s">
        <v>807</v>
      </c>
    </row>
    <row r="447" spans="1:40">
      <c r="A447" t="s">
        <v>23</v>
      </c>
      <c r="B447" t="s">
        <v>51</v>
      </c>
    </row>
    <row r="448" spans="1:40">
      <c r="A448" s="21">
        <v>44562</v>
      </c>
      <c r="B448" s="23">
        <v>3.8142053619659535</v>
      </c>
    </row>
    <row r="449" spans="1:8">
      <c r="A449" s="21">
        <v>44586</v>
      </c>
      <c r="B449" s="23">
        <v>7.8693798891939446</v>
      </c>
    </row>
    <row r="450" spans="1:8">
      <c r="A450" s="21">
        <v>44623</v>
      </c>
      <c r="B450" s="23">
        <v>2.092017049945547</v>
      </c>
    </row>
    <row r="451" spans="1:8">
      <c r="A451" s="21">
        <v>44792</v>
      </c>
      <c r="B451" s="23">
        <v>8.3200751839804798</v>
      </c>
    </row>
    <row r="452" spans="1:8">
      <c r="A452" s="21">
        <v>44954</v>
      </c>
      <c r="B452" s="23">
        <v>6.211213271338865</v>
      </c>
    </row>
    <row r="453" spans="1:8">
      <c r="A453" s="21">
        <v>45022</v>
      </c>
      <c r="B453" s="23">
        <v>0.89690823635206085</v>
      </c>
    </row>
    <row r="454" spans="1:8">
      <c r="A454" s="21">
        <v>45028</v>
      </c>
      <c r="B454" s="23">
        <v>3.5676022907838592</v>
      </c>
    </row>
    <row r="455" spans="1:8">
      <c r="A455" s="21">
        <v>45085</v>
      </c>
      <c r="B455" s="23">
        <v>0.15475364784804269</v>
      </c>
    </row>
    <row r="456" spans="1:8">
      <c r="A456" s="21">
        <v>45212</v>
      </c>
      <c r="B456" s="23">
        <v>0.84632906110049366</v>
      </c>
    </row>
    <row r="457" spans="1:8">
      <c r="A457" s="21">
        <v>45343</v>
      </c>
      <c r="B457" s="23">
        <v>3.8123899189198651</v>
      </c>
      <c r="H457" s="61" t="s">
        <v>810</v>
      </c>
    </row>
    <row r="458" spans="1:8">
      <c r="A458" s="21">
        <v>45477</v>
      </c>
      <c r="B458" s="23">
        <v>1.4016699417898049</v>
      </c>
    </row>
    <row r="459" spans="1:8">
      <c r="A459" s="21">
        <v>45484</v>
      </c>
      <c r="B459" s="23">
        <v>5.912547565525359</v>
      </c>
    </row>
    <row r="460" spans="1:8">
      <c r="A460" s="21">
        <v>45663</v>
      </c>
      <c r="B460" s="23">
        <v>4.6358807386385816</v>
      </c>
    </row>
    <row r="461" spans="1:8">
      <c r="A461" s="21">
        <v>45841</v>
      </c>
      <c r="B461" s="23">
        <v>6.714489127724371</v>
      </c>
    </row>
    <row r="462" spans="1:8">
      <c r="A462" s="21">
        <v>45982</v>
      </c>
      <c r="B462" s="23">
        <v>5.3358632489228484</v>
      </c>
    </row>
    <row r="463" spans="1:8">
      <c r="A463" s="21">
        <v>46071</v>
      </c>
      <c r="B463" s="23">
        <v>6.7742326635337236</v>
      </c>
    </row>
    <row r="464" spans="1:8">
      <c r="A464" s="21">
        <v>46234</v>
      </c>
      <c r="B464" s="23">
        <v>7.4212839803512924</v>
      </c>
    </row>
    <row r="465" spans="1:12">
      <c r="A465" s="21">
        <v>46359</v>
      </c>
      <c r="B465" s="23">
        <v>2.5024349903241392</v>
      </c>
    </row>
    <row r="466" spans="1:12">
      <c r="A466" s="21">
        <v>46455</v>
      </c>
      <c r="B466" s="23">
        <v>4.9238457073952988</v>
      </c>
    </row>
    <row r="467" spans="1:12">
      <c r="A467" s="21">
        <v>46572</v>
      </c>
      <c r="B467" s="23">
        <v>2.4795234894810392</v>
      </c>
    </row>
    <row r="468" spans="1:12">
      <c r="A468" s="21">
        <v>46622</v>
      </c>
      <c r="B468" s="23">
        <v>0.88527709558692602</v>
      </c>
    </row>
    <row r="469" spans="1:12">
      <c r="A469" s="21">
        <v>46669</v>
      </c>
      <c r="B469" s="23">
        <v>3.4355207351112602</v>
      </c>
    </row>
    <row r="470" spans="1:12">
      <c r="A470" s="21">
        <v>46771</v>
      </c>
      <c r="B470" s="23">
        <v>5.4516765151590931</v>
      </c>
    </row>
    <row r="471" spans="1:12">
      <c r="A471" s="21">
        <v>46800</v>
      </c>
      <c r="B471" s="23">
        <v>4.1786254072598457</v>
      </c>
    </row>
    <row r="472" spans="1:12">
      <c r="A472" s="21">
        <v>46827</v>
      </c>
      <c r="B472" s="23">
        <v>3.3850317199417468</v>
      </c>
    </row>
    <row r="473" spans="1:12">
      <c r="A473" s="21">
        <v>46955</v>
      </c>
      <c r="B473" s="23">
        <v>9.0600681993983994</v>
      </c>
    </row>
    <row r="474" spans="1:12">
      <c r="A474" s="21">
        <v>47008</v>
      </c>
      <c r="B474" s="23">
        <v>3.4948126228094898</v>
      </c>
    </row>
    <row r="475" spans="1:12">
      <c r="A475" s="21">
        <v>47093</v>
      </c>
      <c r="B475" s="23">
        <v>2.7074059326877356</v>
      </c>
      <c r="D475" t="s">
        <v>23</v>
      </c>
      <c r="E475" t="s">
        <v>51</v>
      </c>
      <c r="G475" t="s">
        <v>23</v>
      </c>
      <c r="H475" t="s">
        <v>51</v>
      </c>
      <c r="J475" t="s">
        <v>53</v>
      </c>
      <c r="K475" t="s">
        <v>51</v>
      </c>
    </row>
    <row r="476" spans="1:12">
      <c r="A476" s="21">
        <v>47246</v>
      </c>
      <c r="B476" s="23">
        <v>5.1237431334005894</v>
      </c>
      <c r="D476" s="21">
        <v>45292</v>
      </c>
      <c r="E476" s="23">
        <v>4.6358807386385816</v>
      </c>
      <c r="G476" s="21">
        <v>45292</v>
      </c>
      <c r="H476" s="23">
        <v>4.6358807386385816</v>
      </c>
      <c r="J476" s="86" t="str">
        <f>IFERROR(LEFT(TEXT(WEEKDAY(ABS(L476)),"dddd"),3),"")</f>
        <v>Mon</v>
      </c>
      <c r="K476" s="24">
        <v>2</v>
      </c>
      <c r="L476" s="24">
        <f>IF(K476="",NA(),K476)</f>
        <v>2</v>
      </c>
    </row>
    <row r="477" spans="1:12">
      <c r="A477" s="21">
        <v>47255</v>
      </c>
      <c r="B477" s="23">
        <v>3.7592166746530098</v>
      </c>
      <c r="D477" s="21">
        <f>D476+1</f>
        <v>45293</v>
      </c>
      <c r="E477" s="23">
        <v>6.714489127724371</v>
      </c>
      <c r="G477" s="21">
        <f>G476+1</f>
        <v>45293</v>
      </c>
      <c r="H477" s="23">
        <v>6.714489127724371</v>
      </c>
      <c r="J477" s="86" t="str">
        <f t="shared" ref="J477:J494" si="3">IFERROR(LEFT(TEXT(WEEKDAY(ABS(L477)),"dddd"),3),"")</f>
        <v>Sun</v>
      </c>
      <c r="K477" s="24">
        <v>-1</v>
      </c>
      <c r="L477" s="24">
        <f t="shared" ref="L477:L494" si="4">IF(K477="",NA(),K477)</f>
        <v>-1</v>
      </c>
    </row>
    <row r="478" spans="1:12">
      <c r="A478" s="21">
        <v>47398</v>
      </c>
      <c r="B478" s="23">
        <v>9.4280057220096154</v>
      </c>
      <c r="D478" s="21">
        <f t="shared" ref="D478:D481" si="5">D477+1</f>
        <v>45294</v>
      </c>
      <c r="E478" s="23">
        <v>5.3358632489228484</v>
      </c>
      <c r="G478" s="21">
        <f t="shared" ref="G478:G481" si="6">G477+1</f>
        <v>45294</v>
      </c>
      <c r="H478" s="23">
        <v>5.3358632489228484</v>
      </c>
      <c r="J478" s="86" t="str">
        <f t="shared" si="3"/>
        <v>Wed</v>
      </c>
      <c r="K478" s="24">
        <v>4</v>
      </c>
      <c r="L478" s="24">
        <f t="shared" si="4"/>
        <v>4</v>
      </c>
    </row>
    <row r="479" spans="1:12">
      <c r="A479" s="21">
        <v>47490</v>
      </c>
      <c r="B479" s="23">
        <v>2.5282354608785393</v>
      </c>
      <c r="D479" s="21">
        <f t="shared" si="5"/>
        <v>45295</v>
      </c>
      <c r="E479" s="23">
        <v>6.7742326635337236</v>
      </c>
      <c r="G479" s="21">
        <f t="shared" si="6"/>
        <v>45295</v>
      </c>
      <c r="H479" s="23">
        <v>6.7742326635337236</v>
      </c>
      <c r="J479" s="86" t="str">
        <f t="shared" si="3"/>
        <v>Sun</v>
      </c>
      <c r="K479" s="24">
        <v>-1</v>
      </c>
      <c r="L479" s="24">
        <f t="shared" si="4"/>
        <v>-1</v>
      </c>
    </row>
    <row r="480" spans="1:12">
      <c r="A480" s="21">
        <v>47621</v>
      </c>
      <c r="B480" s="23">
        <v>0.4332367863427744</v>
      </c>
      <c r="D480" s="21">
        <f t="shared" si="5"/>
        <v>45296</v>
      </c>
      <c r="E480" s="23">
        <v>7.4212839803512924</v>
      </c>
      <c r="G480" s="21">
        <f t="shared" si="6"/>
        <v>45296</v>
      </c>
      <c r="H480" s="23">
        <v>7.4212839803512924</v>
      </c>
      <c r="J480" s="86" t="str">
        <f t="shared" si="3"/>
        <v>Wed</v>
      </c>
      <c r="K480" s="24">
        <v>4</v>
      </c>
      <c r="L480" s="24">
        <f t="shared" si="4"/>
        <v>4</v>
      </c>
    </row>
    <row r="481" spans="1:12">
      <c r="A481" s="21">
        <v>47787</v>
      </c>
      <c r="B481" s="23">
        <v>5.3763937328217626</v>
      </c>
      <c r="D481" s="21">
        <f t="shared" si="5"/>
        <v>45297</v>
      </c>
      <c r="E481" s="23">
        <v>2.5024349903241392</v>
      </c>
      <c r="G481" s="21">
        <f t="shared" si="6"/>
        <v>45297</v>
      </c>
      <c r="H481" s="23">
        <v>2.5024349903241392</v>
      </c>
      <c r="J481" s="86" t="str">
        <f t="shared" si="3"/>
        <v>Thu</v>
      </c>
      <c r="K481" s="24">
        <v>5</v>
      </c>
      <c r="L481" s="24">
        <f t="shared" si="4"/>
        <v>5</v>
      </c>
    </row>
    <row r="482" spans="1:12">
      <c r="A482" s="21">
        <v>47821</v>
      </c>
      <c r="B482" s="23">
        <v>8.4434090802367123</v>
      </c>
      <c r="D482" s="21">
        <f>D481+1</f>
        <v>45298</v>
      </c>
      <c r="E482" s="23">
        <v>4.9238457073952988</v>
      </c>
      <c r="G482" s="21">
        <f>G481+1</f>
        <v>45298</v>
      </c>
      <c r="H482" s="23">
        <v>4.9238457073952988</v>
      </c>
      <c r="J482" s="86" t="str">
        <f t="shared" si="3"/>
        <v>Thu</v>
      </c>
      <c r="K482" s="24">
        <v>5</v>
      </c>
      <c r="L482" s="24">
        <f t="shared" si="4"/>
        <v>5</v>
      </c>
    </row>
    <row r="483" spans="1:12">
      <c r="A483" s="21">
        <v>48000</v>
      </c>
      <c r="B483" s="23">
        <v>8.3935336833090748</v>
      </c>
      <c r="D483" s="21">
        <f>EOMONTH(D482,1)</f>
        <v>45351</v>
      </c>
      <c r="E483" s="23">
        <v>2.4795234894810392</v>
      </c>
      <c r="G483" s="21">
        <f>EOMONTH(G482,1)</f>
        <v>45351</v>
      </c>
      <c r="H483" s="23">
        <v>2.4795234894810392</v>
      </c>
      <c r="J483" s="86" t="str">
        <f t="shared" si="3"/>
        <v>Mon</v>
      </c>
      <c r="K483" s="24">
        <v>2</v>
      </c>
      <c r="L483" s="24">
        <f t="shared" si="4"/>
        <v>2</v>
      </c>
    </row>
    <row r="484" spans="1:12">
      <c r="A484" s="21">
        <v>48094</v>
      </c>
      <c r="B484" s="23">
        <v>1.6434409096585889</v>
      </c>
      <c r="D484" s="21">
        <f t="shared" ref="D484:D490" si="7">EOMONTH(D483,1)</f>
        <v>45382</v>
      </c>
      <c r="E484" s="23">
        <v>0.88527709558692602</v>
      </c>
      <c r="G484" s="21">
        <f t="shared" ref="G484:G490" si="8">EOMONTH(G483,1)</f>
        <v>45382</v>
      </c>
      <c r="H484" s="23">
        <v>0.88527709558692602</v>
      </c>
      <c r="J484" s="86" t="str">
        <f t="shared" si="3"/>
        <v/>
      </c>
      <c r="K484" s="24"/>
      <c r="L484" s="24" t="e">
        <f t="shared" si="4"/>
        <v>#N/A</v>
      </c>
    </row>
    <row r="485" spans="1:12">
      <c r="A485" s="21">
        <v>48218</v>
      </c>
      <c r="B485" s="23">
        <v>0.47272517020168436</v>
      </c>
      <c r="D485" s="21">
        <f t="shared" si="7"/>
        <v>45412</v>
      </c>
      <c r="E485" s="23">
        <v>3.4355207351112602</v>
      </c>
      <c r="G485" s="21">
        <f t="shared" si="8"/>
        <v>45412</v>
      </c>
      <c r="H485" s="23">
        <v>3.4355207351112602</v>
      </c>
      <c r="J485" s="86" t="str">
        <f t="shared" si="3"/>
        <v/>
      </c>
      <c r="K485" s="24"/>
      <c r="L485" s="24" t="e">
        <f t="shared" si="4"/>
        <v>#N/A</v>
      </c>
    </row>
    <row r="486" spans="1:12">
      <c r="A486" s="21">
        <v>48266</v>
      </c>
      <c r="B486" s="23">
        <v>1.6735700189346414</v>
      </c>
      <c r="D486" s="21">
        <f t="shared" si="7"/>
        <v>45443</v>
      </c>
      <c r="E486" s="23">
        <v>5.4516765151590931</v>
      </c>
      <c r="G486" s="21">
        <f t="shared" si="8"/>
        <v>45443</v>
      </c>
      <c r="H486" s="23">
        <v>5.4516765151590931</v>
      </c>
      <c r="J486" s="86" t="str">
        <f t="shared" si="3"/>
        <v/>
      </c>
      <c r="K486" s="24"/>
      <c r="L486" s="24" t="e">
        <f t="shared" si="4"/>
        <v>#N/A</v>
      </c>
    </row>
    <row r="487" spans="1:12">
      <c r="A487" s="21">
        <v>48277</v>
      </c>
      <c r="B487" s="23">
        <v>4.8538296270728907</v>
      </c>
      <c r="D487" s="21">
        <f t="shared" si="7"/>
        <v>45473</v>
      </c>
      <c r="E487" s="23">
        <v>4.1786254072598457</v>
      </c>
      <c r="G487" s="21">
        <f t="shared" si="8"/>
        <v>45473</v>
      </c>
      <c r="H487" s="23">
        <v>4.1786254072598457</v>
      </c>
      <c r="J487" s="86" t="str">
        <f t="shared" si="3"/>
        <v/>
      </c>
      <c r="K487" s="24"/>
      <c r="L487" s="24" t="e">
        <f t="shared" si="4"/>
        <v>#N/A</v>
      </c>
    </row>
    <row r="488" spans="1:12">
      <c r="A488" s="21">
        <v>48391</v>
      </c>
      <c r="B488" s="23">
        <v>4.6698327346125108</v>
      </c>
      <c r="D488" s="21">
        <f t="shared" si="7"/>
        <v>45504</v>
      </c>
      <c r="E488" s="23">
        <v>3.3850317199417468</v>
      </c>
      <c r="G488" s="21">
        <f t="shared" si="8"/>
        <v>45504</v>
      </c>
      <c r="H488" s="23">
        <v>3.3850317199417468</v>
      </c>
      <c r="J488" s="86" t="str">
        <f t="shared" si="3"/>
        <v/>
      </c>
      <c r="K488" s="24"/>
      <c r="L488" s="24" t="e">
        <f t="shared" si="4"/>
        <v>#N/A</v>
      </c>
    </row>
    <row r="489" spans="1:12">
      <c r="A489" s="21">
        <v>48516</v>
      </c>
      <c r="B489" s="23">
        <v>8.2441451067236198</v>
      </c>
      <c r="D489" s="21">
        <f t="shared" si="7"/>
        <v>45535</v>
      </c>
      <c r="E489" s="23">
        <v>9.0600681993983994</v>
      </c>
      <c r="G489" s="21">
        <f t="shared" si="8"/>
        <v>45535</v>
      </c>
      <c r="H489" s="23">
        <v>9.0600681993983994</v>
      </c>
      <c r="J489" s="86" t="str">
        <f t="shared" si="3"/>
        <v>Tue</v>
      </c>
      <c r="K489" s="24">
        <v>-3</v>
      </c>
      <c r="L489" s="24">
        <f t="shared" si="4"/>
        <v>-3</v>
      </c>
    </row>
    <row r="490" spans="1:12">
      <c r="A490" s="21">
        <v>48521</v>
      </c>
      <c r="B490" s="23">
        <v>4.5020291525664913</v>
      </c>
      <c r="D490" s="21">
        <f t="shared" si="7"/>
        <v>45565</v>
      </c>
      <c r="E490" s="23">
        <v>3.4948126228094898</v>
      </c>
      <c r="G490" s="21">
        <f t="shared" si="8"/>
        <v>45565</v>
      </c>
      <c r="H490" s="23">
        <v>3.4948126228094898</v>
      </c>
      <c r="J490" s="86" t="str">
        <f t="shared" si="3"/>
        <v>Mon</v>
      </c>
      <c r="K490" s="24">
        <v>-2</v>
      </c>
      <c r="L490" s="24">
        <f t="shared" si="4"/>
        <v>-2</v>
      </c>
    </row>
    <row r="491" spans="1:12">
      <c r="A491" s="21">
        <v>48677</v>
      </c>
      <c r="B491" s="23">
        <v>6.6451210924288446</v>
      </c>
      <c r="D491" s="21">
        <f>EDATE(D490,12)</f>
        <v>45930</v>
      </c>
      <c r="E491" s="23">
        <v>2.7074059326877356</v>
      </c>
      <c r="G491" s="21">
        <f>EDATE(G490,12)</f>
        <v>45930</v>
      </c>
      <c r="H491" s="23">
        <v>2.7074059326877356</v>
      </c>
      <c r="J491" s="86" t="str">
        <f t="shared" si="3"/>
        <v>Wed</v>
      </c>
      <c r="K491" s="24">
        <v>4</v>
      </c>
      <c r="L491" s="24">
        <f t="shared" si="4"/>
        <v>4</v>
      </c>
    </row>
    <row r="492" spans="1:12">
      <c r="D492" s="21">
        <f>D491</f>
        <v>45930</v>
      </c>
      <c r="E492" s="23"/>
      <c r="G492" s="21" t="e">
        <f>NA()</f>
        <v>#N/A</v>
      </c>
      <c r="H492" s="23" t="e">
        <f>NA()</f>
        <v>#N/A</v>
      </c>
      <c r="J492" s="86" t="str">
        <f t="shared" si="3"/>
        <v>Sat</v>
      </c>
      <c r="K492" s="24">
        <v>0</v>
      </c>
      <c r="L492" s="24">
        <f t="shared" si="4"/>
        <v>0</v>
      </c>
    </row>
    <row r="493" spans="1:12">
      <c r="D493" s="21">
        <f t="shared" ref="D493:D496" si="9">D492</f>
        <v>45930</v>
      </c>
      <c r="E493" s="23"/>
      <c r="G493" s="21" t="e">
        <f>NA()</f>
        <v>#N/A</v>
      </c>
      <c r="H493" s="23" t="e">
        <f>NA()</f>
        <v>#N/A</v>
      </c>
      <c r="J493" s="86" t="str">
        <f t="shared" si="3"/>
        <v>Sun</v>
      </c>
      <c r="K493" s="24">
        <v>-1</v>
      </c>
      <c r="L493" s="24">
        <f t="shared" si="4"/>
        <v>-1</v>
      </c>
    </row>
    <row r="494" spans="1:12">
      <c r="D494" s="21">
        <f t="shared" si="9"/>
        <v>45930</v>
      </c>
      <c r="E494" s="23"/>
      <c r="G494" s="21" t="e">
        <f>NA()</f>
        <v>#N/A</v>
      </c>
      <c r="H494" s="23" t="e">
        <f>NA()</f>
        <v>#N/A</v>
      </c>
      <c r="J494" s="86" t="str">
        <f t="shared" si="3"/>
        <v>Wed</v>
      </c>
      <c r="K494" s="24">
        <v>-4</v>
      </c>
      <c r="L494" s="24">
        <f t="shared" si="4"/>
        <v>-4</v>
      </c>
    </row>
    <row r="495" spans="1:12">
      <c r="D495" s="21">
        <f t="shared" si="9"/>
        <v>45930</v>
      </c>
      <c r="E495" s="23"/>
      <c r="G495" s="21" t="e">
        <f>NA()</f>
        <v>#N/A</v>
      </c>
      <c r="H495" s="23" t="e">
        <f>NA()</f>
        <v>#N/A</v>
      </c>
    </row>
    <row r="496" spans="1:12">
      <c r="D496" s="21">
        <f t="shared" si="9"/>
        <v>45930</v>
      </c>
      <c r="E496" s="23"/>
      <c r="G496" s="21" t="e">
        <f>NA()</f>
        <v>#N/A</v>
      </c>
      <c r="H496" s="23" t="e">
        <f>NA()</f>
        <v>#N/A</v>
      </c>
    </row>
  </sheetData>
  <pageMargins left="0.7" right="0.7" top="0.75" bottom="0.75" header="0.3" footer="0.3"/>
  <drawing r:id="rId1"/>
  <extLst>
    <ext xmlns:x14="http://schemas.microsoft.com/office/spreadsheetml/2009/9/main" uri="{05C60535-1F16-4fd2-B633-F4F36F0B64E0}">
      <x14:sparklineGroups xmlns:xm="http://schemas.microsoft.com/office/excel/2006/main">
        <x14:sparklineGroup displayEmptyCellsAs="gap" xr2:uid="{1BF6E275-7334-4E8A-A8CC-5D0BA28C9311}">
          <x14:colorSeries rgb="FF376092"/>
          <x14:colorNegative rgb="FFD00000"/>
          <x14:colorAxis rgb="FF000000"/>
          <x14:colorMarkers rgb="FFD00000"/>
          <x14:colorFirst rgb="FFD00000"/>
          <x14:colorLast rgb="FFD00000"/>
          <x14:colorHigh rgb="FFD00000"/>
          <x14:colorLow rgb="FFD00000"/>
          <x14:sparklines>
            <x14:sparkline>
              <xm:f>'6. Charts'!H253:H253</xm:f>
              <xm:sqref>O253</xm:sqref>
            </x14:sparkline>
            <x14:sparkline>
              <xm:f>'6. Charts'!I253:I253</xm:f>
              <xm:sqref>W427</xm:sqref>
            </x14:sparkline>
            <x14:sparkline>
              <xm:f>'6. Charts'!J253:J253</xm:f>
              <xm:sqref>X431</xm:sqref>
            </x14:sparkline>
            <x14:sparkline>
              <xm:f>'6. Charts'!K253:K253</xm:f>
              <xm:sqref>Y431</xm:sqref>
            </x14:sparkline>
            <x14:sparkline>
              <xm:f>'6. Charts'!L253:L253</xm:f>
              <xm:sqref>Z431</xm:sqref>
            </x14:sparkline>
            <x14:sparkline>
              <xm:f>'6. Charts'!M253:M253</xm:f>
              <xm:sqref>AA431</xm:sqref>
            </x14:sparkline>
          </x14:sparklines>
        </x14:sparklineGroup>
        <x14:sparklineGroup displayEmptyCellsAs="gap" xr2:uid="{9665DBB3-FD9B-41B8-93AC-2AF615FC1EB6}">
          <x14:colorSeries rgb="FF376092"/>
          <x14:colorNegative rgb="FFD00000"/>
          <x14:colorAxis rgb="FF000000"/>
          <x14:colorMarkers rgb="FFD00000"/>
          <x14:colorFirst rgb="FFD00000"/>
          <x14:colorLast rgb="FFD00000"/>
          <x14:colorHigh rgb="FFD00000"/>
          <x14:colorLow rgb="FFD00000"/>
          <x14:sparklines>
            <x14:sparkline>
              <xm:f>'6. Charts'!H253:M253</xm:f>
              <xm:sqref>N253</xm:sqref>
            </x14:sparkline>
          </x14:sparklines>
        </x14:sparklineGroup>
        <x14:sparklineGroup type="column" displayEmptyCellsAs="gap" xr2:uid="{572B6812-9413-4139-B7E1-04C0091259B2}">
          <x14:colorSeries rgb="FF376092"/>
          <x14:colorNegative rgb="FFD00000"/>
          <x14:colorAxis rgb="FF000000"/>
          <x14:colorMarkers rgb="FFD00000"/>
          <x14:colorFirst rgb="FFD00000"/>
          <x14:colorLast rgb="FFD00000"/>
          <x14:colorHigh rgb="FFD00000"/>
          <x14:colorLow rgb="FFD00000"/>
          <x14:sparklines>
            <x14:sparkline>
              <xm:f>'6. Charts'!H254:M254</xm:f>
              <xm:sqref>N254</xm:sqref>
            </x14:sparkline>
          </x14:sparklines>
        </x14:sparklineGroup>
        <x14:sparklineGroup type="stacked" displayEmptyCellsAs="gap" negative="1" xr2:uid="{9BA76529-6620-45C9-A2CB-DF572EB8A13D}">
          <x14:colorSeries rgb="FF376092"/>
          <x14:colorNegative rgb="FFD00000"/>
          <x14:colorAxis rgb="FF000000"/>
          <x14:colorMarkers rgb="FFD00000"/>
          <x14:colorFirst rgb="FFD00000"/>
          <x14:colorLast rgb="FFD00000"/>
          <x14:colorHigh rgb="FFD00000"/>
          <x14:colorLow rgb="FFD00000"/>
          <x14:sparklines>
            <x14:sparkline>
              <xm:f>'6. Charts'!H255:M255</xm:f>
              <xm:sqref>N255</xm:sqref>
            </x14:sparkline>
          </x14:sparklines>
        </x14:sparklineGroup>
      </x14:sparklineGroup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0C96F-ABFF-4869-A062-CCEAC6F9C00F}">
  <dimension ref="A1"/>
  <sheetViews>
    <sheetView workbookViewId="0">
      <selection activeCell="N31" sqref="N31"/>
    </sheetView>
  </sheetViews>
  <sheetFormatPr defaultRowHeight="14.4"/>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C4EA5-DA20-4C88-9820-D777FD1A6249}">
  <sheetPr codeName="Sheet5"/>
  <dimension ref="A1"/>
  <sheetViews>
    <sheetView workbookViewId="0"/>
  </sheetViews>
  <sheetFormatPr defaultRowHeight="14.4"/>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6E606-D14C-402C-B2B7-4A6706195C30}">
  <sheetPr codeName="Sheet6"/>
  <dimension ref="A1"/>
  <sheetViews>
    <sheetView workbookViewId="0">
      <selection activeCell="N8" sqref="N8"/>
    </sheetView>
  </sheetViews>
  <sheetFormatPr defaultRowHeight="14.4"/>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9</vt:i4>
      </vt:variant>
      <vt:variant>
        <vt:lpstr>Named Ranges</vt:lpstr>
      </vt:variant>
      <vt:variant>
        <vt:i4>2</vt:i4>
      </vt:variant>
    </vt:vector>
  </HeadingPairs>
  <TitlesOfParts>
    <vt:vector size="11" baseType="lpstr">
      <vt:lpstr>START</vt:lpstr>
      <vt:lpstr>1. Functions</vt:lpstr>
      <vt:lpstr>2. Basic functions</vt:lpstr>
      <vt:lpstr>3. Basic calculation features</vt:lpstr>
      <vt:lpstr>4. Formatting</vt:lpstr>
      <vt:lpstr>5. Object features</vt:lpstr>
      <vt:lpstr>6. Charts</vt:lpstr>
      <vt:lpstr>END</vt:lpstr>
      <vt:lpstr>NormalHidden (can be unhidden)</vt:lpstr>
      <vt:lpstr>fivetimesfive</vt:lpstr>
      <vt:lpstr>'2. Basic functions'!Print_Area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2024-09-25T15:57:42Z</dcterms:created>
  <dcterms:modified xsi:type="dcterms:W3CDTF">2026-10-19T08:11:02Z</dcterms:modified>
</cp:coreProperties>
</file>