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ugas Akhir\Tugas Akhir_Ezar Alvah Rayhan\Proyek Akhir_Ezar Alvah Rayhan\data\"/>
    </mc:Choice>
  </mc:AlternateContent>
  <xr:revisionPtr revIDLastSave="0" documentId="13_ncr:1_{EE398E70-2BA0-496A-ABE3-2D243B6F65EB}" xr6:coauthVersionLast="47" xr6:coauthVersionMax="47" xr10:uidLastSave="{00000000-0000-0000-0000-000000000000}"/>
  <bookViews>
    <workbookView xWindow="-110" yWindow="-110" windowWidth="19420" windowHeight="11020" firstSheet="1" activeTab="3" xr2:uid="{37FD39BE-3087-47C8-9603-7DF373DD4E84}"/>
  </bookViews>
  <sheets>
    <sheet name="Data" sheetId="8" r:id="rId1"/>
    <sheet name="DATA UTAMA" sheetId="6" r:id="rId2"/>
    <sheet name="Kurs Dollar" sheetId="7" r:id="rId3"/>
    <sheet name="Descriptive" sheetId="12" r:id="rId4"/>
    <sheet name="Lampiran 1" sheetId="9" r:id="rId5"/>
    <sheet name="Lampiran 2" sheetId="10" r:id="rId6"/>
    <sheet name="Lampiran 3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9" l="1"/>
  <c r="G24" i="9"/>
  <c r="G46" i="9"/>
  <c r="G68" i="9"/>
  <c r="G90" i="9"/>
  <c r="G3" i="9"/>
  <c r="G25" i="9"/>
  <c r="G47" i="9"/>
  <c r="G69" i="9"/>
  <c r="G91" i="9"/>
  <c r="G4" i="9"/>
  <c r="G26" i="9"/>
  <c r="G48" i="9"/>
  <c r="G70" i="9"/>
  <c r="G92" i="9"/>
  <c r="G5" i="9"/>
  <c r="G27" i="9"/>
  <c r="G49" i="9"/>
  <c r="G71" i="9"/>
  <c r="G93" i="9"/>
  <c r="G6" i="9"/>
  <c r="G28" i="9"/>
  <c r="G50" i="9"/>
  <c r="G72" i="9"/>
  <c r="G94" i="9"/>
  <c r="G7" i="9"/>
  <c r="G29" i="9"/>
  <c r="G51" i="9"/>
  <c r="G73" i="9"/>
  <c r="G95" i="9"/>
  <c r="G8" i="9"/>
  <c r="G30" i="9"/>
  <c r="G52" i="9"/>
  <c r="G74" i="9"/>
  <c r="G96" i="9"/>
  <c r="G9" i="9"/>
  <c r="G31" i="9"/>
  <c r="G53" i="9"/>
  <c r="G75" i="9"/>
  <c r="G97" i="9"/>
  <c r="G10" i="9"/>
  <c r="G32" i="9"/>
  <c r="G54" i="9"/>
  <c r="G76" i="9"/>
  <c r="G98" i="9"/>
  <c r="G11" i="9"/>
  <c r="G33" i="9"/>
  <c r="G55" i="9"/>
  <c r="G77" i="9"/>
  <c r="G99" i="9"/>
  <c r="G12" i="9"/>
  <c r="G34" i="9"/>
  <c r="G56" i="9"/>
  <c r="G78" i="9"/>
  <c r="G100" i="9"/>
  <c r="G13" i="9"/>
  <c r="G35" i="9"/>
  <c r="G57" i="9"/>
  <c r="G79" i="9"/>
  <c r="G101" i="9"/>
  <c r="G14" i="9"/>
  <c r="G36" i="9"/>
  <c r="G58" i="9"/>
  <c r="G80" i="9"/>
  <c r="G102" i="9"/>
  <c r="G15" i="9"/>
  <c r="G37" i="9"/>
  <c r="G59" i="9"/>
  <c r="G81" i="9"/>
  <c r="G103" i="9"/>
  <c r="G16" i="9"/>
  <c r="G38" i="9"/>
  <c r="G60" i="9"/>
  <c r="G82" i="9"/>
  <c r="G104" i="9"/>
  <c r="G17" i="9"/>
  <c r="G39" i="9"/>
  <c r="G61" i="9"/>
  <c r="G83" i="9"/>
  <c r="G105" i="9"/>
  <c r="G18" i="9"/>
  <c r="G40" i="9"/>
  <c r="G62" i="9"/>
  <c r="G84" i="9"/>
  <c r="G106" i="9"/>
  <c r="G19" i="9"/>
  <c r="G41" i="9"/>
  <c r="G63" i="9"/>
  <c r="G85" i="9"/>
  <c r="G107" i="9"/>
  <c r="G20" i="9"/>
  <c r="G42" i="9"/>
  <c r="G64" i="9"/>
  <c r="G86" i="9"/>
  <c r="G108" i="9"/>
  <c r="G21" i="9"/>
  <c r="G43" i="9"/>
  <c r="G65" i="9"/>
  <c r="G87" i="9"/>
  <c r="G109" i="9"/>
  <c r="G22" i="9"/>
  <c r="G44" i="9"/>
  <c r="G66" i="9"/>
  <c r="G88" i="9"/>
  <c r="G110" i="9"/>
  <c r="G23" i="9"/>
  <c r="G45" i="9"/>
  <c r="G67" i="9"/>
  <c r="G89" i="9"/>
  <c r="G111" i="9"/>
  <c r="Y2" i="6"/>
  <c r="AF27" i="6"/>
  <c r="X2" i="6"/>
  <c r="W2" i="6"/>
  <c r="L6" i="6"/>
  <c r="L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M29" i="8" s="1"/>
  <c r="Y30" i="6"/>
  <c r="M30" i="8" s="1"/>
  <c r="Y31" i="6"/>
  <c r="M31" i="8" s="1"/>
  <c r="Y32" i="6"/>
  <c r="M32" i="8" s="1"/>
  <c r="Y33" i="6"/>
  <c r="M33" i="8" s="1"/>
  <c r="Y34" i="6"/>
  <c r="M34" i="8" s="1"/>
  <c r="Y35" i="6"/>
  <c r="M35" i="8" s="1"/>
  <c r="Y36" i="6"/>
  <c r="M36" i="8" s="1"/>
  <c r="Y37" i="6"/>
  <c r="M37" i="8" s="1"/>
  <c r="Y38" i="6"/>
  <c r="M38" i="8" s="1"/>
  <c r="Y39" i="6"/>
  <c r="M39" i="8" s="1"/>
  <c r="Y40" i="6"/>
  <c r="M40" i="8" s="1"/>
  <c r="Y41" i="6"/>
  <c r="M41" i="8" s="1"/>
  <c r="Y42" i="6"/>
  <c r="M42" i="8" s="1"/>
  <c r="Y43" i="6"/>
  <c r="M43" i="8" s="1"/>
  <c r="Y44" i="6"/>
  <c r="M44" i="8" s="1"/>
  <c r="Y45" i="6"/>
  <c r="M45" i="8" s="1"/>
  <c r="Y46" i="6"/>
  <c r="M46" i="8" s="1"/>
  <c r="Y47" i="6"/>
  <c r="M47" i="8" s="1"/>
  <c r="Y48" i="6"/>
  <c r="M48" i="8" s="1"/>
  <c r="Y49" i="6"/>
  <c r="M49" i="8" s="1"/>
  <c r="Y50" i="6"/>
  <c r="M50" i="8" s="1"/>
  <c r="Y51" i="6"/>
  <c r="M51" i="8" s="1"/>
  <c r="Y52" i="6"/>
  <c r="M52" i="8" s="1"/>
  <c r="Y53" i="6"/>
  <c r="M53" i="8" s="1"/>
  <c r="Y54" i="6"/>
  <c r="M54" i="8" s="1"/>
  <c r="Y55" i="6"/>
  <c r="M55" i="8" s="1"/>
  <c r="Y56" i="6"/>
  <c r="M56" i="8" s="1"/>
  <c r="Y57" i="6"/>
  <c r="M57" i="8" s="1"/>
  <c r="Y58" i="6"/>
  <c r="M58" i="8" s="1"/>
  <c r="Y59" i="6"/>
  <c r="M59" i="8" s="1"/>
  <c r="Y60" i="6"/>
  <c r="M60" i="8" s="1"/>
  <c r="Y61" i="6"/>
  <c r="M61" i="8" s="1"/>
  <c r="Y62" i="6"/>
  <c r="M62" i="8" s="1"/>
  <c r="Y63" i="6"/>
  <c r="M63" i="8" s="1"/>
  <c r="Y64" i="6"/>
  <c r="M64" i="8" s="1"/>
  <c r="Y65" i="6"/>
  <c r="M65" i="8" s="1"/>
  <c r="Y66" i="6"/>
  <c r="M66" i="8" s="1"/>
  <c r="Y67" i="6"/>
  <c r="M67" i="8" s="1"/>
  <c r="Y68" i="6"/>
  <c r="M68" i="8" s="1"/>
  <c r="Y69" i="6"/>
  <c r="M69" i="8" s="1"/>
  <c r="Y70" i="6"/>
  <c r="M70" i="8" s="1"/>
  <c r="Y71" i="6"/>
  <c r="M71" i="8" s="1"/>
  <c r="Y72" i="6"/>
  <c r="M72" i="8" s="1"/>
  <c r="Y73" i="6"/>
  <c r="M73" i="8" s="1"/>
  <c r="Y74" i="6"/>
  <c r="M74" i="8" s="1"/>
  <c r="Y75" i="6"/>
  <c r="M75" i="8" s="1"/>
  <c r="Y76" i="6"/>
  <c r="M76" i="8" s="1"/>
  <c r="Y77" i="6"/>
  <c r="M77" i="8" s="1"/>
  <c r="Y78" i="6"/>
  <c r="M78" i="8" s="1"/>
  <c r="Y79" i="6"/>
  <c r="M79" i="8" s="1"/>
  <c r="Y80" i="6"/>
  <c r="M80" i="8" s="1"/>
  <c r="Y81" i="6"/>
  <c r="M81" i="8" s="1"/>
  <c r="Y82" i="6"/>
  <c r="M82" i="8" s="1"/>
  <c r="Y83" i="6"/>
  <c r="M83" i="8" s="1"/>
  <c r="Y84" i="6"/>
  <c r="M84" i="8" s="1"/>
  <c r="Y85" i="6"/>
  <c r="M85" i="8" s="1"/>
  <c r="Y86" i="6"/>
  <c r="M86" i="8" s="1"/>
  <c r="Y87" i="6"/>
  <c r="M87" i="8" s="1"/>
  <c r="Y88" i="6"/>
  <c r="M88" i="8" s="1"/>
  <c r="Y89" i="6"/>
  <c r="M89" i="8" s="1"/>
  <c r="Y90" i="6"/>
  <c r="M90" i="8" s="1"/>
  <c r="Y91" i="6"/>
  <c r="M91" i="8" s="1"/>
  <c r="Y92" i="6"/>
  <c r="M92" i="8" s="1"/>
  <c r="Y93" i="6"/>
  <c r="M93" i="8" s="1"/>
  <c r="Y94" i="6"/>
  <c r="M94" i="8" s="1"/>
  <c r="Y95" i="6"/>
  <c r="M95" i="8" s="1"/>
  <c r="Y96" i="6"/>
  <c r="M96" i="8" s="1"/>
  <c r="Y97" i="6"/>
  <c r="M97" i="8" s="1"/>
  <c r="Y98" i="6"/>
  <c r="M98" i="8" s="1"/>
  <c r="Y99" i="6"/>
  <c r="M99" i="8" s="1"/>
  <c r="Y100" i="6"/>
  <c r="M100" i="8" s="1"/>
  <c r="Y101" i="6"/>
  <c r="M101" i="8" s="1"/>
  <c r="Y102" i="6"/>
  <c r="M102" i="8" s="1"/>
  <c r="Y103" i="6"/>
  <c r="M103" i="8" s="1"/>
  <c r="Y104" i="6"/>
  <c r="M104" i="8" s="1"/>
  <c r="Y105" i="6"/>
  <c r="M105" i="8" s="1"/>
  <c r="Y106" i="6"/>
  <c r="M106" i="8" s="1"/>
  <c r="Y107" i="6"/>
  <c r="M107" i="8" s="1"/>
  <c r="Y108" i="6"/>
  <c r="M108" i="8" s="1"/>
  <c r="Y109" i="6"/>
  <c r="M109" i="8" s="1"/>
  <c r="Y110" i="6"/>
  <c r="M110" i="8" s="1"/>
  <c r="Y111" i="6"/>
  <c r="M111" i="8" s="1"/>
  <c r="D5" i="8"/>
  <c r="AC8" i="6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H3" i="8"/>
  <c r="H4" i="8"/>
  <c r="H5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G3" i="8"/>
  <c r="G4" i="8"/>
  <c r="G5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2" i="8"/>
  <c r="G2" i="8"/>
  <c r="H2" i="8"/>
  <c r="I2" i="8"/>
  <c r="J2" i="8"/>
  <c r="K2" i="8"/>
  <c r="L2" i="8"/>
  <c r="E3" i="8"/>
  <c r="E4" i="8"/>
  <c r="E5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2" i="8"/>
  <c r="D3" i="8"/>
  <c r="D4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2" i="8"/>
  <c r="C3" i="8"/>
  <c r="C4" i="8"/>
  <c r="C5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U3" i="6"/>
  <c r="V3" i="6"/>
  <c r="W3" i="6"/>
  <c r="X3" i="6"/>
  <c r="Z3" i="6"/>
  <c r="AA3" i="6"/>
  <c r="AB3" i="6"/>
  <c r="AC3" i="6"/>
  <c r="AD3" i="6"/>
  <c r="AE3" i="6"/>
  <c r="AF3" i="6"/>
  <c r="AG3" i="6"/>
  <c r="AH3" i="6"/>
  <c r="AI3" i="6"/>
  <c r="AJ3" i="6"/>
  <c r="U4" i="6"/>
  <c r="V4" i="6"/>
  <c r="W4" i="6"/>
  <c r="X4" i="6"/>
  <c r="Z4" i="6"/>
  <c r="AA4" i="6"/>
  <c r="AB4" i="6"/>
  <c r="AC4" i="6"/>
  <c r="AD4" i="6"/>
  <c r="AE4" i="6"/>
  <c r="AF4" i="6"/>
  <c r="AG4" i="6"/>
  <c r="AH4" i="6"/>
  <c r="AI4" i="6"/>
  <c r="AJ4" i="6"/>
  <c r="U5" i="6"/>
  <c r="V5" i="6"/>
  <c r="W5" i="6"/>
  <c r="X5" i="6"/>
  <c r="Z5" i="6"/>
  <c r="AA5" i="6"/>
  <c r="AB5" i="6"/>
  <c r="AC5" i="6"/>
  <c r="AD5" i="6"/>
  <c r="AE5" i="6"/>
  <c r="AF5" i="6"/>
  <c r="AG5" i="6"/>
  <c r="AH5" i="6"/>
  <c r="AI5" i="6"/>
  <c r="AJ5" i="6"/>
  <c r="U6" i="6"/>
  <c r="V6" i="6"/>
  <c r="W6" i="6"/>
  <c r="X6" i="6" s="1"/>
  <c r="Z6" i="6"/>
  <c r="AA6" i="6"/>
  <c r="C6" i="8" s="1"/>
  <c r="AB6" i="6"/>
  <c r="D6" i="8" s="1"/>
  <c r="AC6" i="6"/>
  <c r="E6" i="8" s="1"/>
  <c r="AD6" i="6"/>
  <c r="AE6" i="6"/>
  <c r="G6" i="8" s="1"/>
  <c r="AF6" i="6"/>
  <c r="H6" i="8" s="1"/>
  <c r="AG6" i="6"/>
  <c r="AH6" i="6"/>
  <c r="AI6" i="6"/>
  <c r="AJ6" i="6"/>
  <c r="U7" i="6"/>
  <c r="V7" i="6"/>
  <c r="W7" i="6"/>
  <c r="X7" i="6"/>
  <c r="Z7" i="6"/>
  <c r="AA7" i="6"/>
  <c r="AB7" i="6"/>
  <c r="AC7" i="6"/>
  <c r="AD7" i="6"/>
  <c r="AE7" i="6"/>
  <c r="AF7" i="6"/>
  <c r="AG7" i="6"/>
  <c r="AH7" i="6"/>
  <c r="AI7" i="6"/>
  <c r="AJ7" i="6"/>
  <c r="U8" i="6"/>
  <c r="V8" i="6"/>
  <c r="W8" i="6"/>
  <c r="X8" i="6"/>
  <c r="Z8" i="6"/>
  <c r="AA8" i="6"/>
  <c r="AB8" i="6"/>
  <c r="AD8" i="6"/>
  <c r="AE8" i="6"/>
  <c r="AF8" i="6"/>
  <c r="AG8" i="6"/>
  <c r="AH8" i="6"/>
  <c r="AI8" i="6"/>
  <c r="AJ8" i="6"/>
  <c r="U9" i="6"/>
  <c r="V9" i="6"/>
  <c r="W9" i="6"/>
  <c r="X9" i="6"/>
  <c r="Z9" i="6"/>
  <c r="AA9" i="6"/>
  <c r="AB9" i="6"/>
  <c r="AC9" i="6"/>
  <c r="AD9" i="6"/>
  <c r="AE9" i="6"/>
  <c r="AF9" i="6"/>
  <c r="AG9" i="6"/>
  <c r="AH9" i="6"/>
  <c r="AI9" i="6"/>
  <c r="AJ9" i="6"/>
  <c r="U10" i="6"/>
  <c r="V10" i="6"/>
  <c r="W10" i="6"/>
  <c r="X10" i="6"/>
  <c r="Z10" i="6"/>
  <c r="AA10" i="6"/>
  <c r="AB10" i="6"/>
  <c r="AC10" i="6"/>
  <c r="AD10" i="6"/>
  <c r="AE10" i="6"/>
  <c r="AF10" i="6"/>
  <c r="AG10" i="6"/>
  <c r="AH10" i="6"/>
  <c r="AI10" i="6"/>
  <c r="AJ10" i="6"/>
  <c r="U11" i="6"/>
  <c r="V11" i="6"/>
  <c r="W11" i="6"/>
  <c r="X11" i="6"/>
  <c r="Z11" i="6"/>
  <c r="AA11" i="6"/>
  <c r="AB11" i="6"/>
  <c r="AC11" i="6"/>
  <c r="AD11" i="6"/>
  <c r="AE11" i="6"/>
  <c r="AF11" i="6"/>
  <c r="AG11" i="6"/>
  <c r="AH11" i="6"/>
  <c r="AI11" i="6"/>
  <c r="AJ11" i="6"/>
  <c r="U12" i="6"/>
  <c r="V12" i="6"/>
  <c r="W12" i="6"/>
  <c r="X12" i="6" s="1"/>
  <c r="Z12" i="6"/>
  <c r="AA12" i="6"/>
  <c r="AB12" i="6"/>
  <c r="AC12" i="6"/>
  <c r="AD12" i="6"/>
  <c r="AE12" i="6"/>
  <c r="AF12" i="6"/>
  <c r="AG12" i="6"/>
  <c r="AH12" i="6"/>
  <c r="AI12" i="6"/>
  <c r="AJ12" i="6"/>
  <c r="U13" i="6"/>
  <c r="V13" i="6"/>
  <c r="W13" i="6"/>
  <c r="X13" i="6"/>
  <c r="Z13" i="6"/>
  <c r="AA13" i="6"/>
  <c r="AB13" i="6"/>
  <c r="AC13" i="6"/>
  <c r="AD13" i="6"/>
  <c r="AE13" i="6"/>
  <c r="AF13" i="6"/>
  <c r="AG13" i="6"/>
  <c r="AH13" i="6"/>
  <c r="AI13" i="6"/>
  <c r="AJ13" i="6"/>
  <c r="U14" i="6"/>
  <c r="V14" i="6"/>
  <c r="W14" i="6"/>
  <c r="X14" i="6"/>
  <c r="Z14" i="6"/>
  <c r="AA14" i="6"/>
  <c r="AB14" i="6"/>
  <c r="AC14" i="6"/>
  <c r="AD14" i="6"/>
  <c r="AE14" i="6"/>
  <c r="AF14" i="6"/>
  <c r="AG14" i="6"/>
  <c r="AH14" i="6"/>
  <c r="AI14" i="6"/>
  <c r="AJ14" i="6"/>
  <c r="U15" i="6"/>
  <c r="V15" i="6"/>
  <c r="W15" i="6"/>
  <c r="X15" i="6"/>
  <c r="Z15" i="6"/>
  <c r="AA15" i="6"/>
  <c r="AB15" i="6"/>
  <c r="AC15" i="6"/>
  <c r="AD15" i="6"/>
  <c r="AE15" i="6"/>
  <c r="AF15" i="6"/>
  <c r="AG15" i="6"/>
  <c r="AH15" i="6"/>
  <c r="AI15" i="6"/>
  <c r="AJ15" i="6"/>
  <c r="U16" i="6"/>
  <c r="V16" i="6"/>
  <c r="W16" i="6"/>
  <c r="X16" i="6" s="1"/>
  <c r="Z16" i="6"/>
  <c r="AA16" i="6"/>
  <c r="AB16" i="6"/>
  <c r="AC16" i="6"/>
  <c r="AD16" i="6"/>
  <c r="AE16" i="6"/>
  <c r="AF16" i="6"/>
  <c r="AG16" i="6"/>
  <c r="AH16" i="6"/>
  <c r="AI16" i="6"/>
  <c r="AJ16" i="6"/>
  <c r="U17" i="6"/>
  <c r="V17" i="6"/>
  <c r="W17" i="6"/>
  <c r="X17" i="6"/>
  <c r="Z17" i="6"/>
  <c r="AA17" i="6"/>
  <c r="AB17" i="6"/>
  <c r="AC17" i="6"/>
  <c r="AD17" i="6"/>
  <c r="AE17" i="6"/>
  <c r="AF17" i="6"/>
  <c r="AG17" i="6"/>
  <c r="AH17" i="6"/>
  <c r="AI17" i="6"/>
  <c r="AJ17" i="6"/>
  <c r="U18" i="6"/>
  <c r="V18" i="6"/>
  <c r="W18" i="6"/>
  <c r="X18" i="6"/>
  <c r="Z18" i="6"/>
  <c r="AA18" i="6"/>
  <c r="AB18" i="6"/>
  <c r="AC18" i="6"/>
  <c r="AD18" i="6"/>
  <c r="AE18" i="6"/>
  <c r="AF18" i="6"/>
  <c r="AG18" i="6"/>
  <c r="AH18" i="6"/>
  <c r="AI18" i="6"/>
  <c r="AJ18" i="6"/>
  <c r="U19" i="6"/>
  <c r="V19" i="6"/>
  <c r="W19" i="6"/>
  <c r="X19" i="6"/>
  <c r="Z19" i="6"/>
  <c r="AA19" i="6"/>
  <c r="AB19" i="6"/>
  <c r="AC19" i="6"/>
  <c r="AD19" i="6"/>
  <c r="AE19" i="6"/>
  <c r="AF19" i="6"/>
  <c r="AG19" i="6"/>
  <c r="AH19" i="6"/>
  <c r="AI19" i="6"/>
  <c r="AJ19" i="6"/>
  <c r="U20" i="6"/>
  <c r="V20" i="6"/>
  <c r="W20" i="6"/>
  <c r="X20" i="6" s="1"/>
  <c r="Z20" i="6"/>
  <c r="AA20" i="6"/>
  <c r="AB20" i="6"/>
  <c r="AC20" i="6"/>
  <c r="AD20" i="6"/>
  <c r="AE20" i="6"/>
  <c r="AF20" i="6"/>
  <c r="AG20" i="6"/>
  <c r="AH20" i="6"/>
  <c r="AI20" i="6"/>
  <c r="AJ20" i="6"/>
  <c r="U21" i="6"/>
  <c r="V21" i="6"/>
  <c r="W21" i="6"/>
  <c r="X21" i="6"/>
  <c r="Z21" i="6"/>
  <c r="AA21" i="6"/>
  <c r="AB21" i="6"/>
  <c r="AC21" i="6"/>
  <c r="AD21" i="6"/>
  <c r="AE21" i="6"/>
  <c r="AF21" i="6"/>
  <c r="AG21" i="6"/>
  <c r="AH21" i="6"/>
  <c r="AI21" i="6"/>
  <c r="AJ21" i="6"/>
  <c r="U22" i="6"/>
  <c r="V22" i="6"/>
  <c r="W22" i="6"/>
  <c r="X22" i="6"/>
  <c r="Z22" i="6"/>
  <c r="AA22" i="6"/>
  <c r="AB22" i="6"/>
  <c r="AC22" i="6"/>
  <c r="AD22" i="6"/>
  <c r="AE22" i="6"/>
  <c r="AF22" i="6"/>
  <c r="AG22" i="6"/>
  <c r="AH22" i="6"/>
  <c r="AI22" i="6"/>
  <c r="AJ22" i="6"/>
  <c r="U23" i="6"/>
  <c r="V23" i="6"/>
  <c r="W23" i="6"/>
  <c r="X23" i="6" s="1"/>
  <c r="Z23" i="6"/>
  <c r="AA23" i="6"/>
  <c r="AB23" i="6"/>
  <c r="AC23" i="6"/>
  <c r="AD23" i="6"/>
  <c r="AE23" i="6"/>
  <c r="AF23" i="6"/>
  <c r="AG23" i="6"/>
  <c r="AH23" i="6"/>
  <c r="AI23" i="6"/>
  <c r="AJ23" i="6"/>
  <c r="U24" i="6"/>
  <c r="V24" i="6"/>
  <c r="W24" i="6"/>
  <c r="X24" i="6" s="1"/>
  <c r="Z24" i="6"/>
  <c r="AA24" i="6"/>
  <c r="AB24" i="6"/>
  <c r="AC24" i="6"/>
  <c r="AD24" i="6"/>
  <c r="AE24" i="6"/>
  <c r="AF24" i="6"/>
  <c r="AG24" i="6"/>
  <c r="AH24" i="6"/>
  <c r="AI24" i="6"/>
  <c r="AJ24" i="6"/>
  <c r="U25" i="6"/>
  <c r="X25" i="6" s="1"/>
  <c r="V25" i="6"/>
  <c r="W25" i="6"/>
  <c r="Z25" i="6"/>
  <c r="AA25" i="6"/>
  <c r="AB25" i="6"/>
  <c r="AC25" i="6"/>
  <c r="AD25" i="6"/>
  <c r="AE25" i="6"/>
  <c r="AF25" i="6"/>
  <c r="AG25" i="6"/>
  <c r="AH25" i="6"/>
  <c r="AI25" i="6"/>
  <c r="AJ25" i="6"/>
  <c r="U26" i="6"/>
  <c r="V26" i="6"/>
  <c r="W26" i="6"/>
  <c r="X26" i="6"/>
  <c r="Z26" i="6"/>
  <c r="AA26" i="6"/>
  <c r="AB26" i="6"/>
  <c r="AC26" i="6"/>
  <c r="AD26" i="6"/>
  <c r="AE26" i="6"/>
  <c r="AF26" i="6"/>
  <c r="AG26" i="6"/>
  <c r="AH26" i="6"/>
  <c r="AI26" i="6"/>
  <c r="AJ26" i="6"/>
  <c r="U27" i="6"/>
  <c r="V27" i="6"/>
  <c r="W27" i="6"/>
  <c r="X27" i="6"/>
  <c r="Z27" i="6"/>
  <c r="AA27" i="6"/>
  <c r="AB27" i="6"/>
  <c r="AC27" i="6"/>
  <c r="AD27" i="6"/>
  <c r="AE27" i="6"/>
  <c r="AG27" i="6"/>
  <c r="AH27" i="6"/>
  <c r="AI27" i="6"/>
  <c r="AJ27" i="6"/>
  <c r="U28" i="6"/>
  <c r="V28" i="6"/>
  <c r="W28" i="6"/>
  <c r="X28" i="6"/>
  <c r="Z28" i="6"/>
  <c r="AA28" i="6"/>
  <c r="AB28" i="6"/>
  <c r="AC28" i="6"/>
  <c r="AD28" i="6"/>
  <c r="AE28" i="6"/>
  <c r="AF28" i="6"/>
  <c r="AG28" i="6"/>
  <c r="AH28" i="6"/>
  <c r="AI28" i="6"/>
  <c r="AJ28" i="6"/>
  <c r="U29" i="6"/>
  <c r="V29" i="6"/>
  <c r="W29" i="6"/>
  <c r="X29" i="6"/>
  <c r="Z29" i="6"/>
  <c r="AA29" i="6"/>
  <c r="AB29" i="6"/>
  <c r="AC29" i="6"/>
  <c r="AD29" i="6"/>
  <c r="AE29" i="6"/>
  <c r="AF29" i="6"/>
  <c r="AG29" i="6"/>
  <c r="AH29" i="6"/>
  <c r="AI29" i="6"/>
  <c r="AJ29" i="6"/>
  <c r="U30" i="6"/>
  <c r="V30" i="6"/>
  <c r="W30" i="6"/>
  <c r="X30" i="6"/>
  <c r="Z30" i="6"/>
  <c r="AA30" i="6"/>
  <c r="AB30" i="6"/>
  <c r="AC30" i="6"/>
  <c r="AD30" i="6"/>
  <c r="AE30" i="6"/>
  <c r="AF30" i="6"/>
  <c r="AG30" i="6"/>
  <c r="AH30" i="6"/>
  <c r="AI30" i="6"/>
  <c r="AJ30" i="6"/>
  <c r="U31" i="6"/>
  <c r="V31" i="6"/>
  <c r="W31" i="6"/>
  <c r="X31" i="6"/>
  <c r="Z31" i="6"/>
  <c r="AA31" i="6"/>
  <c r="AB31" i="6"/>
  <c r="AC31" i="6"/>
  <c r="AD31" i="6"/>
  <c r="AE31" i="6"/>
  <c r="AF31" i="6"/>
  <c r="AG31" i="6"/>
  <c r="AH31" i="6"/>
  <c r="AI31" i="6"/>
  <c r="AJ31" i="6"/>
  <c r="U32" i="6"/>
  <c r="V32" i="6"/>
  <c r="W32" i="6"/>
  <c r="X32" i="6"/>
  <c r="Z32" i="6"/>
  <c r="AA32" i="6"/>
  <c r="AB32" i="6"/>
  <c r="AC32" i="6"/>
  <c r="AD32" i="6"/>
  <c r="AE32" i="6"/>
  <c r="AF32" i="6"/>
  <c r="AG32" i="6"/>
  <c r="AH32" i="6"/>
  <c r="AI32" i="6"/>
  <c r="AJ32" i="6"/>
  <c r="U33" i="6"/>
  <c r="V33" i="6"/>
  <c r="W33" i="6"/>
  <c r="X33" i="6"/>
  <c r="Z33" i="6"/>
  <c r="AA33" i="6"/>
  <c r="AB33" i="6"/>
  <c r="AC33" i="6"/>
  <c r="AD33" i="6"/>
  <c r="AE33" i="6"/>
  <c r="AF33" i="6"/>
  <c r="AG33" i="6"/>
  <c r="AH33" i="6"/>
  <c r="AI33" i="6"/>
  <c r="AJ33" i="6"/>
  <c r="U34" i="6"/>
  <c r="V34" i="6"/>
  <c r="W34" i="6"/>
  <c r="X34" i="6"/>
  <c r="Z34" i="6"/>
  <c r="AA34" i="6"/>
  <c r="AB34" i="6"/>
  <c r="AC34" i="6"/>
  <c r="AD34" i="6"/>
  <c r="AE34" i="6"/>
  <c r="AF34" i="6"/>
  <c r="AG34" i="6"/>
  <c r="AH34" i="6"/>
  <c r="AI34" i="6"/>
  <c r="AJ34" i="6"/>
  <c r="U35" i="6"/>
  <c r="V35" i="6"/>
  <c r="W35" i="6"/>
  <c r="X35" i="6"/>
  <c r="Z35" i="6"/>
  <c r="AA35" i="6"/>
  <c r="AB35" i="6"/>
  <c r="AC35" i="6"/>
  <c r="AD35" i="6"/>
  <c r="AE35" i="6"/>
  <c r="AF35" i="6"/>
  <c r="AG35" i="6"/>
  <c r="AH35" i="6"/>
  <c r="AI35" i="6"/>
  <c r="AJ35" i="6"/>
  <c r="U36" i="6"/>
  <c r="V36" i="6"/>
  <c r="W36" i="6"/>
  <c r="X36" i="6"/>
  <c r="Z36" i="6"/>
  <c r="AA36" i="6"/>
  <c r="AB36" i="6"/>
  <c r="AC36" i="6"/>
  <c r="AD36" i="6"/>
  <c r="AE36" i="6"/>
  <c r="AF36" i="6"/>
  <c r="AG36" i="6"/>
  <c r="AH36" i="6"/>
  <c r="AI36" i="6"/>
  <c r="AJ36" i="6"/>
  <c r="U37" i="6"/>
  <c r="V37" i="6"/>
  <c r="X37" i="6" s="1"/>
  <c r="W37" i="6"/>
  <c r="Z37" i="6"/>
  <c r="AA37" i="6"/>
  <c r="AB37" i="6"/>
  <c r="AC37" i="6"/>
  <c r="AD37" i="6"/>
  <c r="AE37" i="6"/>
  <c r="AF37" i="6"/>
  <c r="AG37" i="6"/>
  <c r="AH37" i="6"/>
  <c r="AI37" i="6"/>
  <c r="AJ37" i="6"/>
  <c r="U38" i="6"/>
  <c r="V38" i="6"/>
  <c r="W38" i="6"/>
  <c r="X38" i="6" s="1"/>
  <c r="Z38" i="6"/>
  <c r="AA38" i="6"/>
  <c r="AB38" i="6"/>
  <c r="AC38" i="6"/>
  <c r="AD38" i="6"/>
  <c r="AE38" i="6"/>
  <c r="AF38" i="6"/>
  <c r="AG38" i="6"/>
  <c r="AH38" i="6"/>
  <c r="AI38" i="6"/>
  <c r="AJ38" i="6"/>
  <c r="U39" i="6"/>
  <c r="V39" i="6"/>
  <c r="W39" i="6"/>
  <c r="X39" i="6"/>
  <c r="Z39" i="6"/>
  <c r="AA39" i="6"/>
  <c r="AB39" i="6"/>
  <c r="AC39" i="6"/>
  <c r="AD39" i="6"/>
  <c r="AE39" i="6"/>
  <c r="AF39" i="6"/>
  <c r="AG39" i="6"/>
  <c r="AH39" i="6"/>
  <c r="AI39" i="6"/>
  <c r="AJ39" i="6"/>
  <c r="U40" i="6"/>
  <c r="V40" i="6"/>
  <c r="X40" i="6" s="1"/>
  <c r="W40" i="6"/>
  <c r="Z40" i="6"/>
  <c r="AA40" i="6"/>
  <c r="AB40" i="6"/>
  <c r="AC40" i="6"/>
  <c r="AD40" i="6"/>
  <c r="AE40" i="6"/>
  <c r="AF40" i="6"/>
  <c r="AG40" i="6"/>
  <c r="AH40" i="6"/>
  <c r="AI40" i="6"/>
  <c r="AJ40" i="6"/>
  <c r="U41" i="6"/>
  <c r="V41" i="6"/>
  <c r="W41" i="6"/>
  <c r="X41" i="6"/>
  <c r="Z41" i="6"/>
  <c r="AA41" i="6"/>
  <c r="AB41" i="6"/>
  <c r="AC41" i="6"/>
  <c r="AD41" i="6"/>
  <c r="AE41" i="6"/>
  <c r="AF41" i="6"/>
  <c r="AG41" i="6"/>
  <c r="AH41" i="6"/>
  <c r="AI41" i="6"/>
  <c r="AJ41" i="6"/>
  <c r="U42" i="6"/>
  <c r="V42" i="6"/>
  <c r="X42" i="6" s="1"/>
  <c r="W42" i="6"/>
  <c r="Z42" i="6"/>
  <c r="AA42" i="6"/>
  <c r="AB42" i="6"/>
  <c r="AC42" i="6"/>
  <c r="AD42" i="6"/>
  <c r="AE42" i="6"/>
  <c r="AF42" i="6"/>
  <c r="AG42" i="6"/>
  <c r="AH42" i="6"/>
  <c r="AI42" i="6"/>
  <c r="AJ42" i="6"/>
  <c r="U43" i="6"/>
  <c r="V43" i="6"/>
  <c r="W43" i="6"/>
  <c r="X43" i="6"/>
  <c r="Z43" i="6"/>
  <c r="AA43" i="6"/>
  <c r="AB43" i="6"/>
  <c r="AC43" i="6"/>
  <c r="AD43" i="6"/>
  <c r="AE43" i="6"/>
  <c r="AF43" i="6"/>
  <c r="AG43" i="6"/>
  <c r="AH43" i="6"/>
  <c r="AI43" i="6"/>
  <c r="AJ43" i="6"/>
  <c r="U44" i="6"/>
  <c r="V44" i="6"/>
  <c r="W44" i="6"/>
  <c r="X44" i="6"/>
  <c r="Z44" i="6"/>
  <c r="AA44" i="6"/>
  <c r="AB44" i="6"/>
  <c r="AC44" i="6"/>
  <c r="AD44" i="6"/>
  <c r="AE44" i="6"/>
  <c r="AF44" i="6"/>
  <c r="AG44" i="6"/>
  <c r="AH44" i="6"/>
  <c r="AI44" i="6"/>
  <c r="AJ44" i="6"/>
  <c r="U45" i="6"/>
  <c r="V45" i="6"/>
  <c r="W45" i="6"/>
  <c r="X45" i="6"/>
  <c r="Z45" i="6"/>
  <c r="AA45" i="6"/>
  <c r="AB45" i="6"/>
  <c r="AC45" i="6"/>
  <c r="AD45" i="6"/>
  <c r="AE45" i="6"/>
  <c r="AF45" i="6"/>
  <c r="AG45" i="6"/>
  <c r="AH45" i="6"/>
  <c r="AI45" i="6"/>
  <c r="AJ45" i="6"/>
  <c r="U46" i="6"/>
  <c r="V46" i="6"/>
  <c r="W46" i="6"/>
  <c r="X46" i="6"/>
  <c r="Z46" i="6"/>
  <c r="AA46" i="6"/>
  <c r="AB46" i="6"/>
  <c r="AC46" i="6"/>
  <c r="AD46" i="6"/>
  <c r="AE46" i="6"/>
  <c r="AF46" i="6"/>
  <c r="AG46" i="6"/>
  <c r="AH46" i="6"/>
  <c r="AI46" i="6"/>
  <c r="AJ46" i="6"/>
  <c r="U47" i="6"/>
  <c r="V47" i="6"/>
  <c r="W47" i="6"/>
  <c r="X47" i="6" s="1"/>
  <c r="Z47" i="6"/>
  <c r="AA47" i="6"/>
  <c r="AB47" i="6"/>
  <c r="AC47" i="6"/>
  <c r="AD47" i="6"/>
  <c r="AE47" i="6"/>
  <c r="AF47" i="6"/>
  <c r="AG47" i="6"/>
  <c r="AH47" i="6"/>
  <c r="AI47" i="6"/>
  <c r="AJ47" i="6"/>
  <c r="U48" i="6"/>
  <c r="V48" i="6"/>
  <c r="W48" i="6"/>
  <c r="X48" i="6"/>
  <c r="Z48" i="6"/>
  <c r="AA48" i="6"/>
  <c r="AB48" i="6"/>
  <c r="AC48" i="6"/>
  <c r="AD48" i="6"/>
  <c r="AE48" i="6"/>
  <c r="AF48" i="6"/>
  <c r="AG48" i="6"/>
  <c r="AH48" i="6"/>
  <c r="AI48" i="6"/>
  <c r="AJ48" i="6"/>
  <c r="U49" i="6"/>
  <c r="V49" i="6"/>
  <c r="W49" i="6"/>
  <c r="X49" i="6"/>
  <c r="Z49" i="6"/>
  <c r="AA49" i="6"/>
  <c r="AB49" i="6"/>
  <c r="AC49" i="6"/>
  <c r="AD49" i="6"/>
  <c r="AE49" i="6"/>
  <c r="AF49" i="6"/>
  <c r="AG49" i="6"/>
  <c r="AH49" i="6"/>
  <c r="AI49" i="6"/>
  <c r="AJ49" i="6"/>
  <c r="U50" i="6"/>
  <c r="V50" i="6"/>
  <c r="W50" i="6"/>
  <c r="X50" i="6"/>
  <c r="Z50" i="6"/>
  <c r="AA50" i="6"/>
  <c r="AB50" i="6"/>
  <c r="AC50" i="6"/>
  <c r="AD50" i="6"/>
  <c r="AE50" i="6"/>
  <c r="AF50" i="6"/>
  <c r="AG50" i="6"/>
  <c r="AH50" i="6"/>
  <c r="AI50" i="6"/>
  <c r="AJ50" i="6"/>
  <c r="U51" i="6"/>
  <c r="V51" i="6"/>
  <c r="W51" i="6"/>
  <c r="X51" i="6"/>
  <c r="Z51" i="6"/>
  <c r="AA51" i="6"/>
  <c r="AB51" i="6"/>
  <c r="AC51" i="6"/>
  <c r="AD51" i="6"/>
  <c r="AE51" i="6"/>
  <c r="AF51" i="6"/>
  <c r="AG51" i="6"/>
  <c r="AH51" i="6"/>
  <c r="AI51" i="6"/>
  <c r="AJ51" i="6"/>
  <c r="U52" i="6"/>
  <c r="V52" i="6"/>
  <c r="W52" i="6"/>
  <c r="X52" i="6"/>
  <c r="Z52" i="6"/>
  <c r="AA52" i="6"/>
  <c r="AB52" i="6"/>
  <c r="AC52" i="6"/>
  <c r="AD52" i="6"/>
  <c r="AE52" i="6"/>
  <c r="AF52" i="6"/>
  <c r="AG52" i="6"/>
  <c r="AH52" i="6"/>
  <c r="AI52" i="6"/>
  <c r="AJ52" i="6"/>
  <c r="U53" i="6"/>
  <c r="V53" i="6"/>
  <c r="W53" i="6"/>
  <c r="X53" i="6"/>
  <c r="Z53" i="6"/>
  <c r="AA53" i="6"/>
  <c r="AB53" i="6"/>
  <c r="AC53" i="6"/>
  <c r="AD53" i="6"/>
  <c r="AE53" i="6"/>
  <c r="AF53" i="6"/>
  <c r="AG53" i="6"/>
  <c r="AH53" i="6"/>
  <c r="AI53" i="6"/>
  <c r="AJ53" i="6"/>
  <c r="U54" i="6"/>
  <c r="V54" i="6"/>
  <c r="W54" i="6"/>
  <c r="X54" i="6"/>
  <c r="Z54" i="6"/>
  <c r="AA54" i="6"/>
  <c r="AB54" i="6"/>
  <c r="AC54" i="6"/>
  <c r="AD54" i="6"/>
  <c r="AE54" i="6"/>
  <c r="AF54" i="6"/>
  <c r="AG54" i="6"/>
  <c r="AH54" i="6"/>
  <c r="AI54" i="6"/>
  <c r="AJ54" i="6"/>
  <c r="U55" i="6"/>
  <c r="V55" i="6"/>
  <c r="W55" i="6"/>
  <c r="X55" i="6"/>
  <c r="Z55" i="6"/>
  <c r="AA55" i="6"/>
  <c r="AB55" i="6"/>
  <c r="AC55" i="6"/>
  <c r="AD55" i="6"/>
  <c r="AE55" i="6"/>
  <c r="AF55" i="6"/>
  <c r="AG55" i="6"/>
  <c r="AH55" i="6"/>
  <c r="AI55" i="6"/>
  <c r="AJ55" i="6"/>
  <c r="U56" i="6"/>
  <c r="V56" i="6"/>
  <c r="W56" i="6"/>
  <c r="X56" i="6"/>
  <c r="Z56" i="6"/>
  <c r="AA56" i="6"/>
  <c r="AB56" i="6"/>
  <c r="AC56" i="6"/>
  <c r="AD56" i="6"/>
  <c r="AE56" i="6"/>
  <c r="AF56" i="6"/>
  <c r="AG56" i="6"/>
  <c r="AH56" i="6"/>
  <c r="AI56" i="6"/>
  <c r="AJ56" i="6"/>
  <c r="U57" i="6"/>
  <c r="V57" i="6"/>
  <c r="W57" i="6"/>
  <c r="X57" i="6"/>
  <c r="Z57" i="6"/>
  <c r="AA57" i="6"/>
  <c r="AB57" i="6"/>
  <c r="AC57" i="6"/>
  <c r="AD57" i="6"/>
  <c r="AE57" i="6"/>
  <c r="AF57" i="6"/>
  <c r="AG57" i="6"/>
  <c r="AH57" i="6"/>
  <c r="AI57" i="6"/>
  <c r="AJ57" i="6"/>
  <c r="U58" i="6"/>
  <c r="V58" i="6"/>
  <c r="W58" i="6"/>
  <c r="X58" i="6"/>
  <c r="Z58" i="6"/>
  <c r="AA58" i="6"/>
  <c r="AB58" i="6"/>
  <c r="AC58" i="6"/>
  <c r="AD58" i="6"/>
  <c r="AE58" i="6"/>
  <c r="AF58" i="6"/>
  <c r="AG58" i="6"/>
  <c r="AH58" i="6"/>
  <c r="AI58" i="6"/>
  <c r="AJ58" i="6"/>
  <c r="U59" i="6"/>
  <c r="V59" i="6"/>
  <c r="W59" i="6"/>
  <c r="X59" i="6"/>
  <c r="Z59" i="6"/>
  <c r="AA59" i="6"/>
  <c r="AB59" i="6"/>
  <c r="AC59" i="6"/>
  <c r="AD59" i="6"/>
  <c r="AE59" i="6"/>
  <c r="AF59" i="6"/>
  <c r="AG59" i="6"/>
  <c r="AH59" i="6"/>
  <c r="AI59" i="6"/>
  <c r="AJ59" i="6"/>
  <c r="U60" i="6"/>
  <c r="V60" i="6"/>
  <c r="W60" i="6"/>
  <c r="X60" i="6"/>
  <c r="Z60" i="6"/>
  <c r="AA60" i="6"/>
  <c r="AB60" i="6"/>
  <c r="AC60" i="6"/>
  <c r="AD60" i="6"/>
  <c r="AE60" i="6"/>
  <c r="AF60" i="6"/>
  <c r="AG60" i="6"/>
  <c r="AH60" i="6"/>
  <c r="AI60" i="6"/>
  <c r="AJ60" i="6"/>
  <c r="U61" i="6"/>
  <c r="V61" i="6"/>
  <c r="W61" i="6"/>
  <c r="X61" i="6"/>
  <c r="Z61" i="6"/>
  <c r="AA61" i="6"/>
  <c r="AB61" i="6"/>
  <c r="AC61" i="6"/>
  <c r="AD61" i="6"/>
  <c r="AE61" i="6"/>
  <c r="AF61" i="6"/>
  <c r="AG61" i="6"/>
  <c r="AH61" i="6"/>
  <c r="AI61" i="6"/>
  <c r="AJ61" i="6"/>
  <c r="U62" i="6"/>
  <c r="V62" i="6"/>
  <c r="W62" i="6"/>
  <c r="X62" i="6"/>
  <c r="Z62" i="6"/>
  <c r="AA62" i="6"/>
  <c r="AB62" i="6"/>
  <c r="AC62" i="6"/>
  <c r="AD62" i="6"/>
  <c r="AE62" i="6"/>
  <c r="AF62" i="6"/>
  <c r="AG62" i="6"/>
  <c r="AH62" i="6"/>
  <c r="AI62" i="6"/>
  <c r="AJ62" i="6"/>
  <c r="U63" i="6"/>
  <c r="V63" i="6"/>
  <c r="W63" i="6"/>
  <c r="X63" i="6"/>
  <c r="Z63" i="6"/>
  <c r="AA63" i="6"/>
  <c r="AB63" i="6"/>
  <c r="AC63" i="6"/>
  <c r="AD63" i="6"/>
  <c r="AE63" i="6"/>
  <c r="AF63" i="6"/>
  <c r="AG63" i="6"/>
  <c r="AH63" i="6"/>
  <c r="AI63" i="6"/>
  <c r="AJ63" i="6"/>
  <c r="U64" i="6"/>
  <c r="V64" i="6"/>
  <c r="W64" i="6"/>
  <c r="X64" i="6"/>
  <c r="Z64" i="6"/>
  <c r="AA64" i="6"/>
  <c r="AB64" i="6"/>
  <c r="AC64" i="6"/>
  <c r="AD64" i="6"/>
  <c r="AE64" i="6"/>
  <c r="AF64" i="6"/>
  <c r="AG64" i="6"/>
  <c r="AH64" i="6"/>
  <c r="AI64" i="6"/>
  <c r="AJ64" i="6"/>
  <c r="U65" i="6"/>
  <c r="V65" i="6"/>
  <c r="W65" i="6"/>
  <c r="X65" i="6"/>
  <c r="Z65" i="6"/>
  <c r="AA65" i="6"/>
  <c r="AB65" i="6"/>
  <c r="AC65" i="6"/>
  <c r="AD65" i="6"/>
  <c r="AE65" i="6"/>
  <c r="AF65" i="6"/>
  <c r="AG65" i="6"/>
  <c r="AH65" i="6"/>
  <c r="AI65" i="6"/>
  <c r="AJ65" i="6"/>
  <c r="U66" i="6"/>
  <c r="V66" i="6"/>
  <c r="W66" i="6"/>
  <c r="X66" i="6"/>
  <c r="Z66" i="6"/>
  <c r="AA66" i="6"/>
  <c r="AB66" i="6"/>
  <c r="AC66" i="6"/>
  <c r="AD66" i="6"/>
  <c r="AE66" i="6"/>
  <c r="AF66" i="6"/>
  <c r="AG66" i="6"/>
  <c r="AH66" i="6"/>
  <c r="AI66" i="6"/>
  <c r="AJ66" i="6"/>
  <c r="U67" i="6"/>
  <c r="V67" i="6"/>
  <c r="W67" i="6"/>
  <c r="X67" i="6"/>
  <c r="Z67" i="6"/>
  <c r="AA67" i="6"/>
  <c r="AB67" i="6"/>
  <c r="AC67" i="6"/>
  <c r="AD67" i="6"/>
  <c r="AE67" i="6"/>
  <c r="AF67" i="6"/>
  <c r="AG67" i="6"/>
  <c r="AH67" i="6"/>
  <c r="AI67" i="6"/>
  <c r="AJ67" i="6"/>
  <c r="U68" i="6"/>
  <c r="V68" i="6"/>
  <c r="W68" i="6"/>
  <c r="X68" i="6"/>
  <c r="Z68" i="6"/>
  <c r="AA68" i="6"/>
  <c r="AB68" i="6"/>
  <c r="AC68" i="6"/>
  <c r="AD68" i="6"/>
  <c r="AE68" i="6"/>
  <c r="AF68" i="6"/>
  <c r="AG68" i="6"/>
  <c r="AH68" i="6"/>
  <c r="AI68" i="6"/>
  <c r="AJ68" i="6"/>
  <c r="U69" i="6"/>
  <c r="V69" i="6"/>
  <c r="W69" i="6"/>
  <c r="X69" i="6"/>
  <c r="Z69" i="6"/>
  <c r="AA69" i="6"/>
  <c r="AB69" i="6"/>
  <c r="AC69" i="6"/>
  <c r="AD69" i="6"/>
  <c r="AE69" i="6"/>
  <c r="AF69" i="6"/>
  <c r="AG69" i="6"/>
  <c r="AH69" i="6"/>
  <c r="AI69" i="6"/>
  <c r="AJ69" i="6"/>
  <c r="U70" i="6"/>
  <c r="V70" i="6"/>
  <c r="W70" i="6"/>
  <c r="X70" i="6"/>
  <c r="Z70" i="6"/>
  <c r="AA70" i="6"/>
  <c r="AB70" i="6"/>
  <c r="AC70" i="6"/>
  <c r="AD70" i="6"/>
  <c r="AE70" i="6"/>
  <c r="AF70" i="6"/>
  <c r="AG70" i="6"/>
  <c r="AH70" i="6"/>
  <c r="AI70" i="6"/>
  <c r="AJ70" i="6"/>
  <c r="U71" i="6"/>
  <c r="V71" i="6"/>
  <c r="W71" i="6"/>
  <c r="X71" i="6"/>
  <c r="Z71" i="6"/>
  <c r="AA71" i="6"/>
  <c r="AB71" i="6"/>
  <c r="AC71" i="6"/>
  <c r="AD71" i="6"/>
  <c r="AE71" i="6"/>
  <c r="AF71" i="6"/>
  <c r="AG71" i="6"/>
  <c r="AH71" i="6"/>
  <c r="AI71" i="6"/>
  <c r="AJ71" i="6"/>
  <c r="U72" i="6"/>
  <c r="V72" i="6"/>
  <c r="W72" i="6"/>
  <c r="X72" i="6"/>
  <c r="Z72" i="6"/>
  <c r="AA72" i="6"/>
  <c r="AB72" i="6"/>
  <c r="AC72" i="6"/>
  <c r="AD72" i="6"/>
  <c r="AE72" i="6"/>
  <c r="AF72" i="6"/>
  <c r="AG72" i="6"/>
  <c r="AH72" i="6"/>
  <c r="AI72" i="6"/>
  <c r="AJ72" i="6"/>
  <c r="U73" i="6"/>
  <c r="V73" i="6"/>
  <c r="W73" i="6"/>
  <c r="X73" i="6"/>
  <c r="Z73" i="6"/>
  <c r="AA73" i="6"/>
  <c r="AB73" i="6"/>
  <c r="AC73" i="6"/>
  <c r="AD73" i="6"/>
  <c r="AE73" i="6"/>
  <c r="AF73" i="6"/>
  <c r="AG73" i="6"/>
  <c r="AH73" i="6"/>
  <c r="AI73" i="6"/>
  <c r="AJ73" i="6"/>
  <c r="U74" i="6"/>
  <c r="V74" i="6"/>
  <c r="W74" i="6"/>
  <c r="X74" i="6"/>
  <c r="Z74" i="6"/>
  <c r="AA74" i="6"/>
  <c r="AB74" i="6"/>
  <c r="AC74" i="6"/>
  <c r="AD74" i="6"/>
  <c r="AE74" i="6"/>
  <c r="AF74" i="6"/>
  <c r="AG74" i="6"/>
  <c r="AH74" i="6"/>
  <c r="AI74" i="6"/>
  <c r="AJ74" i="6"/>
  <c r="U75" i="6"/>
  <c r="V75" i="6"/>
  <c r="W75" i="6"/>
  <c r="X75" i="6"/>
  <c r="Z75" i="6"/>
  <c r="AA75" i="6"/>
  <c r="AB75" i="6"/>
  <c r="AC75" i="6"/>
  <c r="AD75" i="6"/>
  <c r="AE75" i="6"/>
  <c r="AF75" i="6"/>
  <c r="AG75" i="6"/>
  <c r="AH75" i="6"/>
  <c r="AI75" i="6"/>
  <c r="AJ75" i="6"/>
  <c r="U76" i="6"/>
  <c r="V76" i="6"/>
  <c r="W76" i="6"/>
  <c r="X76" i="6"/>
  <c r="Z76" i="6"/>
  <c r="AA76" i="6"/>
  <c r="AB76" i="6"/>
  <c r="AC76" i="6"/>
  <c r="AD76" i="6"/>
  <c r="AE76" i="6"/>
  <c r="AF76" i="6"/>
  <c r="AG76" i="6"/>
  <c r="AH76" i="6"/>
  <c r="AI76" i="6"/>
  <c r="AJ76" i="6"/>
  <c r="U77" i="6"/>
  <c r="V77" i="6"/>
  <c r="W77" i="6"/>
  <c r="X77" i="6"/>
  <c r="Z77" i="6"/>
  <c r="AA77" i="6"/>
  <c r="AB77" i="6"/>
  <c r="AC77" i="6"/>
  <c r="AD77" i="6"/>
  <c r="AE77" i="6"/>
  <c r="AF77" i="6"/>
  <c r="AG77" i="6"/>
  <c r="AH77" i="6"/>
  <c r="AI77" i="6"/>
  <c r="AJ77" i="6"/>
  <c r="U78" i="6"/>
  <c r="V78" i="6"/>
  <c r="W78" i="6"/>
  <c r="X78" i="6"/>
  <c r="Z78" i="6"/>
  <c r="AA78" i="6"/>
  <c r="AB78" i="6"/>
  <c r="AC78" i="6"/>
  <c r="AD78" i="6"/>
  <c r="AE78" i="6"/>
  <c r="AF78" i="6"/>
  <c r="AG78" i="6"/>
  <c r="AH78" i="6"/>
  <c r="AI78" i="6"/>
  <c r="AJ78" i="6"/>
  <c r="U79" i="6"/>
  <c r="V79" i="6"/>
  <c r="W79" i="6"/>
  <c r="X79" i="6"/>
  <c r="Z79" i="6"/>
  <c r="AA79" i="6"/>
  <c r="AB79" i="6"/>
  <c r="AC79" i="6"/>
  <c r="AD79" i="6"/>
  <c r="AE79" i="6"/>
  <c r="AF79" i="6"/>
  <c r="AG79" i="6"/>
  <c r="AH79" i="6"/>
  <c r="AI79" i="6"/>
  <c r="AJ79" i="6"/>
  <c r="U80" i="6"/>
  <c r="V80" i="6"/>
  <c r="W80" i="6"/>
  <c r="X80" i="6"/>
  <c r="Z80" i="6"/>
  <c r="AA80" i="6"/>
  <c r="AB80" i="6"/>
  <c r="AC80" i="6"/>
  <c r="AD80" i="6"/>
  <c r="AE80" i="6"/>
  <c r="AF80" i="6"/>
  <c r="AG80" i="6"/>
  <c r="AH80" i="6"/>
  <c r="AI80" i="6"/>
  <c r="AJ80" i="6"/>
  <c r="U81" i="6"/>
  <c r="V81" i="6"/>
  <c r="W81" i="6"/>
  <c r="X81" i="6"/>
  <c r="Z81" i="6"/>
  <c r="AA81" i="6"/>
  <c r="AB81" i="6"/>
  <c r="AC81" i="6"/>
  <c r="AD81" i="6"/>
  <c r="AE81" i="6"/>
  <c r="AF81" i="6"/>
  <c r="AG81" i="6"/>
  <c r="AH81" i="6"/>
  <c r="AI81" i="6"/>
  <c r="AJ81" i="6"/>
  <c r="U82" i="6"/>
  <c r="V82" i="6"/>
  <c r="W82" i="6"/>
  <c r="X82" i="6"/>
  <c r="Z82" i="6"/>
  <c r="AA82" i="6"/>
  <c r="AB82" i="6"/>
  <c r="AC82" i="6"/>
  <c r="AD82" i="6"/>
  <c r="AE82" i="6"/>
  <c r="AF82" i="6"/>
  <c r="AG82" i="6"/>
  <c r="AH82" i="6"/>
  <c r="AI82" i="6"/>
  <c r="AJ82" i="6"/>
  <c r="U83" i="6"/>
  <c r="V83" i="6"/>
  <c r="W83" i="6"/>
  <c r="X83" i="6"/>
  <c r="Z83" i="6"/>
  <c r="AA83" i="6"/>
  <c r="AB83" i="6"/>
  <c r="AC83" i="6"/>
  <c r="AD83" i="6"/>
  <c r="AE83" i="6"/>
  <c r="AF83" i="6"/>
  <c r="AG83" i="6"/>
  <c r="AH83" i="6"/>
  <c r="AI83" i="6"/>
  <c r="AJ83" i="6"/>
  <c r="U84" i="6"/>
  <c r="V84" i="6"/>
  <c r="W84" i="6"/>
  <c r="X84" i="6"/>
  <c r="Z84" i="6"/>
  <c r="AA84" i="6"/>
  <c r="AB84" i="6"/>
  <c r="AC84" i="6"/>
  <c r="AD84" i="6"/>
  <c r="AE84" i="6"/>
  <c r="AF84" i="6"/>
  <c r="AG84" i="6"/>
  <c r="AH84" i="6"/>
  <c r="AI84" i="6"/>
  <c r="AJ84" i="6"/>
  <c r="U85" i="6"/>
  <c r="V85" i="6"/>
  <c r="W85" i="6"/>
  <c r="X85" i="6"/>
  <c r="Z85" i="6"/>
  <c r="AA85" i="6"/>
  <c r="AB85" i="6"/>
  <c r="AC85" i="6"/>
  <c r="AD85" i="6"/>
  <c r="AE85" i="6"/>
  <c r="AF85" i="6"/>
  <c r="AG85" i="6"/>
  <c r="AH85" i="6"/>
  <c r="AI85" i="6"/>
  <c r="AJ85" i="6"/>
  <c r="U86" i="6"/>
  <c r="V86" i="6"/>
  <c r="W86" i="6"/>
  <c r="X86" i="6"/>
  <c r="Z86" i="6"/>
  <c r="AA86" i="6"/>
  <c r="AB86" i="6"/>
  <c r="AC86" i="6"/>
  <c r="AD86" i="6"/>
  <c r="AE86" i="6"/>
  <c r="AF86" i="6"/>
  <c r="AG86" i="6"/>
  <c r="AH86" i="6"/>
  <c r="AI86" i="6"/>
  <c r="AJ86" i="6"/>
  <c r="U87" i="6"/>
  <c r="V87" i="6"/>
  <c r="W87" i="6"/>
  <c r="X87" i="6"/>
  <c r="Z87" i="6"/>
  <c r="AA87" i="6"/>
  <c r="AB87" i="6"/>
  <c r="AC87" i="6"/>
  <c r="AD87" i="6"/>
  <c r="AE87" i="6"/>
  <c r="AF87" i="6"/>
  <c r="AG87" i="6"/>
  <c r="AH87" i="6"/>
  <c r="AI87" i="6"/>
  <c r="AJ87" i="6"/>
  <c r="U88" i="6"/>
  <c r="V88" i="6"/>
  <c r="W88" i="6"/>
  <c r="X88" i="6"/>
  <c r="Z88" i="6"/>
  <c r="AA88" i="6"/>
  <c r="AB88" i="6"/>
  <c r="AC88" i="6"/>
  <c r="AD88" i="6"/>
  <c r="AE88" i="6"/>
  <c r="AF88" i="6"/>
  <c r="AG88" i="6"/>
  <c r="AH88" i="6"/>
  <c r="AI88" i="6"/>
  <c r="AJ88" i="6"/>
  <c r="U89" i="6"/>
  <c r="V89" i="6"/>
  <c r="W89" i="6"/>
  <c r="X89" i="6"/>
  <c r="Z89" i="6"/>
  <c r="AA89" i="6"/>
  <c r="AB89" i="6"/>
  <c r="AC89" i="6"/>
  <c r="AD89" i="6"/>
  <c r="AE89" i="6"/>
  <c r="AF89" i="6"/>
  <c r="AG89" i="6"/>
  <c r="AH89" i="6"/>
  <c r="AI89" i="6"/>
  <c r="AJ89" i="6"/>
  <c r="U90" i="6"/>
  <c r="V90" i="6"/>
  <c r="W90" i="6"/>
  <c r="X90" i="6"/>
  <c r="Z90" i="6"/>
  <c r="AA90" i="6"/>
  <c r="AB90" i="6"/>
  <c r="AC90" i="6"/>
  <c r="AD90" i="6"/>
  <c r="AE90" i="6"/>
  <c r="AF90" i="6"/>
  <c r="AG90" i="6"/>
  <c r="AH90" i="6"/>
  <c r="AI90" i="6"/>
  <c r="AJ90" i="6"/>
  <c r="U91" i="6"/>
  <c r="V91" i="6"/>
  <c r="W91" i="6"/>
  <c r="X91" i="6" s="1"/>
  <c r="Z91" i="6"/>
  <c r="AA91" i="6"/>
  <c r="AB91" i="6"/>
  <c r="AC91" i="6"/>
  <c r="AD91" i="6"/>
  <c r="AE91" i="6"/>
  <c r="AF91" i="6"/>
  <c r="AG91" i="6"/>
  <c r="AH91" i="6"/>
  <c r="AI91" i="6"/>
  <c r="AJ91" i="6"/>
  <c r="U92" i="6"/>
  <c r="V92" i="6"/>
  <c r="W92" i="6"/>
  <c r="X92" i="6"/>
  <c r="Z92" i="6"/>
  <c r="AA92" i="6"/>
  <c r="AB92" i="6"/>
  <c r="AC92" i="6"/>
  <c r="AD92" i="6"/>
  <c r="AE92" i="6"/>
  <c r="AF92" i="6"/>
  <c r="AG92" i="6"/>
  <c r="AH92" i="6"/>
  <c r="AI92" i="6"/>
  <c r="AJ92" i="6"/>
  <c r="U93" i="6"/>
  <c r="V93" i="6"/>
  <c r="W93" i="6"/>
  <c r="X93" i="6"/>
  <c r="Z93" i="6"/>
  <c r="AA93" i="6"/>
  <c r="AB93" i="6"/>
  <c r="AC93" i="6"/>
  <c r="AD93" i="6"/>
  <c r="AE93" i="6"/>
  <c r="AF93" i="6"/>
  <c r="AG93" i="6"/>
  <c r="AH93" i="6"/>
  <c r="AI93" i="6"/>
  <c r="AJ93" i="6"/>
  <c r="U94" i="6"/>
  <c r="V94" i="6"/>
  <c r="W94" i="6"/>
  <c r="X94" i="6"/>
  <c r="Z94" i="6"/>
  <c r="AA94" i="6"/>
  <c r="AB94" i="6"/>
  <c r="AC94" i="6"/>
  <c r="AD94" i="6"/>
  <c r="AE94" i="6"/>
  <c r="AF94" i="6"/>
  <c r="AG94" i="6"/>
  <c r="AH94" i="6"/>
  <c r="AI94" i="6"/>
  <c r="AJ94" i="6"/>
  <c r="U95" i="6"/>
  <c r="V95" i="6"/>
  <c r="W95" i="6"/>
  <c r="X95" i="6"/>
  <c r="Z95" i="6"/>
  <c r="AA95" i="6"/>
  <c r="AB95" i="6"/>
  <c r="AC95" i="6"/>
  <c r="AD95" i="6"/>
  <c r="AE95" i="6"/>
  <c r="AF95" i="6"/>
  <c r="AG95" i="6"/>
  <c r="AH95" i="6"/>
  <c r="AI95" i="6"/>
  <c r="AJ95" i="6"/>
  <c r="U96" i="6"/>
  <c r="V96" i="6"/>
  <c r="W96" i="6"/>
  <c r="X96" i="6"/>
  <c r="Z96" i="6"/>
  <c r="AA96" i="6"/>
  <c r="AB96" i="6"/>
  <c r="AC96" i="6"/>
  <c r="AD96" i="6"/>
  <c r="AE96" i="6"/>
  <c r="AF96" i="6"/>
  <c r="AG96" i="6"/>
  <c r="AH96" i="6"/>
  <c r="AI96" i="6"/>
  <c r="AJ96" i="6"/>
  <c r="U97" i="6"/>
  <c r="V97" i="6"/>
  <c r="W97" i="6"/>
  <c r="X97" i="6"/>
  <c r="Z97" i="6"/>
  <c r="AA97" i="6"/>
  <c r="AB97" i="6"/>
  <c r="AC97" i="6"/>
  <c r="AD97" i="6"/>
  <c r="AE97" i="6"/>
  <c r="AF97" i="6"/>
  <c r="AG97" i="6"/>
  <c r="AH97" i="6"/>
  <c r="AI97" i="6"/>
  <c r="AJ97" i="6"/>
  <c r="U98" i="6"/>
  <c r="V98" i="6"/>
  <c r="W98" i="6"/>
  <c r="X98" i="6"/>
  <c r="Z98" i="6"/>
  <c r="AA98" i="6"/>
  <c r="AB98" i="6"/>
  <c r="AC98" i="6"/>
  <c r="AD98" i="6"/>
  <c r="AE98" i="6"/>
  <c r="AF98" i="6"/>
  <c r="AG98" i="6"/>
  <c r="AH98" i="6"/>
  <c r="AI98" i="6"/>
  <c r="AJ98" i="6"/>
  <c r="U99" i="6"/>
  <c r="V99" i="6"/>
  <c r="W99" i="6"/>
  <c r="X99" i="6"/>
  <c r="Z99" i="6"/>
  <c r="AA99" i="6"/>
  <c r="AB99" i="6"/>
  <c r="AC99" i="6"/>
  <c r="AD99" i="6"/>
  <c r="AE99" i="6"/>
  <c r="AF99" i="6"/>
  <c r="AG99" i="6"/>
  <c r="AH99" i="6"/>
  <c r="AI99" i="6"/>
  <c r="AJ99" i="6"/>
  <c r="U100" i="6"/>
  <c r="V100" i="6"/>
  <c r="W100" i="6"/>
  <c r="X100" i="6"/>
  <c r="Z100" i="6"/>
  <c r="AA100" i="6"/>
  <c r="AB100" i="6"/>
  <c r="AC100" i="6"/>
  <c r="AD100" i="6"/>
  <c r="AE100" i="6"/>
  <c r="AF100" i="6"/>
  <c r="AG100" i="6"/>
  <c r="AH100" i="6"/>
  <c r="AI100" i="6"/>
  <c r="AJ100" i="6"/>
  <c r="U101" i="6"/>
  <c r="V101" i="6"/>
  <c r="W101" i="6"/>
  <c r="X101" i="6"/>
  <c r="Z101" i="6"/>
  <c r="AA101" i="6"/>
  <c r="AB101" i="6"/>
  <c r="AC101" i="6"/>
  <c r="AD101" i="6"/>
  <c r="AE101" i="6"/>
  <c r="AF101" i="6"/>
  <c r="AG101" i="6"/>
  <c r="AH101" i="6"/>
  <c r="AI101" i="6"/>
  <c r="AJ101" i="6"/>
  <c r="U102" i="6"/>
  <c r="V102" i="6"/>
  <c r="W102" i="6"/>
  <c r="X102" i="6"/>
  <c r="Z102" i="6"/>
  <c r="AA102" i="6"/>
  <c r="AB102" i="6"/>
  <c r="AC102" i="6"/>
  <c r="AD102" i="6"/>
  <c r="AE102" i="6"/>
  <c r="AF102" i="6"/>
  <c r="AG102" i="6"/>
  <c r="AH102" i="6"/>
  <c r="AI102" i="6"/>
  <c r="AJ102" i="6"/>
  <c r="U103" i="6"/>
  <c r="V103" i="6"/>
  <c r="W103" i="6"/>
  <c r="X103" i="6"/>
  <c r="Z103" i="6"/>
  <c r="AA103" i="6"/>
  <c r="AB103" i="6"/>
  <c r="AC103" i="6"/>
  <c r="AD103" i="6"/>
  <c r="AE103" i="6"/>
  <c r="AF103" i="6"/>
  <c r="AG103" i="6"/>
  <c r="AH103" i="6"/>
  <c r="AI103" i="6"/>
  <c r="AJ103" i="6"/>
  <c r="U104" i="6"/>
  <c r="V104" i="6"/>
  <c r="W104" i="6"/>
  <c r="X104" i="6"/>
  <c r="Z104" i="6"/>
  <c r="AA104" i="6"/>
  <c r="AB104" i="6"/>
  <c r="AC104" i="6"/>
  <c r="AD104" i="6"/>
  <c r="AE104" i="6"/>
  <c r="AF104" i="6"/>
  <c r="AG104" i="6"/>
  <c r="AH104" i="6"/>
  <c r="AI104" i="6"/>
  <c r="AJ104" i="6"/>
  <c r="U105" i="6"/>
  <c r="V105" i="6"/>
  <c r="W105" i="6"/>
  <c r="X105" i="6"/>
  <c r="Z105" i="6"/>
  <c r="AA105" i="6"/>
  <c r="AB105" i="6"/>
  <c r="AC105" i="6"/>
  <c r="AD105" i="6"/>
  <c r="AE105" i="6"/>
  <c r="AF105" i="6"/>
  <c r="AG105" i="6"/>
  <c r="AH105" i="6"/>
  <c r="AI105" i="6"/>
  <c r="AJ105" i="6"/>
  <c r="U106" i="6"/>
  <c r="V106" i="6"/>
  <c r="W106" i="6"/>
  <c r="X106" i="6"/>
  <c r="Z106" i="6"/>
  <c r="AA106" i="6"/>
  <c r="AB106" i="6"/>
  <c r="AC106" i="6"/>
  <c r="AD106" i="6"/>
  <c r="AE106" i="6"/>
  <c r="AF106" i="6"/>
  <c r="AG106" i="6"/>
  <c r="AH106" i="6"/>
  <c r="AI106" i="6"/>
  <c r="AJ106" i="6"/>
  <c r="U107" i="6"/>
  <c r="V107" i="6"/>
  <c r="W107" i="6"/>
  <c r="X107" i="6"/>
  <c r="Z107" i="6"/>
  <c r="AA107" i="6"/>
  <c r="AB107" i="6"/>
  <c r="AC107" i="6"/>
  <c r="AD107" i="6"/>
  <c r="AE107" i="6"/>
  <c r="AF107" i="6"/>
  <c r="AG107" i="6"/>
  <c r="AH107" i="6"/>
  <c r="AI107" i="6"/>
  <c r="AJ107" i="6"/>
  <c r="U108" i="6"/>
  <c r="V108" i="6"/>
  <c r="W108" i="6"/>
  <c r="X108" i="6"/>
  <c r="Z108" i="6"/>
  <c r="AA108" i="6"/>
  <c r="AB108" i="6"/>
  <c r="AC108" i="6"/>
  <c r="AD108" i="6"/>
  <c r="AE108" i="6"/>
  <c r="AF108" i="6"/>
  <c r="AG108" i="6"/>
  <c r="AH108" i="6"/>
  <c r="AI108" i="6"/>
  <c r="AJ108" i="6"/>
  <c r="U109" i="6"/>
  <c r="V109" i="6"/>
  <c r="W109" i="6"/>
  <c r="X109" i="6"/>
  <c r="Z109" i="6"/>
  <c r="AA109" i="6"/>
  <c r="AB109" i="6"/>
  <c r="AC109" i="6"/>
  <c r="AD109" i="6"/>
  <c r="AE109" i="6"/>
  <c r="AF109" i="6"/>
  <c r="AG109" i="6"/>
  <c r="AH109" i="6"/>
  <c r="AI109" i="6"/>
  <c r="AJ109" i="6"/>
  <c r="U110" i="6"/>
  <c r="V110" i="6"/>
  <c r="W110" i="6"/>
  <c r="X110" i="6"/>
  <c r="Z110" i="6"/>
  <c r="AA110" i="6"/>
  <c r="AB110" i="6"/>
  <c r="AC110" i="6"/>
  <c r="AD110" i="6"/>
  <c r="AE110" i="6"/>
  <c r="AF110" i="6"/>
  <c r="AG110" i="6"/>
  <c r="AH110" i="6"/>
  <c r="AI110" i="6"/>
  <c r="AJ110" i="6"/>
  <c r="U111" i="6"/>
  <c r="V111" i="6"/>
  <c r="W111" i="6"/>
  <c r="X111" i="6"/>
  <c r="Z111" i="6"/>
  <c r="AA111" i="6"/>
  <c r="AB111" i="6"/>
  <c r="AC111" i="6"/>
  <c r="AD111" i="6"/>
  <c r="AE111" i="6"/>
  <c r="AF111" i="6"/>
  <c r="AG111" i="6"/>
  <c r="AH111" i="6"/>
  <c r="AI111" i="6"/>
  <c r="AJ111" i="6"/>
  <c r="L111" i="6"/>
  <c r="L110" i="6"/>
  <c r="L109" i="6"/>
  <c r="L108" i="6"/>
  <c r="L107" i="6"/>
  <c r="P106" i="6"/>
  <c r="P105" i="6"/>
  <c r="L106" i="6"/>
  <c r="L105" i="6"/>
  <c r="P104" i="6"/>
  <c r="L104" i="6"/>
  <c r="P103" i="6"/>
  <c r="P102" i="6"/>
  <c r="L103" i="6"/>
  <c r="L102" i="6"/>
  <c r="L101" i="6"/>
  <c r="L100" i="6"/>
  <c r="L99" i="6"/>
  <c r="L98" i="6"/>
  <c r="L97" i="6"/>
  <c r="L96" i="6"/>
  <c r="L95" i="6"/>
  <c r="L94" i="6"/>
  <c r="L93" i="6"/>
  <c r="L92" i="6"/>
  <c r="P91" i="6"/>
  <c r="L91" i="6"/>
  <c r="P90" i="6"/>
  <c r="P89" i="6"/>
  <c r="L90" i="6"/>
  <c r="L89" i="6"/>
  <c r="R91" i="6"/>
  <c r="R90" i="6"/>
  <c r="R89" i="6"/>
  <c r="R88" i="6"/>
  <c r="R87" i="6"/>
  <c r="P88" i="6"/>
  <c r="P87" i="6"/>
  <c r="L88" i="6"/>
  <c r="L87" i="6"/>
  <c r="P86" i="6"/>
  <c r="L86" i="6"/>
  <c r="P85" i="6"/>
  <c r="P84" i="6"/>
  <c r="L85" i="6"/>
  <c r="L84" i="6"/>
  <c r="P82" i="6"/>
  <c r="P83" i="6"/>
  <c r="L83" i="6"/>
  <c r="L82" i="6"/>
  <c r="L81" i="6"/>
  <c r="L80" i="6"/>
  <c r="L79" i="6"/>
  <c r="L78" i="6"/>
  <c r="L77" i="6"/>
  <c r="L76" i="6"/>
  <c r="L75" i="6"/>
  <c r="L74" i="6"/>
  <c r="L73" i="6"/>
  <c r="L72" i="6"/>
  <c r="L66" i="6"/>
  <c r="L65" i="6"/>
  <c r="L64" i="6"/>
  <c r="L63" i="6"/>
  <c r="L62" i="6"/>
  <c r="P61" i="6"/>
  <c r="L61" i="6"/>
  <c r="P60" i="6"/>
  <c r="P59" i="6"/>
  <c r="L60" i="6"/>
  <c r="L59" i="6"/>
  <c r="P57" i="6"/>
  <c r="P58" i="6"/>
  <c r="L58" i="6"/>
  <c r="L57" i="6"/>
  <c r="P56" i="6"/>
  <c r="L56" i="6"/>
  <c r="P55" i="6"/>
  <c r="P54" i="6"/>
  <c r="L55" i="6"/>
  <c r="L54" i="6"/>
  <c r="L53" i="6"/>
  <c r="L52" i="6"/>
  <c r="P51" i="6"/>
  <c r="L51" i="6"/>
  <c r="P50" i="6"/>
  <c r="P49" i="6"/>
  <c r="L50" i="6"/>
  <c r="L49" i="6"/>
  <c r="P48" i="6"/>
  <c r="P47" i="6"/>
  <c r="L48" i="6"/>
  <c r="L47" i="6"/>
  <c r="L46" i="6"/>
  <c r="L45" i="6"/>
  <c r="L44" i="6"/>
  <c r="L43" i="6"/>
  <c r="L42" i="6"/>
  <c r="P40" i="6"/>
  <c r="T36" i="6"/>
  <c r="P36" i="6"/>
  <c r="L36" i="6"/>
  <c r="T35" i="6"/>
  <c r="T34" i="6"/>
  <c r="P35" i="6"/>
  <c r="P34" i="6"/>
  <c r="L35" i="6"/>
  <c r="L34" i="6"/>
  <c r="T33" i="6"/>
  <c r="T32" i="6"/>
  <c r="R36" i="6"/>
  <c r="R35" i="6"/>
  <c r="R34" i="6"/>
  <c r="R33" i="6"/>
  <c r="R32" i="6"/>
  <c r="P33" i="6"/>
  <c r="P32" i="6"/>
  <c r="L33" i="6"/>
  <c r="L32" i="6"/>
  <c r="P31" i="6"/>
  <c r="L31" i="6"/>
  <c r="R18" i="6"/>
  <c r="R19" i="6"/>
  <c r="R20" i="6"/>
  <c r="R21" i="6"/>
  <c r="R17" i="6"/>
  <c r="P30" i="6"/>
  <c r="P29" i="6"/>
  <c r="L30" i="6"/>
  <c r="L29" i="6"/>
  <c r="P28" i="6"/>
  <c r="P27" i="6"/>
  <c r="L28" i="6"/>
  <c r="L27" i="6"/>
  <c r="L25" i="6"/>
  <c r="L26" i="6"/>
  <c r="L24" i="6"/>
  <c r="L23" i="6"/>
  <c r="L22" i="6"/>
  <c r="L21" i="6"/>
  <c r="T19" i="6"/>
  <c r="T20" i="6"/>
  <c r="T21" i="6"/>
  <c r="L20" i="6"/>
  <c r="L19" i="6"/>
  <c r="T18" i="6"/>
  <c r="T17" i="6"/>
  <c r="L18" i="6"/>
  <c r="L17" i="6"/>
  <c r="Q16" i="6"/>
  <c r="L16" i="6"/>
  <c r="Q15" i="6"/>
  <c r="Q14" i="6"/>
  <c r="L15" i="6"/>
  <c r="L14" i="6"/>
  <c r="L13" i="6"/>
  <c r="L12" i="6"/>
  <c r="L11" i="6"/>
  <c r="L10" i="6"/>
  <c r="L9" i="6"/>
  <c r="L8" i="6"/>
  <c r="L7" i="6"/>
  <c r="V2" i="6"/>
  <c r="L5" i="6"/>
  <c r="L4" i="6"/>
  <c r="L3" i="6"/>
  <c r="AJ2" i="6"/>
  <c r="AI2" i="6"/>
  <c r="AH2" i="6"/>
  <c r="AG2" i="6"/>
  <c r="AF2" i="6"/>
  <c r="AE2" i="6"/>
  <c r="AD2" i="6"/>
  <c r="AC2" i="6"/>
  <c r="AB2" i="6"/>
  <c r="Z2" i="6"/>
  <c r="U2" i="6"/>
  <c r="AA2" i="6"/>
  <c r="M2" i="8" l="1"/>
</calcChain>
</file>

<file path=xl/sharedStrings.xml><?xml version="1.0" encoding="utf-8"?>
<sst xmlns="http://schemas.openxmlformats.org/spreadsheetml/2006/main" count="222" uniqueCount="108">
  <si>
    <t>No.</t>
  </si>
  <si>
    <t>Kode</t>
  </si>
  <si>
    <t>Nama Perusahaan</t>
  </si>
  <si>
    <t>Tahun</t>
  </si>
  <si>
    <t>AKSI</t>
  </si>
  <si>
    <t>Mineral Sumberdaya Mandiri Tbk.</t>
  </si>
  <si>
    <t>ASSA</t>
  </si>
  <si>
    <t>Adi Sarana Armada Tbk.</t>
  </si>
  <si>
    <t>BIRD</t>
  </si>
  <si>
    <t>Blue Bird Tbk.</t>
  </si>
  <si>
    <t>Berlian Laju Tanker Tbk.</t>
  </si>
  <si>
    <t>BPTR</t>
  </si>
  <si>
    <t>Batavia Prosperindo Trans Tbk.</t>
  </si>
  <si>
    <t>CMPP</t>
  </si>
  <si>
    <t>AirAsia Indonesia Tbk.</t>
  </si>
  <si>
    <t>GIAA</t>
  </si>
  <si>
    <t>Garuda Indonesia (Persero) Tbk.</t>
  </si>
  <si>
    <t>HELI</t>
  </si>
  <si>
    <t>Jaya Trishindo Tbk.</t>
  </si>
  <si>
    <t>IMJS</t>
  </si>
  <si>
    <t>Indomobil Multi Jasa Tbk.</t>
  </si>
  <si>
    <t>JAYA</t>
  </si>
  <si>
    <t>Armada Berjaya Trans Tbk.</t>
  </si>
  <si>
    <t>KJEN</t>
  </si>
  <si>
    <t>Krida Jaringan Nusantara Tbk.</t>
  </si>
  <si>
    <t>LRNA</t>
  </si>
  <si>
    <t>Eka Sari Lorena Transport Tbk.</t>
  </si>
  <si>
    <t>MIRA</t>
  </si>
  <si>
    <t>Mitra International Resources Tbk.</t>
  </si>
  <si>
    <t>NELY</t>
  </si>
  <si>
    <t>Pelayaran Nelly Dwi Putri Tbk.</t>
  </si>
  <si>
    <t>SAFE</t>
  </si>
  <si>
    <t>Steady Safe Tbk.</t>
  </si>
  <si>
    <t>SAPX</t>
  </si>
  <si>
    <t>Satria Antaran Prima Tbk.</t>
  </si>
  <si>
    <t>SDMU</t>
  </si>
  <si>
    <t>Sidomulyo Selaras Tbk.</t>
  </si>
  <si>
    <t>Samudera Indonesia Tbk.</t>
  </si>
  <si>
    <t>Express Transindo Utama Tbk.</t>
  </si>
  <si>
    <t>TMAS</t>
  </si>
  <si>
    <t>Temas Tbk.</t>
  </si>
  <si>
    <t>TRUK</t>
  </si>
  <si>
    <t>Guna Timur Raya Tbk.</t>
  </si>
  <si>
    <t>WEHA</t>
  </si>
  <si>
    <t>WEHA Transportasi Indonesia Tbk.</t>
  </si>
  <si>
    <t>TAXI</t>
  </si>
  <si>
    <t>ROA</t>
  </si>
  <si>
    <t>DAR</t>
  </si>
  <si>
    <t>CR</t>
  </si>
  <si>
    <t>Laba Bersih</t>
  </si>
  <si>
    <t>Total Aktiva</t>
  </si>
  <si>
    <t>Total Liabilitas</t>
  </si>
  <si>
    <t>Aktiva Lancar</t>
  </si>
  <si>
    <t>Kas</t>
  </si>
  <si>
    <t>Penjualan</t>
  </si>
  <si>
    <t>Piutang</t>
  </si>
  <si>
    <t>Aktiva Tetap</t>
  </si>
  <si>
    <t>Total Ekuitas</t>
  </si>
  <si>
    <t>Laba Bruto</t>
  </si>
  <si>
    <t>Beban Bunga</t>
  </si>
  <si>
    <t>Harga Saham</t>
  </si>
  <si>
    <t>Laba Saham</t>
  </si>
  <si>
    <t>Jumlah Saham Beredar</t>
  </si>
  <si>
    <t>DSO</t>
  </si>
  <si>
    <t>FATO</t>
  </si>
  <si>
    <t>TATO</t>
  </si>
  <si>
    <t>ROE</t>
  </si>
  <si>
    <t>NPM</t>
  </si>
  <si>
    <t>GPM</t>
  </si>
  <si>
    <t>ICR</t>
  </si>
  <si>
    <t>DER</t>
  </si>
  <si>
    <t>PER</t>
  </si>
  <si>
    <t xml:space="preserve">M/B </t>
  </si>
  <si>
    <t>EBIT (Laba Usaha)</t>
  </si>
  <si>
    <t>BLTA (USD)</t>
  </si>
  <si>
    <t>SMDR (USD)</t>
  </si>
  <si>
    <t>Liabilitas Lancar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</si>
  <si>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</si>
  <si>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</si>
  <si>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</si>
  <si>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</si>
  <si>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</si>
  <si>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</si>
  <si>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</si>
  <si>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</si>
  <si>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</si>
  <si>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</si>
  <si>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</si>
  <si>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</si>
  <si>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t</t>
  </si>
  <si>
    <t>x_score</t>
  </si>
  <si>
    <t>FD</t>
  </si>
  <si>
    <t>cash_ratio</t>
  </si>
  <si>
    <t>A</t>
  </si>
  <si>
    <t>B</t>
  </si>
  <si>
    <t>C</t>
  </si>
  <si>
    <t>BLTA</t>
  </si>
  <si>
    <t>SMDR</t>
  </si>
  <si>
    <t>X-Score</t>
  </si>
  <si>
    <t>Statistics</t>
  </si>
  <si>
    <t>Variable</t>
  </si>
  <si>
    <t>Mean</t>
  </si>
  <si>
    <t>Variance</t>
  </si>
  <si>
    <t>Minimum</t>
  </si>
  <si>
    <t>Maximum</t>
  </si>
  <si>
    <t xml:space="preserve"> 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</si>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</sst>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.00000_);_(* \(#,##0.00000\);_(* &quot;-&quot;_);_(@_)"/>
    <numFmt numFmtId="166" formatCode="_(* #,##0.000000_);_(* \(#,##0.000000\);_(* &quot;-&quot;_);_(@_)"/>
    <numFmt numFmtId="167" formatCode="_(* #,##0.000_);_(* \(#,##0.000\);_(* &quot;-&quot;_);_(@_)"/>
    <numFmt numFmtId="168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41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41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1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C0EC-485C-482F-884A-B5758C36EE82}">
  <dimension ref="A1:P125"/>
  <sheetViews>
    <sheetView workbookViewId="0">
      <pane ySplit="1" topLeftCell="A21" activePane="bottomLeft" state="frozen"/>
      <selection pane="bottomLeft" activeCell="K32" sqref="K32"/>
    </sheetView>
  </sheetViews>
  <sheetFormatPr defaultRowHeight="14.5" x14ac:dyDescent="0.35"/>
  <cols>
    <col min="14" max="16" width="8.7265625" style="18"/>
  </cols>
  <sheetData>
    <row r="1" spans="1:16" x14ac:dyDescent="0.35">
      <c r="A1" s="26" t="s">
        <v>89</v>
      </c>
      <c r="B1" s="26" t="s">
        <v>78</v>
      </c>
      <c r="C1" s="26" t="s">
        <v>79</v>
      </c>
      <c r="D1" s="26" t="s">
        <v>80</v>
      </c>
      <c r="E1" s="26" t="s">
        <v>81</v>
      </c>
      <c r="F1" s="26" t="s">
        <v>82</v>
      </c>
      <c r="G1" s="26" t="s">
        <v>83</v>
      </c>
      <c r="H1" s="26" t="s">
        <v>84</v>
      </c>
      <c r="I1" s="26" t="s">
        <v>85</v>
      </c>
      <c r="J1" s="26" t="s">
        <v>86</v>
      </c>
      <c r="K1" s="26" t="s">
        <v>87</v>
      </c>
      <c r="L1" s="26" t="s">
        <v>88</v>
      </c>
      <c r="M1" s="26" t="s">
        <v>77</v>
      </c>
      <c r="N1" s="9" t="s">
        <v>93</v>
      </c>
      <c r="O1" s="8" t="s">
        <v>94</v>
      </c>
      <c r="P1" s="8" t="s">
        <v>95</v>
      </c>
    </row>
    <row r="2" spans="1:16" x14ac:dyDescent="0.35">
      <c r="A2" s="30">
        <f>'DATA UTAMA'!B2</f>
        <v>2019</v>
      </c>
      <c r="B2" s="29">
        <f>'DATA UTAMA'!Z2</f>
        <v>0.48191380030058634</v>
      </c>
      <c r="C2" s="29">
        <f>'DATA UTAMA'!AA2</f>
        <v>84.454210604831488</v>
      </c>
      <c r="D2" s="29">
        <f>'DATA UTAMA'!AB2</f>
        <v>3.4757237689686096</v>
      </c>
      <c r="E2" s="29">
        <f>'DATA UTAMA'!AC2</f>
        <v>1.6630743345495618</v>
      </c>
      <c r="F2" s="29">
        <f>'DATA UTAMA'!AD2</f>
        <v>3.6651734129044232E-2</v>
      </c>
      <c r="G2" s="29">
        <f>'DATA UTAMA'!AE2</f>
        <v>8.8076928605739443E-3</v>
      </c>
      <c r="H2" s="29">
        <f>'DATA UTAMA'!AF2</f>
        <v>0.16716666748227266</v>
      </c>
      <c r="I2" s="29">
        <f>'DATA UTAMA'!AG2</f>
        <v>1.3557196700383249</v>
      </c>
      <c r="J2" s="29">
        <f>'DATA UTAMA'!AH2</f>
        <v>1.5021924225066587</v>
      </c>
      <c r="K2" s="29">
        <f>'DATA UTAMA'!AI2</f>
        <v>197.75474956822106</v>
      </c>
      <c r="L2" s="29">
        <f>'DATA UTAMA'!AJ2</f>
        <v>7.2334140776542792</v>
      </c>
      <c r="M2" s="28">
        <f>'DATA UTAMA'!Y2</f>
        <v>0</v>
      </c>
      <c r="N2" s="19">
        <v>1.464784794301594E-2</v>
      </c>
      <c r="O2" s="19">
        <v>0.60035048024075821</v>
      </c>
      <c r="P2" s="19">
        <v>1.4927496930431572</v>
      </c>
    </row>
    <row r="3" spans="1:16" x14ac:dyDescent="0.35">
      <c r="A3" s="30">
        <f>'DATA UTAMA'!B3</f>
        <v>2020</v>
      </c>
      <c r="B3" s="29">
        <f>'DATA UTAMA'!Z3</f>
        <v>0.60203806366828128</v>
      </c>
      <c r="C3" s="29">
        <f>'DATA UTAMA'!AA3</f>
        <v>74.256820404106179</v>
      </c>
      <c r="D3" s="29">
        <f>'DATA UTAMA'!AB3</f>
        <v>3.9174669282083414</v>
      </c>
      <c r="E3" s="29">
        <f>'DATA UTAMA'!AC3</f>
        <v>1.7488611124207283</v>
      </c>
      <c r="F3" s="29">
        <f>'DATA UTAMA'!AD3</f>
        <v>2.8511096992763541E-2</v>
      </c>
      <c r="G3" s="29">
        <f>'DATA UTAMA'!AE3</f>
        <v>5.8206991130215829E-3</v>
      </c>
      <c r="H3" s="29">
        <f>'DATA UTAMA'!AF3</f>
        <v>0.109157437041342</v>
      </c>
      <c r="I3" s="29">
        <f>'DATA UTAMA'!AG3</f>
        <v>0.63085931313174726</v>
      </c>
      <c r="J3" s="29">
        <f>'DATA UTAMA'!AH3</f>
        <v>1.8008087631075689</v>
      </c>
      <c r="K3" s="29">
        <f>'DATA UTAMA'!AI3</f>
        <v>98.806682577565624</v>
      </c>
      <c r="L3" s="29">
        <f>'DATA UTAMA'!AJ3</f>
        <v>2.799106796776329</v>
      </c>
      <c r="M3" s="28">
        <f>'DATA UTAMA'!Y3</f>
        <v>0</v>
      </c>
      <c r="N3" s="19">
        <v>1.0179594325865272E-2</v>
      </c>
      <c r="O3" s="19">
        <v>0.64296027162865832</v>
      </c>
      <c r="P3" s="19">
        <v>1.4362415709275964</v>
      </c>
    </row>
    <row r="4" spans="1:16" x14ac:dyDescent="0.35">
      <c r="A4" s="30">
        <f>'DATA UTAMA'!B4</f>
        <v>2021</v>
      </c>
      <c r="B4" s="29">
        <f>'DATA UTAMA'!Z4</f>
        <v>1.0439325707808038</v>
      </c>
      <c r="C4" s="29">
        <f>'DATA UTAMA'!AA4</f>
        <v>53.209917751446405</v>
      </c>
      <c r="D4" s="29">
        <f>'DATA UTAMA'!AB4</f>
        <v>3.8082160978597925</v>
      </c>
      <c r="E4" s="29">
        <f>'DATA UTAMA'!AC4</f>
        <v>1.7378702096349845</v>
      </c>
      <c r="F4" s="29">
        <f>'DATA UTAMA'!AD4</f>
        <v>0.18532205446206848</v>
      </c>
      <c r="G4" s="29">
        <f>'DATA UTAMA'!AE4</f>
        <v>5.051103744590054E-2</v>
      </c>
      <c r="H4" s="29">
        <f>'DATA UTAMA'!AF4</f>
        <v>0.1840566266004815</v>
      </c>
      <c r="I4" s="29">
        <f>'DATA UTAMA'!AG4</f>
        <v>5.8081586864262436</v>
      </c>
      <c r="J4" s="29">
        <f>'DATA UTAMA'!AH4</f>
        <v>1.1111713270701753</v>
      </c>
      <c r="K4" s="29">
        <f>'DATA UTAMA'!AI4</f>
        <v>26.37067938021454</v>
      </c>
      <c r="L4" s="29">
        <f>'DATA UTAMA'!AJ4</f>
        <v>4.8742161507381576</v>
      </c>
      <c r="M4" s="28">
        <f>'DATA UTAMA'!Y4</f>
        <v>0</v>
      </c>
      <c r="N4" s="19">
        <v>8.7781627234987725E-2</v>
      </c>
      <c r="O4" s="19">
        <v>0.52632930014838153</v>
      </c>
      <c r="P4" s="19">
        <v>1.7867022852587651</v>
      </c>
    </row>
    <row r="5" spans="1:16" x14ac:dyDescent="0.35">
      <c r="A5" s="30">
        <f>'DATA UTAMA'!B5</f>
        <v>2022</v>
      </c>
      <c r="B5" s="29">
        <f>'DATA UTAMA'!Z5</f>
        <v>0.72476270848457414</v>
      </c>
      <c r="C5" s="29">
        <f>'DATA UTAMA'!AA5</f>
        <v>76.722323169898132</v>
      </c>
      <c r="D5" s="29">
        <f>'DATA UTAMA'!AB5</f>
        <v>2.5853531181309917</v>
      </c>
      <c r="E5" s="29">
        <f>'DATA UTAMA'!AC5</f>
        <v>1.3222071036560874</v>
      </c>
      <c r="F5" s="29">
        <f>'DATA UTAMA'!AD5</f>
        <v>0.26433225984517622</v>
      </c>
      <c r="G5" s="29">
        <f>'DATA UTAMA'!AE5</f>
        <v>9.701748628299367E-2</v>
      </c>
      <c r="H5" s="29">
        <f>'DATA UTAMA'!AF5</f>
        <v>0.2267523055536983</v>
      </c>
      <c r="I5" s="29">
        <f>'DATA UTAMA'!AG5</f>
        <v>6.7798473270585919</v>
      </c>
      <c r="J5" s="29">
        <f>'DATA UTAMA'!AH5</f>
        <v>1.0606330679352134</v>
      </c>
      <c r="K5" s="29">
        <f>'DATA UTAMA'!AI5</f>
        <v>4.460852176588217</v>
      </c>
      <c r="L5" s="29">
        <f>'DATA UTAMA'!AJ5</f>
        <v>1.1750893706037959</v>
      </c>
      <c r="M5" s="28">
        <f>'DATA UTAMA'!Y5</f>
        <v>0</v>
      </c>
      <c r="N5" s="19">
        <v>0.12827720954223126</v>
      </c>
      <c r="O5" s="19">
        <v>0.51471224277594663</v>
      </c>
      <c r="P5" s="19">
        <v>1.5059859432496356</v>
      </c>
    </row>
    <row r="6" spans="1:16" x14ac:dyDescent="0.35">
      <c r="A6" s="30">
        <f>'DATA UTAMA'!B6</f>
        <v>2023</v>
      </c>
      <c r="B6" s="29">
        <f>'DATA UTAMA'!Z6</f>
        <v>0.76706863575386641</v>
      </c>
      <c r="C6" s="29">
        <f>'DATA UTAMA'!AA6</f>
        <v>75.811490038839381</v>
      </c>
      <c r="D6" s="29">
        <f>'DATA UTAMA'!AB6</f>
        <v>2.2869421335202471</v>
      </c>
      <c r="E6" s="29">
        <f>'DATA UTAMA'!AC6</f>
        <v>1.3427225937529546</v>
      </c>
      <c r="F6" s="29">
        <f>'DATA UTAMA'!AD6</f>
        <v>6.2448165624313622E-2</v>
      </c>
      <c r="G6" s="29">
        <f>'DATA UTAMA'!AE6</f>
        <v>2.727685218699764E-2</v>
      </c>
      <c r="H6" s="29">
        <f>'DATA UTAMA'!AF6</f>
        <v>0.13511129658435078</v>
      </c>
      <c r="I6" s="29">
        <f>'DATA UTAMA'!AG6</f>
        <v>0.12627576727534059</v>
      </c>
      <c r="J6" s="29">
        <f>'DATA UTAMA'!AH6</f>
        <v>0.70505792931028588</v>
      </c>
      <c r="K6" s="29">
        <f>'DATA UTAMA'!AI6</f>
        <v>8.6503067484662566</v>
      </c>
      <c r="L6" s="29">
        <f>'DATA UTAMA'!AJ6</f>
        <v>0.53865017746696808</v>
      </c>
      <c r="M6" s="28">
        <f>'DATA UTAMA'!Y6</f>
        <v>0</v>
      </c>
      <c r="N6" s="19">
        <v>3.6625245717941422E-2</v>
      </c>
      <c r="O6" s="19">
        <v>0.41350966274529416</v>
      </c>
      <c r="P6" s="19">
        <v>1.6078095150105502</v>
      </c>
    </row>
    <row r="7" spans="1:16" x14ac:dyDescent="0.35">
      <c r="A7" s="30">
        <f>'DATA UTAMA'!B7</f>
        <v>2019</v>
      </c>
      <c r="B7" s="29">
        <f>'DATA UTAMA'!Z7</f>
        <v>0.20524889891620915</v>
      </c>
      <c r="C7" s="29">
        <f>'DATA UTAMA'!AA7</f>
        <v>50.181182782812641</v>
      </c>
      <c r="D7" s="29">
        <f>'DATA UTAMA'!AB7</f>
        <v>0.55620192500579857</v>
      </c>
      <c r="E7" s="29">
        <f>'DATA UTAMA'!AC7</f>
        <v>0.48135998051811502</v>
      </c>
      <c r="F7" s="29">
        <f>'DATA UTAMA'!AD7</f>
        <v>6.8463764590446063E-2</v>
      </c>
      <c r="G7" s="29">
        <f>'DATA UTAMA'!AE7</f>
        <v>3.9248594752741457E-2</v>
      </c>
      <c r="H7" s="29">
        <f>'DATA UTAMA'!AF7</f>
        <v>0.31894375448294504</v>
      </c>
      <c r="I7" s="29">
        <f>'DATA UTAMA'!AG7</f>
        <v>1.4315555123659391</v>
      </c>
      <c r="J7" s="29">
        <f>'DATA UTAMA'!AH7</f>
        <v>2.623820545695513</v>
      </c>
      <c r="K7" s="29">
        <f>'DATA UTAMA'!AI7</f>
        <v>21.012</v>
      </c>
      <c r="L7" s="29">
        <f>'DATA UTAMA'!AJ7</f>
        <v>1.7338227161171538</v>
      </c>
      <c r="M7" s="28">
        <f>'DATA UTAMA'!Y7</f>
        <v>0</v>
      </c>
      <c r="N7" s="19">
        <v>1.8892702805543019E-2</v>
      </c>
      <c r="O7" s="19">
        <v>0.72404814548892849</v>
      </c>
      <c r="P7" s="19">
        <v>0.5261140024422436</v>
      </c>
    </row>
    <row r="8" spans="1:16" x14ac:dyDescent="0.35">
      <c r="A8" s="30">
        <f>'DATA UTAMA'!B8</f>
        <v>2020</v>
      </c>
      <c r="B8" s="29">
        <f>'DATA UTAMA'!Z8</f>
        <v>0.13349145007096677</v>
      </c>
      <c r="C8" s="29">
        <f>'DATA UTAMA'!AA8</f>
        <v>47.418092151267558</v>
      </c>
      <c r="D8" s="29">
        <f>'DATA UTAMA'!AB8</f>
        <v>0.66854964177787535</v>
      </c>
      <c r="E8" s="29">
        <f>'DATA UTAMA'!AC8</f>
        <v>0.58739527881448528</v>
      </c>
      <c r="F8" s="29">
        <f>'DATA UTAMA'!AD8</f>
        <v>4.4393481451251202E-2</v>
      </c>
      <c r="G8" s="29">
        <f>'DATA UTAMA'!AE8</f>
        <v>2.1036833064231014E-2</v>
      </c>
      <c r="H8" s="29">
        <f>'DATA UTAMA'!AF8</f>
        <v>0.26013071417421568</v>
      </c>
      <c r="I8" s="29">
        <f>'DATA UTAMA'!AG8</f>
        <v>1.2326676162426529</v>
      </c>
      <c r="J8" s="29">
        <f>'DATA UTAMA'!AH8</f>
        <v>2.5925960878237242</v>
      </c>
      <c r="K8" s="29">
        <f>'DATA UTAMA'!AI8</f>
        <v>22.845614035087721</v>
      </c>
      <c r="L8" s="29">
        <f>'DATA UTAMA'!AJ8</f>
        <v>1.3832234260672527</v>
      </c>
      <c r="M8" s="28">
        <f>'DATA UTAMA'!Y8</f>
        <v>0</v>
      </c>
      <c r="N8" s="19">
        <v>1.235693642313776E-2</v>
      </c>
      <c r="O8" s="19">
        <v>0.72164975534286491</v>
      </c>
      <c r="P8" s="19">
        <v>0.43682512858745026</v>
      </c>
    </row>
    <row r="9" spans="1:16" x14ac:dyDescent="0.35">
      <c r="A9" s="30">
        <f>'DATA UTAMA'!B9</f>
        <v>2021</v>
      </c>
      <c r="B9" s="29">
        <f>'DATA UTAMA'!Z9</f>
        <v>0.37786028703428431</v>
      </c>
      <c r="C9" s="29">
        <f>'DATA UTAMA'!AA9</f>
        <v>38.830017320315712</v>
      </c>
      <c r="D9" s="29">
        <f>'DATA UTAMA'!AB9</f>
        <v>1.0237288856034299</v>
      </c>
      <c r="E9" s="29">
        <f>'DATA UTAMA'!AC9</f>
        <v>0.84352438839894484</v>
      </c>
      <c r="F9" s="29">
        <f>'DATA UTAMA'!AD9</f>
        <v>9.0388167539260419E-2</v>
      </c>
      <c r="G9" s="29">
        <f>'DATA UTAMA'!AE9</f>
        <v>3.1363615996517116E-2</v>
      </c>
      <c r="H9" s="29">
        <f>'DATA UTAMA'!AF9</f>
        <v>0.20768122375282141</v>
      </c>
      <c r="I9" s="29">
        <f>'DATA UTAMA'!AG9</f>
        <v>1.9515852420537971</v>
      </c>
      <c r="J9" s="29">
        <f>'DATA UTAMA'!AH9</f>
        <v>2.4165502323893033</v>
      </c>
      <c r="K9" s="29">
        <f>'DATA UTAMA'!AI9</f>
        <v>80.562970152875508</v>
      </c>
      <c r="L9" s="29">
        <f>'DATA UTAMA'!AJ9</f>
        <v>6.6977602917023891</v>
      </c>
      <c r="M9" s="28">
        <f>'DATA UTAMA'!Y9</f>
        <v>0</v>
      </c>
      <c r="N9" s="19">
        <v>2.6455975001441461E-2</v>
      </c>
      <c r="O9" s="19">
        <v>0.70730709868689157</v>
      </c>
      <c r="P9" s="19">
        <v>0.89774195226411879</v>
      </c>
    </row>
    <row r="10" spans="1:16" x14ac:dyDescent="0.35">
      <c r="A10" s="30">
        <f>'DATA UTAMA'!B10</f>
        <v>2022</v>
      </c>
      <c r="B10" s="29">
        <f>'DATA UTAMA'!Z10</f>
        <v>0.52011168666449892</v>
      </c>
      <c r="C10" s="29">
        <f>'DATA UTAMA'!AA10</f>
        <v>31.062145905128919</v>
      </c>
      <c r="D10" s="29">
        <f>'DATA UTAMA'!AB10</f>
        <v>1.0256660657895731</v>
      </c>
      <c r="E10" s="29">
        <f>'DATA UTAMA'!AC10</f>
        <v>0.80761434048439651</v>
      </c>
      <c r="F10" s="29">
        <f>'DATA UTAMA'!AD10</f>
        <v>1.4992078657675727E-3</v>
      </c>
      <c r="G10" s="29">
        <f>'DATA UTAMA'!AE10</f>
        <v>6.3105100488343663E-4</v>
      </c>
      <c r="H10" s="29">
        <f>'DATA UTAMA'!AF10</f>
        <v>0.18431563568200768</v>
      </c>
      <c r="I10" s="29">
        <f>'DATA UTAMA'!AG10</f>
        <v>1.0131722799229192</v>
      </c>
      <c r="J10" s="29">
        <f>'DATA UTAMA'!AH10</f>
        <v>1.9416660449344687</v>
      </c>
      <c r="K10" s="29">
        <f>'DATA UTAMA'!AI10</f>
        <v>26.825891311872621</v>
      </c>
      <c r="L10" s="29">
        <f>'DATA UTAMA'!AJ10</f>
        <v>1.1186221988799327</v>
      </c>
      <c r="M10" s="28">
        <f>'DATA UTAMA'!Y10</f>
        <v>0</v>
      </c>
      <c r="N10" s="19">
        <v>5.0964584112095238E-4</v>
      </c>
      <c r="O10" s="19">
        <v>0.66005658537549017</v>
      </c>
      <c r="P10" s="19">
        <v>0.86216764418726788</v>
      </c>
    </row>
    <row r="11" spans="1:16" x14ac:dyDescent="0.35">
      <c r="A11" s="30">
        <f>'DATA UTAMA'!B11</f>
        <v>2023</v>
      </c>
      <c r="B11" s="29">
        <f>'DATA UTAMA'!Z11</f>
        <v>0.45702863225971907</v>
      </c>
      <c r="C11" s="29">
        <f>'DATA UTAMA'!AA11</f>
        <v>37.930748076113694</v>
      </c>
      <c r="D11" s="29">
        <f>'DATA UTAMA'!AB11</f>
        <v>0.75617321030636553</v>
      </c>
      <c r="E11" s="29">
        <f>'DATA UTAMA'!AC11</f>
        <v>0.60504972011068658</v>
      </c>
      <c r="F11" s="29">
        <f>'DATA UTAMA'!AD11</f>
        <v>7.4660330686430604E-3</v>
      </c>
      <c r="G11" s="29">
        <f>'DATA UTAMA'!AE11</f>
        <v>4.3776222432343574E-3</v>
      </c>
      <c r="H11" s="29">
        <f>'DATA UTAMA'!AF11</f>
        <v>0.25056715323291651</v>
      </c>
      <c r="I11" s="29">
        <f>'DATA UTAMA'!AG11</f>
        <v>1.1969320660075267</v>
      </c>
      <c r="J11" s="29">
        <f>'DATA UTAMA'!AH11</f>
        <v>1.8187759823168732</v>
      </c>
      <c r="K11" s="29">
        <f>'DATA UTAMA'!AI11</f>
        <v>27.545327754532774</v>
      </c>
      <c r="L11" s="29">
        <f>'DATA UTAMA'!AJ11</f>
        <v>1.1204707837164927</v>
      </c>
      <c r="M11" s="28">
        <f>'DATA UTAMA'!Y11</f>
        <v>0</v>
      </c>
      <c r="N11" s="19">
        <v>2.6486791130192642E-3</v>
      </c>
      <c r="O11" s="19">
        <v>0.64523608606241312</v>
      </c>
      <c r="P11" s="19">
        <v>0.8814270334927562</v>
      </c>
    </row>
    <row r="12" spans="1:16" x14ac:dyDescent="0.35">
      <c r="A12" s="30">
        <f>'DATA UTAMA'!B12</f>
        <v>2019</v>
      </c>
      <c r="B12" s="29">
        <f>'DATA UTAMA'!Z12</f>
        <v>0.6143832571348945</v>
      </c>
      <c r="C12" s="29">
        <f>'DATA UTAMA'!AA12</f>
        <v>27.666911827014463</v>
      </c>
      <c r="D12" s="29">
        <f>'DATA UTAMA'!AB12</f>
        <v>0.62411211808954692</v>
      </c>
      <c r="E12" s="29">
        <f>'DATA UTAMA'!AC12</f>
        <v>0.5451946741404986</v>
      </c>
      <c r="F12" s="29">
        <f>'DATA UTAMA'!AD12</f>
        <v>5.836095547014461E-2</v>
      </c>
      <c r="G12" s="29">
        <f>'DATA UTAMA'!AE12</f>
        <v>7.7975813865238233E-2</v>
      </c>
      <c r="H12" s="29">
        <f>'DATA UTAMA'!AF12</f>
        <v>0.2706392360484039</v>
      </c>
      <c r="I12" s="29">
        <f>'DATA UTAMA'!AG12</f>
        <v>4.6092619212848218</v>
      </c>
      <c r="J12" s="29">
        <f>'DATA UTAMA'!AH12</f>
        <v>0.37281138558407367</v>
      </c>
      <c r="K12" s="29">
        <f>'DATA UTAMA'!AI12</f>
        <v>19.761904761904763</v>
      </c>
      <c r="L12" s="29">
        <f>'DATA UTAMA'!AJ12</f>
        <v>1.152017657950978</v>
      </c>
      <c r="M12" s="28">
        <f>'DATA UTAMA'!Y12</f>
        <v>0</v>
      </c>
      <c r="N12" s="19">
        <v>4.2511998431098728E-2</v>
      </c>
      <c r="O12" s="19">
        <v>0.27156781295593502</v>
      </c>
      <c r="P12" s="19">
        <v>1.2458743356137569</v>
      </c>
    </row>
    <row r="13" spans="1:16" x14ac:dyDescent="0.35">
      <c r="A13" s="30">
        <f>'DATA UTAMA'!B13</f>
        <v>2020</v>
      </c>
      <c r="B13" s="29">
        <f>'DATA UTAMA'!Z13</f>
        <v>1.2484684245402149</v>
      </c>
      <c r="C13" s="29">
        <f>'DATA UTAMA'!AA13</f>
        <v>44.773340466907058</v>
      </c>
      <c r="D13" s="29">
        <f>'DATA UTAMA'!AB13</f>
        <v>0.3404568901989683</v>
      </c>
      <c r="E13" s="29">
        <f>'DATA UTAMA'!AC13</f>
        <v>0.28217673126328913</v>
      </c>
      <c r="F13" s="29">
        <f>'DATA UTAMA'!AD13</f>
        <v>-3.1168423861379274E-2</v>
      </c>
      <c r="G13" s="29">
        <f>'DATA UTAMA'!AE13</f>
        <v>-7.9731367203150494E-2</v>
      </c>
      <c r="H13" s="29">
        <f>'DATA UTAMA'!AF13</f>
        <v>0.16344238906315656</v>
      </c>
      <c r="I13" s="29">
        <f>'DATA UTAMA'!AG13</f>
        <v>-2.1691268499144907</v>
      </c>
      <c r="J13" s="29">
        <f>'DATA UTAMA'!AH13</f>
        <v>0.38536570271967097</v>
      </c>
      <c r="K13" s="29">
        <f>'DATA UTAMA'!AI13</f>
        <v>-20.3125</v>
      </c>
      <c r="L13" s="29">
        <f>'DATA UTAMA'!AJ13</f>
        <v>0.62128081568928262</v>
      </c>
      <c r="M13" s="28">
        <f>'DATA UTAMA'!Y13</f>
        <v>0</v>
      </c>
      <c r="N13" s="19">
        <v>-2.2498336576538023E-2</v>
      </c>
      <c r="O13" s="19">
        <v>0.27816893543931615</v>
      </c>
      <c r="P13" s="19">
        <v>1.940418588950152</v>
      </c>
    </row>
    <row r="14" spans="1:16" x14ac:dyDescent="0.35">
      <c r="A14" s="30">
        <f>'DATA UTAMA'!B14</f>
        <v>2021</v>
      </c>
      <c r="B14" s="29">
        <f>'DATA UTAMA'!Z14</f>
        <v>1.6735723602358059</v>
      </c>
      <c r="C14" s="29">
        <f>'DATA UTAMA'!AA14</f>
        <v>50.604520990021342</v>
      </c>
      <c r="D14" s="29">
        <f>'DATA UTAMA'!AB14</f>
        <v>0.42450252617156559</v>
      </c>
      <c r="E14" s="29">
        <f>'DATA UTAMA'!AC14</f>
        <v>0.33658606967390947</v>
      </c>
      <c r="F14" s="29">
        <f>'DATA UTAMA'!AD14</f>
        <v>1.6940002280683793E-3</v>
      </c>
      <c r="G14" s="29">
        <f>'DATA UTAMA'!AE14</f>
        <v>3.9264404790797722E-3</v>
      </c>
      <c r="H14" s="29">
        <f>'DATA UTAMA'!AF14</f>
        <v>0.22242339726256855</v>
      </c>
      <c r="I14" s="29">
        <f>'DATA UTAMA'!AG14</f>
        <v>-0.21072136966280405</v>
      </c>
      <c r="J14" s="29">
        <f>'DATA UTAMA'!AH14</f>
        <v>0.28179421821403811</v>
      </c>
      <c r="K14" s="29">
        <f>'DATA UTAMA'!AI14</f>
        <v>460</v>
      </c>
      <c r="L14" s="29">
        <f>'DATA UTAMA'!AJ14</f>
        <v>0.67078096324505165</v>
      </c>
      <c r="M14" s="28">
        <f>'DATA UTAMA'!Y14</f>
        <v>0</v>
      </c>
      <c r="N14" s="19">
        <v>1.3215851686620027E-3</v>
      </c>
      <c r="O14" s="19">
        <v>0.21984357099587354</v>
      </c>
      <c r="P14" s="19">
        <v>2.4184174245762695</v>
      </c>
    </row>
    <row r="15" spans="1:16" x14ac:dyDescent="0.35">
      <c r="A15" s="30">
        <f>'DATA UTAMA'!B15</f>
        <v>2022</v>
      </c>
      <c r="B15" s="29">
        <f>'DATA UTAMA'!Z15</f>
        <v>0.98083843673524651</v>
      </c>
      <c r="C15" s="29">
        <f>'DATA UTAMA'!AA15</f>
        <v>39.962421659563802</v>
      </c>
      <c r="D15" s="29">
        <f>'DATA UTAMA'!AB15</f>
        <v>0.6511813170219678</v>
      </c>
      <c r="E15" s="29">
        <f>'DATA UTAMA'!AC15</f>
        <v>0.52082063959055058</v>
      </c>
      <c r="F15" s="29">
        <f>'DATA UTAMA'!AD15</f>
        <v>6.8033642757542909E-2</v>
      </c>
      <c r="G15" s="29">
        <f>'DATA UTAMA'!AE15</f>
        <v>0.10139745410991337</v>
      </c>
      <c r="H15" s="29">
        <f>'DATA UTAMA'!AF15</f>
        <v>0.29871842009971866</v>
      </c>
      <c r="I15" s="29">
        <f>'DATA UTAMA'!AG15</f>
        <v>8.8512468118294301</v>
      </c>
      <c r="J15" s="29">
        <f>'DATA UTAMA'!AH15</f>
        <v>0.28827472937607496</v>
      </c>
      <c r="K15" s="29">
        <f>'DATA UTAMA'!AI15</f>
        <v>9.86013986013986</v>
      </c>
      <c r="L15" s="29">
        <f>'DATA UTAMA'!AJ15</f>
        <v>0.65934680212331453</v>
      </c>
      <c r="M15" s="28">
        <f>'DATA UTAMA'!Y15</f>
        <v>0</v>
      </c>
      <c r="N15" s="19">
        <v>5.2809886902378589E-2</v>
      </c>
      <c r="O15" s="19">
        <v>0.22376805412902065</v>
      </c>
      <c r="P15" s="19">
        <v>1.5191301887644062</v>
      </c>
    </row>
    <row r="16" spans="1:16" x14ac:dyDescent="0.35">
      <c r="A16" s="30">
        <f>'DATA UTAMA'!B16</f>
        <v>2023</v>
      </c>
      <c r="B16" s="29">
        <f>'DATA UTAMA'!Z16</f>
        <v>1.1230248680771175</v>
      </c>
      <c r="C16" s="29">
        <f>'DATA UTAMA'!AA16</f>
        <v>27.795142626114984</v>
      </c>
      <c r="D16" s="29">
        <f>'DATA UTAMA'!AB16</f>
        <v>0.72699918644618355</v>
      </c>
      <c r="E16" s="29">
        <f>'DATA UTAMA'!AC16</f>
        <v>0.58342233685970235</v>
      </c>
      <c r="F16" s="29">
        <f>'DATA UTAMA'!AD16</f>
        <v>8.2229086070023327E-2</v>
      </c>
      <c r="G16" s="29">
        <f>'DATA UTAMA'!AE16</f>
        <v>0.10470795518886269</v>
      </c>
      <c r="H16" s="29">
        <f>'DATA UTAMA'!AF16</f>
        <v>0.31749980553862184</v>
      </c>
      <c r="I16" s="29">
        <f>'DATA UTAMA'!AG16</f>
        <v>9.5573576438578822</v>
      </c>
      <c r="J16" s="29">
        <f>'DATA UTAMA'!AH16</f>
        <v>0.34605477322133354</v>
      </c>
      <c r="K16" s="29">
        <f>'DATA UTAMA'!AI16</f>
        <v>9.88950276243094</v>
      </c>
      <c r="L16" s="29">
        <f>'DATA UTAMA'!AJ16</f>
        <v>0.79531355934310211</v>
      </c>
      <c r="M16" s="28">
        <f>'DATA UTAMA'!Y16</f>
        <v>0</v>
      </c>
      <c r="N16" s="19">
        <v>6.1088959904087269E-2</v>
      </c>
      <c r="O16" s="19">
        <v>0.25708818103528341</v>
      </c>
      <c r="P16" s="19">
        <v>1.7095298509422736</v>
      </c>
    </row>
    <row r="17" spans="1:16" x14ac:dyDescent="0.35">
      <c r="A17" s="30">
        <f>'DATA UTAMA'!B17</f>
        <v>2019</v>
      </c>
      <c r="B17" s="29">
        <f>'DATA UTAMA'!Z17</f>
        <v>6.042918707923732E-2</v>
      </c>
      <c r="C17" s="29">
        <f>'DATA UTAMA'!AA17</f>
        <v>50.086102838963747</v>
      </c>
      <c r="D17" s="29">
        <f>'DATA UTAMA'!AB17</f>
        <v>0.32241951754002318</v>
      </c>
      <c r="E17" s="29">
        <f>'DATA UTAMA'!AC17</f>
        <v>0.29745011131371246</v>
      </c>
      <c r="F17" s="29">
        <f>'DATA UTAMA'!AD17</f>
        <v>-4.2242123231722425E-2</v>
      </c>
      <c r="G17" s="29">
        <f>'DATA UTAMA'!AE17</f>
        <v>-4.3507261708046134E-2</v>
      </c>
      <c r="H17" s="29">
        <f>'DATA UTAMA'!AF17</f>
        <v>0.11687409678108213</v>
      </c>
      <c r="I17" s="29">
        <f>'DATA UTAMA'!AG17</f>
        <v>1.0318274636502556</v>
      </c>
      <c r="J17" s="29">
        <f>'DATA UTAMA'!AH17</f>
        <v>1.779943843928965</v>
      </c>
      <c r="K17" s="29">
        <f>'DATA UTAMA'!AI17</f>
        <v>102.90447891744489</v>
      </c>
      <c r="L17" s="29">
        <f>'DATA UTAMA'!AJ17</f>
        <v>4.5238064481640166</v>
      </c>
      <c r="M17" s="28">
        <f>'DATA UTAMA'!Y17</f>
        <v>0</v>
      </c>
      <c r="N17" s="19">
        <v>-1.2941239838013142E-2</v>
      </c>
      <c r="O17" s="19">
        <v>0.54530119274832023</v>
      </c>
      <c r="P17" s="19">
        <v>0.5456385956499773</v>
      </c>
    </row>
    <row r="18" spans="1:16" x14ac:dyDescent="0.35">
      <c r="A18" s="30">
        <f>'DATA UTAMA'!B18</f>
        <v>2020</v>
      </c>
      <c r="B18" s="29">
        <f>'DATA UTAMA'!Z18</f>
        <v>7.5171208316406959E-2</v>
      </c>
      <c r="C18" s="29">
        <f>'DATA UTAMA'!AA18</f>
        <v>62.350288072270288</v>
      </c>
      <c r="D18" s="29">
        <f>'DATA UTAMA'!AB18</f>
        <v>0.30771560068690978</v>
      </c>
      <c r="E18" s="29">
        <f>'DATA UTAMA'!AC18</f>
        <v>0.27794727272719016</v>
      </c>
      <c r="F18" s="29">
        <f>'DATA UTAMA'!AD18</f>
        <v>-2.9272627801760147E-2</v>
      </c>
      <c r="G18" s="29">
        <f>'DATA UTAMA'!AE18</f>
        <v>-4.4495033878875913E-2</v>
      </c>
      <c r="H18" s="29">
        <f>'DATA UTAMA'!AF18</f>
        <v>0.26897414166943828</v>
      </c>
      <c r="I18" s="29">
        <f>'DATA UTAMA'!AG18</f>
        <v>0.35228968111198705</v>
      </c>
      <c r="J18" s="29">
        <f>'DATA UTAMA'!AH18</f>
        <v>1.3669427409368284</v>
      </c>
      <c r="K18" s="29">
        <f>'DATA UTAMA'!AI18</f>
        <v>111.2891737891738</v>
      </c>
      <c r="L18" s="29">
        <f>'DATA UTAMA'!AJ18</f>
        <v>3.3093226776869415</v>
      </c>
      <c r="M18" s="28">
        <f>'DATA UTAMA'!Y18</f>
        <v>0</v>
      </c>
      <c r="N18" s="19">
        <v>-1.236727331653749E-2</v>
      </c>
      <c r="O18" s="19">
        <v>0.57751407218063788</v>
      </c>
      <c r="P18" s="19">
        <v>0.48014889083860968</v>
      </c>
    </row>
    <row r="19" spans="1:16" x14ac:dyDescent="0.35">
      <c r="A19" s="30">
        <f>'DATA UTAMA'!B19</f>
        <v>2021</v>
      </c>
      <c r="B19" s="29">
        <f>'DATA UTAMA'!Z19</f>
        <v>0.38043519568006995</v>
      </c>
      <c r="C19" s="29">
        <f>'DATA UTAMA'!AA19</f>
        <v>499.36841433545015</v>
      </c>
      <c r="D19" s="29">
        <f>'DATA UTAMA'!AB19</f>
        <v>3.5037950354810832E-2</v>
      </c>
      <c r="E19" s="29">
        <f>'DATA UTAMA'!AC19</f>
        <v>2.7964060096288379E-2</v>
      </c>
      <c r="F19" s="29">
        <f>'DATA UTAMA'!AD19</f>
        <v>0.18382270564333583</v>
      </c>
      <c r="G19" s="29">
        <f>'DATA UTAMA'!AE19</f>
        <v>2.9976386564748556</v>
      </c>
      <c r="H19" s="29">
        <f>'DATA UTAMA'!AF19</f>
        <v>2.3858701759363639</v>
      </c>
      <c r="I19" s="29">
        <f>'DATA UTAMA'!AG19</f>
        <v>4.4465844254150158</v>
      </c>
      <c r="J19" s="29">
        <f>'DATA UTAMA'!AH19</f>
        <v>1.1929041360636505</v>
      </c>
      <c r="K19" s="29">
        <f>'DATA UTAMA'!AI19</f>
        <v>15.38935056940597</v>
      </c>
      <c r="L19" s="29">
        <f>'DATA UTAMA'!AJ19</f>
        <v>2.8380175641090979</v>
      </c>
      <c r="M19" s="28">
        <f>'DATA UTAMA'!Y19</f>
        <v>0</v>
      </c>
      <c r="N19" s="19">
        <v>8.382614753662003E-2</v>
      </c>
      <c r="O19" s="19">
        <v>0.54398371385488853</v>
      </c>
      <c r="P19" s="19">
        <v>1.3257784480256078</v>
      </c>
    </row>
    <row r="20" spans="1:16" x14ac:dyDescent="0.35">
      <c r="A20" s="30">
        <f>'DATA UTAMA'!B20</f>
        <v>2022</v>
      </c>
      <c r="B20" s="29">
        <f>'DATA UTAMA'!Z20</f>
        <v>0.1691507275444184</v>
      </c>
      <c r="C20" s="29">
        <f>'DATA UTAMA'!AA20</f>
        <v>72.587413741995576</v>
      </c>
      <c r="D20" s="29">
        <f>'DATA UTAMA'!AB20</f>
        <v>0.36832665922979879</v>
      </c>
      <c r="E20" s="29">
        <f>'DATA UTAMA'!AC20</f>
        <v>0.30762462990846223</v>
      </c>
      <c r="F20" s="29">
        <f>'DATA UTAMA'!AD20</f>
        <v>0.22857679587023497</v>
      </c>
      <c r="G20" s="29">
        <f>'DATA UTAMA'!AE20</f>
        <v>0.38361166674419689</v>
      </c>
      <c r="H20" s="29">
        <f>'DATA UTAMA'!AF20</f>
        <v>0.28751321267370866</v>
      </c>
      <c r="I20" s="29">
        <f>'DATA UTAMA'!AG20</f>
        <v>6.3979738416943288</v>
      </c>
      <c r="J20" s="29">
        <f>'DATA UTAMA'!AH20</f>
        <v>0.93695365465738012</v>
      </c>
      <c r="K20" s="29">
        <f>'DATA UTAMA'!AI20</f>
        <v>9.2043993347060162</v>
      </c>
      <c r="L20" s="29">
        <f>'DATA UTAMA'!AJ20</f>
        <v>2.107394812732108</v>
      </c>
      <c r="M20" s="28">
        <f>'DATA UTAMA'!Y20</f>
        <v>0</v>
      </c>
      <c r="N20" s="19">
        <v>0.11800839701075191</v>
      </c>
      <c r="O20" s="19">
        <v>0.48372538620347838</v>
      </c>
      <c r="P20" s="19">
        <v>1.1505105179885833</v>
      </c>
    </row>
    <row r="21" spans="1:16" x14ac:dyDescent="0.35">
      <c r="A21" s="30">
        <f>'DATA UTAMA'!B21</f>
        <v>2023</v>
      </c>
      <c r="B21" s="29">
        <f>'DATA UTAMA'!Z21</f>
        <v>1.3215563992524444</v>
      </c>
      <c r="C21" s="29">
        <f>'DATA UTAMA'!AA21</f>
        <v>58.867065205779667</v>
      </c>
      <c r="D21" s="29">
        <f>'DATA UTAMA'!AB21</f>
        <v>0.5337540439096462</v>
      </c>
      <c r="E21" s="29">
        <f>'DATA UTAMA'!AC21</f>
        <v>0.41963011274273193</v>
      </c>
      <c r="F21" s="29">
        <f>'DATA UTAMA'!AD21</f>
        <v>0.27103043772171087</v>
      </c>
      <c r="G21" s="29">
        <f>'DATA UTAMA'!AE21</f>
        <v>0.4001690475893358</v>
      </c>
      <c r="H21" s="29">
        <f>'DATA UTAMA'!AF21</f>
        <v>0.35757770066220729</v>
      </c>
      <c r="I21" s="29">
        <f>'DATA UTAMA'!AG21</f>
        <v>12.328786458097268</v>
      </c>
      <c r="J21" s="29">
        <f>'DATA UTAMA'!AH21</f>
        <v>0.61401634008746597</v>
      </c>
      <c r="K21" s="29">
        <f>'DATA UTAMA'!AI21</f>
        <v>5.3860824706175734</v>
      </c>
      <c r="L21" s="29">
        <f>'DATA UTAMA'!AJ21</f>
        <v>1.4621344838671404</v>
      </c>
      <c r="M21" s="28">
        <f>'DATA UTAMA'!Y21</f>
        <v>0</v>
      </c>
      <c r="N21" s="19">
        <v>0.16792298255606464</v>
      </c>
      <c r="O21" s="19">
        <v>0.38042758603930332</v>
      </c>
      <c r="P21" s="19">
        <v>2.5169214528603878</v>
      </c>
    </row>
    <row r="22" spans="1:16" x14ac:dyDescent="0.35">
      <c r="A22" s="30">
        <f>'DATA UTAMA'!B22</f>
        <v>2019</v>
      </c>
      <c r="B22" s="29">
        <f>'DATA UTAMA'!Z22</f>
        <v>5.5029108043475718E-3</v>
      </c>
      <c r="C22" s="29">
        <f>'DATA UTAMA'!AA22</f>
        <v>53.076673360046541</v>
      </c>
      <c r="D22" s="29">
        <f>'DATA UTAMA'!AB22</f>
        <v>0.32790976023620411</v>
      </c>
      <c r="E22" s="29">
        <f>'DATA UTAMA'!AC22</f>
        <v>0.30327524419963464</v>
      </c>
      <c r="F22" s="29">
        <f>'DATA UTAMA'!AD22</f>
        <v>3.7109952851649114E-2</v>
      </c>
      <c r="G22" s="29">
        <f>'DATA UTAMA'!AE22</f>
        <v>4.9867447668812445E-2</v>
      </c>
      <c r="H22" s="29">
        <f>'DATA UTAMA'!AF22</f>
        <v>0.40932954990707204</v>
      </c>
      <c r="I22" s="29">
        <f>'DATA UTAMA'!AG22</f>
        <v>1.3550042426674123</v>
      </c>
      <c r="J22" s="29">
        <f>'DATA UTAMA'!AH22</f>
        <v>1.4537839253507032</v>
      </c>
      <c r="K22" s="29">
        <f>'DATA UTAMA'!AI22</f>
        <v>10.393881453154874</v>
      </c>
      <c r="L22" s="29">
        <f>'DATA UTAMA'!AJ22</f>
        <v>0.38563293113731556</v>
      </c>
      <c r="M22" s="28">
        <f>'DATA UTAMA'!Y22</f>
        <v>0</v>
      </c>
      <c r="N22" s="19">
        <v>1.5123562369371594E-2</v>
      </c>
      <c r="O22" s="19">
        <v>0.59246617624452658</v>
      </c>
      <c r="P22" s="19">
        <v>0.24300485016708945</v>
      </c>
    </row>
    <row r="23" spans="1:16" x14ac:dyDescent="0.35">
      <c r="A23" s="30">
        <f>'DATA UTAMA'!B23</f>
        <v>2020</v>
      </c>
      <c r="B23" s="29">
        <f>'DATA UTAMA'!Z23</f>
        <v>6.755820180691199E-3</v>
      </c>
      <c r="C23" s="29">
        <f>'DATA UTAMA'!AA23</f>
        <v>45.474558499313254</v>
      </c>
      <c r="D23" s="29">
        <f>'DATA UTAMA'!AB23</f>
        <v>0.32235152785326682</v>
      </c>
      <c r="E23" s="29">
        <f>'DATA UTAMA'!AC23</f>
        <v>0.30254781147898119</v>
      </c>
      <c r="F23" s="29">
        <f>'DATA UTAMA'!AD23</f>
        <v>1.3883092207553597E-2</v>
      </c>
      <c r="G23" s="29">
        <f>'DATA UTAMA'!AE23</f>
        <v>1.9205776861818298E-2</v>
      </c>
      <c r="H23" s="29">
        <f>'DATA UTAMA'!AF23</f>
        <v>0.36283191267212106</v>
      </c>
      <c r="I23" s="29">
        <f>'DATA UTAMA'!AG23</f>
        <v>1.3668767589076187</v>
      </c>
      <c r="J23" s="29">
        <f>'DATA UTAMA'!AH23</f>
        <v>1.3892429520868264</v>
      </c>
      <c r="K23" s="29">
        <f>'DATA UTAMA'!AI23</f>
        <v>24.616915422885572</v>
      </c>
      <c r="L23" s="29">
        <f>'DATA UTAMA'!AJ23</f>
        <v>0.34167350146637171</v>
      </c>
      <c r="M23" s="28">
        <f>'DATA UTAMA'!Y23</f>
        <v>0</v>
      </c>
      <c r="N23" s="19">
        <v>5.8106657572967813E-3</v>
      </c>
      <c r="O23" s="19">
        <v>0.58145738208557896</v>
      </c>
      <c r="P23" s="19">
        <v>0.21853663723878694</v>
      </c>
    </row>
    <row r="24" spans="1:16" x14ac:dyDescent="0.35">
      <c r="A24" s="30">
        <f>'DATA UTAMA'!B24</f>
        <v>2021</v>
      </c>
      <c r="B24" s="29">
        <f>'DATA UTAMA'!Z24</f>
        <v>7.841651447657208E-3</v>
      </c>
      <c r="C24" s="29">
        <f>'DATA UTAMA'!AA24</f>
        <v>49.933856955762018</v>
      </c>
      <c r="D24" s="29">
        <f>'DATA UTAMA'!AB24</f>
        <v>0.27697605099997147</v>
      </c>
      <c r="E24" s="29">
        <f>'DATA UTAMA'!AC24</f>
        <v>0.25962076214880436</v>
      </c>
      <c r="F24" s="29">
        <f>'DATA UTAMA'!AD24</f>
        <v>4.6561129514887042E-2</v>
      </c>
      <c r="G24" s="29">
        <f>'DATA UTAMA'!AE24</f>
        <v>5.3735982178611849E-2</v>
      </c>
      <c r="H24" s="29">
        <f>'DATA UTAMA'!AF24</f>
        <v>0.38501736130076891</v>
      </c>
      <c r="I24" s="29">
        <f>'DATA UTAMA'!AG24</f>
        <v>1.4454463497134185</v>
      </c>
      <c r="J24" s="29">
        <f>'DATA UTAMA'!AH24</f>
        <v>2.3374817182764027</v>
      </c>
      <c r="K24" s="29">
        <f>'DATA UTAMA'!AI24</f>
        <v>41.385034013605448</v>
      </c>
      <c r="L24" s="29">
        <f>'DATA UTAMA'!AJ24</f>
        <v>1.9266280457679437</v>
      </c>
      <c r="M24" s="28">
        <f>'DATA UTAMA'!Y24</f>
        <v>0</v>
      </c>
      <c r="N24" s="19">
        <v>1.3950976648025777E-2</v>
      </c>
      <c r="O24" s="19">
        <v>0.70037289057677998</v>
      </c>
      <c r="P24" s="19">
        <v>0.32015757484399737</v>
      </c>
    </row>
    <row r="25" spans="1:16" x14ac:dyDescent="0.35">
      <c r="A25" s="30">
        <f>'DATA UTAMA'!B25</f>
        <v>2022</v>
      </c>
      <c r="B25" s="29">
        <f>'DATA UTAMA'!Z25</f>
        <v>0.11177555278217925</v>
      </c>
      <c r="C25" s="29">
        <f>'DATA UTAMA'!AA25</f>
        <v>46.90757882791744</v>
      </c>
      <c r="D25" s="29">
        <f>'DATA UTAMA'!AB25</f>
        <v>0.29029092606343093</v>
      </c>
      <c r="E25" s="29">
        <f>'DATA UTAMA'!AC25</f>
        <v>0.26849193050104486</v>
      </c>
      <c r="F25" s="29">
        <f>'DATA UTAMA'!AD25</f>
        <v>6.7846342470084225E-2</v>
      </c>
      <c r="G25" s="29">
        <f>'DATA UTAMA'!AE25</f>
        <v>5.4239560302867633E-2</v>
      </c>
      <c r="H25" s="29">
        <f>'DATA UTAMA'!AF25</f>
        <v>0.38274153286779877</v>
      </c>
      <c r="I25" s="29">
        <f>'DATA UTAMA'!AG25</f>
        <v>1.4632425669720528</v>
      </c>
      <c r="J25" s="29">
        <f>'DATA UTAMA'!AH25</f>
        <v>3.6590256967581634</v>
      </c>
      <c r="K25" s="29">
        <f>'DATA UTAMA'!AI25</f>
        <v>10.09332191780822</v>
      </c>
      <c r="L25" s="29">
        <f>'DATA UTAMA'!AJ25</f>
        <v>0.68452545222045824</v>
      </c>
      <c r="M25" s="28">
        <f>'DATA UTAMA'!Y25</f>
        <v>1</v>
      </c>
      <c r="N25" s="19">
        <v>1.4562884255244768E-2</v>
      </c>
      <c r="O25" s="19">
        <v>0.7853918983525322</v>
      </c>
      <c r="P25" s="19">
        <v>0.3895118485511137</v>
      </c>
    </row>
    <row r="26" spans="1:16" x14ac:dyDescent="0.35">
      <c r="A26" s="30">
        <f>'DATA UTAMA'!B26</f>
        <v>2023</v>
      </c>
      <c r="B26" s="29">
        <f>'DATA UTAMA'!Z26</f>
        <v>0.45188790803118783</v>
      </c>
      <c r="C26" s="29">
        <f>'DATA UTAMA'!AA26</f>
        <v>38.270875326534821</v>
      </c>
      <c r="D26" s="29">
        <f>'DATA UTAMA'!AB26</f>
        <v>0.33524815217376863</v>
      </c>
      <c r="E26" s="29">
        <f>'DATA UTAMA'!AC26</f>
        <v>0.28881252741539359</v>
      </c>
      <c r="F26" s="29">
        <f>'DATA UTAMA'!AD26</f>
        <v>5.4271238087750424E-2</v>
      </c>
      <c r="G26" s="29">
        <f>'DATA UTAMA'!AE26</f>
        <v>6.1582091628585897E-2</v>
      </c>
      <c r="H26" s="29">
        <f>'DATA UTAMA'!AF26</f>
        <v>0.3465950734158697</v>
      </c>
      <c r="I26" s="29">
        <f>'DATA UTAMA'!AG26</f>
        <v>1.6702400683069398</v>
      </c>
      <c r="J26" s="29">
        <f>'DATA UTAMA'!AH26</f>
        <v>2.0514008759709892</v>
      </c>
      <c r="K26" s="29">
        <f>'DATA UTAMA'!AI26</f>
        <v>11.267605633802818</v>
      </c>
      <c r="L26" s="29">
        <f>'DATA UTAMA'!AJ26</f>
        <v>0.62082867690723254</v>
      </c>
      <c r="M26" s="28">
        <f>'DATA UTAMA'!Y26</f>
        <v>0</v>
      </c>
      <c r="N26" s="19">
        <v>1.7785679526778245E-2</v>
      </c>
      <c r="O26" s="19">
        <v>0.6722816697488857</v>
      </c>
      <c r="P26" s="19">
        <v>0.67267112643472937</v>
      </c>
    </row>
    <row r="27" spans="1:16" x14ac:dyDescent="0.35">
      <c r="A27" s="30">
        <f>'DATA UTAMA'!B27</f>
        <v>2019</v>
      </c>
      <c r="B27" s="29">
        <f>'DATA UTAMA'!Z27</f>
        <v>0.1569937534725861</v>
      </c>
      <c r="C27" s="29">
        <f>'DATA UTAMA'!AA27</f>
        <v>18.772019976787711</v>
      </c>
      <c r="D27" s="29">
        <f>'DATA UTAMA'!AB27</f>
        <v>4.0240775189956564</v>
      </c>
      <c r="E27" s="29">
        <f>'DATA UTAMA'!AC27</f>
        <v>2.5674017210443862</v>
      </c>
      <c r="F27" s="29">
        <f>'DATA UTAMA'!AD27</f>
        <v>-0.77856207683975631</v>
      </c>
      <c r="G27" s="29">
        <f>'DATA UTAMA'!AE27</f>
        <v>-2.345704217650485E-2</v>
      </c>
      <c r="H27" s="29">
        <f>'DATA UTAMA'!AF27</f>
        <v>1.6984077581779798E-5</v>
      </c>
      <c r="I27" s="29">
        <f>'DATA UTAMA'!AG27</f>
        <v>5.3403806962662462E-2</v>
      </c>
      <c r="J27" s="29">
        <f>'DATA UTAMA'!AH27</f>
        <v>11.927845970198657</v>
      </c>
      <c r="K27" s="29">
        <f>'DATA UTAMA'!AI27</f>
        <v>-12.483039348710991</v>
      </c>
      <c r="L27" s="29">
        <f>'DATA UTAMA'!AJ27</f>
        <v>9.726856752076035</v>
      </c>
      <c r="M27" s="28">
        <f>'DATA UTAMA'!Y27</f>
        <v>1</v>
      </c>
      <c r="N27" s="19">
        <v>-6.0223650454569309E-2</v>
      </c>
      <c r="O27" s="19">
        <v>0.92264759324134848</v>
      </c>
      <c r="P27" s="19">
        <v>0.4761584727875337</v>
      </c>
    </row>
    <row r="28" spans="1:16" x14ac:dyDescent="0.35">
      <c r="A28" s="30">
        <f>'DATA UTAMA'!B28</f>
        <v>2020</v>
      </c>
      <c r="B28" s="29">
        <f>'DATA UTAMA'!Z28</f>
        <v>3.7767870474279645E-3</v>
      </c>
      <c r="C28" s="29">
        <f>'DATA UTAMA'!AA28</f>
        <v>8.7207772090015059</v>
      </c>
      <c r="D28" s="29">
        <f>'DATA UTAMA'!AB28</f>
        <v>0.27268327900939959</v>
      </c>
      <c r="E28" s="29">
        <f>'DATA UTAMA'!AC28</f>
        <v>0.26494023933591238</v>
      </c>
      <c r="F28" s="29">
        <f>'DATA UTAMA'!AD28</f>
        <v>0.94646052260217672</v>
      </c>
      <c r="G28" s="29">
        <f>'DATA UTAMA'!AE28</f>
        <v>-1.7098916069704477</v>
      </c>
      <c r="H28" s="29">
        <f>'DATA UTAMA'!AF28</f>
        <v>-1.7399799203428437</v>
      </c>
      <c r="I28" s="29">
        <f>'DATA UTAMA'!AG28</f>
        <v>-10.486066843362741</v>
      </c>
      <c r="J28" s="29">
        <f>'DATA UTAMA'!AH28</f>
        <v>-3.0892287768313169</v>
      </c>
      <c r="K28" s="29">
        <f>'DATA UTAMA'!AI28</f>
        <v>-0.71370389046196814</v>
      </c>
      <c r="L28" s="29">
        <f>'DATA UTAMA'!AJ28</f>
        <v>-0.675527393373485</v>
      </c>
      <c r="M28" s="28">
        <f>'DATA UTAMA'!Y28</f>
        <v>1</v>
      </c>
      <c r="N28" s="19">
        <v>-0.45301909158921821</v>
      </c>
      <c r="O28" s="19">
        <v>1.4786455227352726</v>
      </c>
      <c r="P28" s="19">
        <v>3.4830765942347568E-2</v>
      </c>
    </row>
    <row r="29" spans="1:16" x14ac:dyDescent="0.35">
      <c r="A29" s="30">
        <f>'DATA UTAMA'!B29</f>
        <v>2021</v>
      </c>
      <c r="B29" s="29">
        <f>'DATA UTAMA'!Z29</f>
        <v>3.2013259278033581E-3</v>
      </c>
      <c r="C29" s="29">
        <f>'DATA UTAMA'!AA29</f>
        <v>19.159545606166578</v>
      </c>
      <c r="D29" s="29">
        <f>'DATA UTAMA'!AB29</f>
        <v>0.12592057004457424</v>
      </c>
      <c r="E29" s="29">
        <f>'DATA UTAMA'!AC29</f>
        <v>0.12186256088707378</v>
      </c>
      <c r="F29" s="29">
        <f>'DATA UTAMA'!AD29</f>
        <v>0.45158959298404933</v>
      </c>
      <c r="G29" s="29">
        <f>'DATA UTAMA'!AE29</f>
        <v>-3.746625702377222</v>
      </c>
      <c r="H29" s="29">
        <f>'DATA UTAMA'!AF29</f>
        <v>-2.6778659698478227</v>
      </c>
      <c r="I29" s="29">
        <f>'DATA UTAMA'!AG29</f>
        <v>6.3830371920127416</v>
      </c>
      <c r="J29" s="29">
        <f>'DATA UTAMA'!AH29</f>
        <v>-1.9890843186163332</v>
      </c>
      <c r="K29" s="29">
        <f>'DATA UTAMA'!AI29</f>
        <v>-0.83907154909024584</v>
      </c>
      <c r="L29" s="29">
        <f>'DATA UTAMA'!AJ29</f>
        <v>-0.37855194792389013</v>
      </c>
      <c r="M29" s="28">
        <f>'DATA UTAMA'!Y29</f>
        <v>1</v>
      </c>
      <c r="N29" s="19">
        <v>-0.4565734027770198</v>
      </c>
      <c r="O29" s="19">
        <v>2.0110361484640027</v>
      </c>
      <c r="P29" s="19">
        <v>2.5076305066265514E-2</v>
      </c>
    </row>
    <row r="30" spans="1:16" x14ac:dyDescent="0.35">
      <c r="A30" s="30">
        <f>'DATA UTAMA'!B30</f>
        <v>2022</v>
      </c>
      <c r="B30" s="29">
        <f>'DATA UTAMA'!Z30</f>
        <v>3.5863192531790352E-3</v>
      </c>
      <c r="C30" s="29">
        <f>'DATA UTAMA'!AA30</f>
        <v>8.6628622832347233</v>
      </c>
      <c r="D30" s="29">
        <f>'DATA UTAMA'!AB30</f>
        <v>0.74574223539933338</v>
      </c>
      <c r="E30" s="29">
        <f>'DATA UTAMA'!AC30</f>
        <v>0.70572187989739743</v>
      </c>
      <c r="F30" s="29">
        <f>'DATA UTAMA'!AD30</f>
        <v>0.24165264840527864</v>
      </c>
      <c r="G30" s="29">
        <f>'DATA UTAMA'!AE30</f>
        <v>-0.43563699474430978</v>
      </c>
      <c r="H30" s="29">
        <f>'DATA UTAMA'!AF30</f>
        <v>-0.34801056697353705</v>
      </c>
      <c r="I30" s="29">
        <f>'DATA UTAMA'!AG30</f>
        <v>4.0019002683368399</v>
      </c>
      <c r="J30" s="29">
        <f>'DATA UTAMA'!AH30</f>
        <v>-1.7860193245851399</v>
      </c>
      <c r="K30" s="29">
        <f>'DATA UTAMA'!AI30</f>
        <v>-1.2434427822032252</v>
      </c>
      <c r="L30" s="29">
        <f>'DATA UTAMA'!AJ30</f>
        <v>-0.30102003285056705</v>
      </c>
      <c r="M30" s="28">
        <f>'DATA UTAMA'!Y30</f>
        <v>1</v>
      </c>
      <c r="N30" s="19">
        <v>-0.30743855888380694</v>
      </c>
      <c r="O30" s="19">
        <v>2.2722333519316451</v>
      </c>
      <c r="P30" s="19">
        <v>3.8564816032336663E-2</v>
      </c>
    </row>
    <row r="31" spans="1:16" x14ac:dyDescent="0.35">
      <c r="A31" s="30">
        <f>'DATA UTAMA'!B31</f>
        <v>2023</v>
      </c>
      <c r="B31" s="29">
        <f>'DATA UTAMA'!Z31</f>
        <v>6.5578007805396589E-3</v>
      </c>
      <c r="C31" s="29">
        <f>'DATA UTAMA'!AA31</f>
        <v>6.9774151888769387</v>
      </c>
      <c r="D31" s="29">
        <f>'DATA UTAMA'!AB31</f>
        <v>1.1453983353018069</v>
      </c>
      <c r="E31" s="29">
        <f>'DATA UTAMA'!AC31</f>
        <v>1.0832246140032729</v>
      </c>
      <c r="F31" s="29">
        <f>'DATA UTAMA'!AD31</f>
        <v>0.13676282659218139</v>
      </c>
      <c r="G31" s="29">
        <f>'DATA UTAMA'!AE31</f>
        <v>-0.16311899933694055</v>
      </c>
      <c r="H31" s="29">
        <f>'DATA UTAMA'!AF31</f>
        <v>-0.10605062947931253</v>
      </c>
      <c r="I31" s="29">
        <f>'DATA UTAMA'!AG31</f>
        <v>1.9383047073491391</v>
      </c>
      <c r="J31" s="29">
        <f>'DATA UTAMA'!AH31</f>
        <v>-1.7740071983554326</v>
      </c>
      <c r="K31" s="29">
        <f>'DATA UTAMA'!AI31</f>
        <v>-1.2351778656126482</v>
      </c>
      <c r="L31" s="29">
        <f>'DATA UTAMA'!AJ31</f>
        <v>-0.16902315479122612</v>
      </c>
      <c r="M31" s="28">
        <f>'DATA UTAMA'!Y31</f>
        <v>1</v>
      </c>
      <c r="N31" s="19">
        <v>-0.17669451509335754</v>
      </c>
      <c r="O31" s="19">
        <v>2.2919776484311054</v>
      </c>
      <c r="P31" s="19">
        <v>3.8702887136708206E-2</v>
      </c>
    </row>
    <row r="32" spans="1:16" x14ac:dyDescent="0.35">
      <c r="A32" s="30">
        <f>'DATA UTAMA'!B32</f>
        <v>2019</v>
      </c>
      <c r="B32" s="29">
        <f>'DATA UTAMA'!Z32</f>
        <v>8.8150575000924297E-2</v>
      </c>
      <c r="C32" s="29">
        <f>'DATA UTAMA'!AA32</f>
        <v>30.82402457216293</v>
      </c>
      <c r="D32" s="29">
        <f>'DATA UTAMA'!AB32</f>
        <v>1.3765612477542148</v>
      </c>
      <c r="E32" s="29">
        <f>'DATA UTAMA'!AC32</f>
        <v>1.0262501840197855</v>
      </c>
      <c r="F32" s="29">
        <f>'DATA UTAMA'!AD32</f>
        <v>-7.650047619610062E-2</v>
      </c>
      <c r="G32" s="29">
        <f>'DATA UTAMA'!AE32</f>
        <v>-9.7465651536454648E-3</v>
      </c>
      <c r="H32" s="29">
        <f>'DATA UTAMA'!AF32</f>
        <v>2.0992124952304039E-2</v>
      </c>
      <c r="I32" s="29">
        <f>'DATA UTAMA'!AG32</f>
        <v>1.0088231468636391</v>
      </c>
      <c r="J32" s="29">
        <f>'DATA UTAMA'!AH32</f>
        <v>6.6482011278041684</v>
      </c>
      <c r="K32" s="29">
        <f>'DATA UTAMA'!AI32</f>
        <v>-21.927846809532387</v>
      </c>
      <c r="L32" s="29">
        <f>'DATA UTAMA'!AJ32</f>
        <v>1.4615294855453769</v>
      </c>
      <c r="M32" s="28">
        <f>'DATA UTAMA'!Y32</f>
        <v>1</v>
      </c>
      <c r="N32" s="19">
        <v>-1.0002414282489488E-2</v>
      </c>
      <c r="O32" s="19">
        <v>0.86925030039225648</v>
      </c>
      <c r="P32" s="19">
        <v>0.33390232757365712</v>
      </c>
    </row>
    <row r="33" spans="1:16" x14ac:dyDescent="0.35">
      <c r="A33" s="30">
        <f>'DATA UTAMA'!B33</f>
        <v>2020</v>
      </c>
      <c r="B33" s="29">
        <f>'DATA UTAMA'!Z33</f>
        <v>4.6796128820273168E-2</v>
      </c>
      <c r="C33" s="29">
        <f>'DATA UTAMA'!AA33</f>
        <v>31.131217747945623</v>
      </c>
      <c r="D33" s="29">
        <f>'DATA UTAMA'!AB33</f>
        <v>0.14554452790389463</v>
      </c>
      <c r="E33" s="29">
        <f>'DATA UTAMA'!AC33</f>
        <v>0.13830711852190669</v>
      </c>
      <c r="F33" s="29">
        <f>'DATA UTAMA'!AD33</f>
        <v>1.2746281230529595</v>
      </c>
      <c r="G33" s="29">
        <f>'DATA UTAMA'!AE33</f>
        <v>-1.6595736366142699</v>
      </c>
      <c r="H33" s="29">
        <f>'DATA UTAMA'!AF33</f>
        <v>-1.4762539134085284</v>
      </c>
      <c r="I33" s="29">
        <f>'DATA UTAMA'!AG33</f>
        <v>5.6825429559353315</v>
      </c>
      <c r="J33" s="29">
        <f>'DATA UTAMA'!AH33</f>
        <v>-6.5531887590489752</v>
      </c>
      <c r="K33" s="29">
        <f>'DATA UTAMA'!AI33</f>
        <v>-0.27819816947717763</v>
      </c>
      <c r="L33" s="29">
        <f>'DATA UTAMA'!AJ33</f>
        <v>-0.34977165950383182</v>
      </c>
      <c r="M33" s="28">
        <f>'DATA UTAMA'!Y33</f>
        <v>1</v>
      </c>
      <c r="N33" s="19">
        <v>-0.22953084765504153</v>
      </c>
      <c r="O33" s="19">
        <v>1.1800767168900013</v>
      </c>
      <c r="P33" s="19">
        <v>0.12492955585052921</v>
      </c>
    </row>
    <row r="34" spans="1:16" x14ac:dyDescent="0.35">
      <c r="A34" s="30">
        <f>'DATA UTAMA'!B34</f>
        <v>2021</v>
      </c>
      <c r="B34" s="29">
        <f>'DATA UTAMA'!Z34</f>
        <v>9.4332844631442401E-3</v>
      </c>
      <c r="C34" s="29">
        <f>'DATA UTAMA'!AA34</f>
        <v>28.367584363799917</v>
      </c>
      <c r="D34" s="29">
        <f>'DATA UTAMA'!AB34</f>
        <v>0.19408661594671281</v>
      </c>
      <c r="E34" s="29">
        <f>'DATA UTAMA'!AC34</f>
        <v>0.18583703483144021</v>
      </c>
      <c r="F34" s="29">
        <f>'DATA UTAMA'!AD34</f>
        <v>0.68313649337222559</v>
      </c>
      <c r="G34" s="29">
        <f>'DATA UTAMA'!AE34</f>
        <v>-3.1226692594218264</v>
      </c>
      <c r="H34" s="29">
        <f>'DATA UTAMA'!AF34</f>
        <v>-3.3909080663205415</v>
      </c>
      <c r="I34" s="29">
        <f>'DATA UTAMA'!AG34</f>
        <v>-6.9276281574640004</v>
      </c>
      <c r="J34" s="29">
        <f>'DATA UTAMA'!AH34</f>
        <v>-2.177197228096158</v>
      </c>
      <c r="K34" s="29">
        <f>'DATA UTAMA'!AI34</f>
        <v>-8.8898497176473676E-2</v>
      </c>
      <c r="L34" s="29">
        <f>'DATA UTAMA'!AJ34</f>
        <v>-0.21386546717900526</v>
      </c>
      <c r="M34" s="28">
        <f>'DATA UTAMA'!Y34</f>
        <v>1</v>
      </c>
      <c r="N34" s="19">
        <v>-0.58030759593024162</v>
      </c>
      <c r="O34" s="19">
        <v>1.8494753267617414</v>
      </c>
      <c r="P34" s="19">
        <v>5.2973217567640979E-2</v>
      </c>
    </row>
    <row r="35" spans="1:16" x14ac:dyDescent="0.35">
      <c r="A35" s="30">
        <f>'DATA UTAMA'!B35</f>
        <v>2022</v>
      </c>
      <c r="B35" s="29">
        <f>'DATA UTAMA'!Z35</f>
        <v>0.31033520567149159</v>
      </c>
      <c r="C35" s="29">
        <f>'DATA UTAMA'!AA35</f>
        <v>21.90084668449499</v>
      </c>
      <c r="D35" s="29">
        <f>'DATA UTAMA'!AB35</f>
        <v>0.38648044997908682</v>
      </c>
      <c r="E35" s="29">
        <f>'DATA UTAMA'!AC35</f>
        <v>0.3368205068240025</v>
      </c>
      <c r="F35" s="29">
        <f>'DATA UTAMA'!AD35</f>
        <v>-2.4341556726156743</v>
      </c>
      <c r="G35" s="29">
        <f>'DATA UTAMA'!AE35</f>
        <v>1.7792994030943279</v>
      </c>
      <c r="H35" s="29">
        <f>'DATA UTAMA'!AF35</f>
        <v>1.873814727165684</v>
      </c>
      <c r="I35" s="29">
        <f>'DATA UTAMA'!AG35</f>
        <v>10.536220136350771</v>
      </c>
      <c r="J35" s="29">
        <f>'DATA UTAMA'!AH35</f>
        <v>-5.0616340508038196</v>
      </c>
      <c r="K35" s="29">
        <f>'DATA UTAMA'!AI35</f>
        <v>9.2452578878503208E-2</v>
      </c>
      <c r="L35" s="29">
        <f>'DATA UTAMA'!AJ35</f>
        <v>-0.77931929253834487</v>
      </c>
      <c r="M35" s="28">
        <f>'DATA UTAMA'!Y35</f>
        <v>1</v>
      </c>
      <c r="N35" s="19">
        <v>0.59930452674187662</v>
      </c>
      <c r="O35" s="19">
        <v>1.24620632668817</v>
      </c>
      <c r="P35" s="19">
        <v>0.47658517773028342</v>
      </c>
    </row>
    <row r="36" spans="1:16" x14ac:dyDescent="0.35">
      <c r="A36" s="30">
        <f>'DATA UTAMA'!B36</f>
        <v>2023</v>
      </c>
      <c r="B36" s="29">
        <f>'DATA UTAMA'!Z36</f>
        <v>0.24876195157159584</v>
      </c>
      <c r="C36" s="29">
        <f>'DATA UTAMA'!AA36</f>
        <v>20.288917966827192</v>
      </c>
      <c r="D36" s="29">
        <f>'DATA UTAMA'!AB36</f>
        <v>0.48348582592951489</v>
      </c>
      <c r="E36" s="29">
        <f>'DATA UTAMA'!AC36</f>
        <v>0.43650208518216843</v>
      </c>
      <c r="F36" s="29">
        <f>'DATA UTAMA'!AD36</f>
        <v>-0.19645376281706495</v>
      </c>
      <c r="G36" s="29">
        <f>'DATA UTAMA'!AE36</f>
        <v>8.5811452625039863E-2</v>
      </c>
      <c r="H36" s="29">
        <f>'DATA UTAMA'!AF36</f>
        <v>7.9883763908685221E-2</v>
      </c>
      <c r="I36" s="29">
        <f>'DATA UTAMA'!AG36</f>
        <v>1.5135684337741031</v>
      </c>
      <c r="J36" s="29">
        <f>'DATA UTAMA'!AH36</f>
        <v>-0.90834245630474186</v>
      </c>
      <c r="K36" s="29">
        <f>'DATA UTAMA'!AI36</f>
        <v>1.6417489623075854</v>
      </c>
      <c r="L36" s="29">
        <f>'DATA UTAMA'!AJ36</f>
        <v>-0.3196428390967091</v>
      </c>
      <c r="M36" s="28">
        <f>'DATA UTAMA'!Y36</f>
        <v>0</v>
      </c>
      <c r="N36" s="19">
        <v>3.7456878003340764E-2</v>
      </c>
      <c r="O36" s="19">
        <v>0.17318921298923645</v>
      </c>
      <c r="P36" s="19">
        <v>0.56110353667181423</v>
      </c>
    </row>
    <row r="37" spans="1:16" x14ac:dyDescent="0.35">
      <c r="A37" s="30">
        <f>'DATA UTAMA'!B37</f>
        <v>2019</v>
      </c>
      <c r="B37" s="29">
        <f>'DATA UTAMA'!Z37</f>
        <v>3.6637019214389728</v>
      </c>
      <c r="C37" s="29">
        <f>'DATA UTAMA'!AA37</f>
        <v>4.9556544005672967</v>
      </c>
      <c r="D37" s="29">
        <f>'DATA UTAMA'!AB37</f>
        <v>2.9042292089013939</v>
      </c>
      <c r="E37" s="29">
        <f>'DATA UTAMA'!AC37</f>
        <v>1.6460982227647714</v>
      </c>
      <c r="F37" s="29">
        <f>'DATA UTAMA'!AD37</f>
        <v>0.17685156323521495</v>
      </c>
      <c r="G37" s="29">
        <f>'DATA UTAMA'!AE37</f>
        <v>6.976500970656635E-2</v>
      </c>
      <c r="H37" s="29">
        <f>'DATA UTAMA'!AF37</f>
        <v>0.17274474439571413</v>
      </c>
      <c r="I37" s="29">
        <f>'DATA UTAMA'!AG37</f>
        <v>3.2216182246262828</v>
      </c>
      <c r="J37" s="29">
        <f>'DATA UTAMA'!AH37</f>
        <v>0.53998147999837576</v>
      </c>
      <c r="K37" s="29">
        <f>'DATA UTAMA'!AI37</f>
        <v>7.7777777777777777</v>
      </c>
      <c r="L37" s="29">
        <f>'DATA UTAMA'!AJ37</f>
        <v>1.3709255103689078</v>
      </c>
      <c r="M37" s="28">
        <f>'DATA UTAMA'!Y37</f>
        <v>0</v>
      </c>
      <c r="N37" s="19">
        <v>0.1148400584891459</v>
      </c>
      <c r="O37" s="19">
        <v>0.35064154148071008</v>
      </c>
      <c r="P37" s="19">
        <v>4.5572327158489569</v>
      </c>
    </row>
    <row r="38" spans="1:16" x14ac:dyDescent="0.35">
      <c r="A38" s="30">
        <f>'DATA UTAMA'!B38</f>
        <v>2020</v>
      </c>
      <c r="B38" s="29">
        <f>'DATA UTAMA'!Z38</f>
        <v>4.753205126873012E-2</v>
      </c>
      <c r="C38" s="29">
        <f>'DATA UTAMA'!AA38</f>
        <v>292.91319458243976</v>
      </c>
      <c r="D38" s="29">
        <f>'DATA UTAMA'!AB38</f>
        <v>0.76350792142101231</v>
      </c>
      <c r="E38" s="29">
        <f>'DATA UTAMA'!AC38</f>
        <v>0.42837623328747843</v>
      </c>
      <c r="F38" s="29">
        <f>'DATA UTAMA'!AD38</f>
        <v>5.0088425205571684E-2</v>
      </c>
      <c r="G38" s="29">
        <f>'DATA UTAMA'!AE38</f>
        <v>4.6010768646665312E-2</v>
      </c>
      <c r="H38" s="29">
        <f>'DATA UTAMA'!AF38</f>
        <v>0.22547655076628942</v>
      </c>
      <c r="I38" s="29">
        <f>'DATA UTAMA'!AG38</f>
        <v>2.0543996209041424</v>
      </c>
      <c r="J38" s="29">
        <f>'DATA UTAMA'!AH38</f>
        <v>1.5412800156740025</v>
      </c>
      <c r="K38" s="29">
        <f>'DATA UTAMA'!AI38</f>
        <v>27</v>
      </c>
      <c r="L38" s="29">
        <f>'DATA UTAMA'!AJ38</f>
        <v>1.3388767094203009</v>
      </c>
      <c r="M38" s="28">
        <f>'DATA UTAMA'!Y38</f>
        <v>0</v>
      </c>
      <c r="N38" s="19">
        <v>1.9709919763520097E-2</v>
      </c>
      <c r="O38" s="19">
        <v>0.60649751549131103</v>
      </c>
      <c r="P38" s="19">
        <v>2.1077680520676774</v>
      </c>
    </row>
    <row r="39" spans="1:16" x14ac:dyDescent="0.35">
      <c r="A39" s="30">
        <f>'DATA UTAMA'!B39</f>
        <v>2021</v>
      </c>
      <c r="B39" s="29">
        <f>'DATA UTAMA'!Z39</f>
        <v>0.12575369172594247</v>
      </c>
      <c r="C39" s="29">
        <f>'DATA UTAMA'!AA39</f>
        <v>407.53702936279836</v>
      </c>
      <c r="D39" s="29">
        <f>'DATA UTAMA'!AB39</f>
        <v>0.32600623130156875</v>
      </c>
      <c r="E39" s="29">
        <f>'DATA UTAMA'!AC39</f>
        <v>0.2102929388828764</v>
      </c>
      <c r="F39" s="29">
        <f>'DATA UTAMA'!AD39</f>
        <v>2.4446062813743921E-2</v>
      </c>
      <c r="G39" s="29">
        <f>'DATA UTAMA'!AE39</f>
        <v>5.4430722891806997E-2</v>
      </c>
      <c r="H39" s="29">
        <f>'DATA UTAMA'!AF39</f>
        <v>0.3358712491272855</v>
      </c>
      <c r="I39" s="29">
        <f>'DATA UTAMA'!AG39</f>
        <v>1.2855515996123847</v>
      </c>
      <c r="J39" s="29">
        <f>'DATA UTAMA'!AH39</f>
        <v>1.1356994250646613</v>
      </c>
      <c r="K39" s="29">
        <f>'DATA UTAMA'!AI39</f>
        <v>81.5</v>
      </c>
      <c r="L39" s="29">
        <f>'DATA UTAMA'!AJ39</f>
        <v>1.9234270211369255</v>
      </c>
      <c r="M39" s="28">
        <f>'DATA UTAMA'!Y39</f>
        <v>0</v>
      </c>
      <c r="N39" s="19">
        <v>1.144639668243755E-2</v>
      </c>
      <c r="O39" s="19">
        <v>0.53176931722509424</v>
      </c>
      <c r="P39" s="19">
        <v>1.0266330369899566</v>
      </c>
    </row>
    <row r="40" spans="1:16" x14ac:dyDescent="0.35">
      <c r="A40" s="30">
        <f>'DATA UTAMA'!B40</f>
        <v>2022</v>
      </c>
      <c r="B40" s="29">
        <f>'DATA UTAMA'!Z40</f>
        <v>0.27858704703155912</v>
      </c>
      <c r="C40" s="29">
        <f>'DATA UTAMA'!AA40</f>
        <v>20.807657518768639</v>
      </c>
      <c r="D40" s="29">
        <f>'DATA UTAMA'!AB40</f>
        <v>0.26366083390829892</v>
      </c>
      <c r="E40" s="29">
        <f>'DATA UTAMA'!AC40</f>
        <v>0.19640886557277565</v>
      </c>
      <c r="F40" s="29">
        <f>'DATA UTAMA'!AD40</f>
        <v>-1.5685007345405322</v>
      </c>
      <c r="G40" s="29">
        <f>'DATA UTAMA'!AE40</f>
        <v>-1.9326313941018778</v>
      </c>
      <c r="H40" s="29">
        <f>'DATA UTAMA'!AF40</f>
        <v>0.17778908359392825</v>
      </c>
      <c r="I40" s="29">
        <f>'DATA UTAMA'!AG40</f>
        <v>-5.6624412370630655</v>
      </c>
      <c r="J40" s="29">
        <f>'DATA UTAMA'!AH40</f>
        <v>3.1321360212617773</v>
      </c>
      <c r="K40" s="29">
        <f>'DATA UTAMA'!AI40</f>
        <v>-2.7184466019417477</v>
      </c>
      <c r="L40" s="29">
        <f>'DATA UTAMA'!AJ40</f>
        <v>4.2475946972424667</v>
      </c>
      <c r="M40" s="28">
        <f>'DATA UTAMA'!Y40</f>
        <v>1</v>
      </c>
      <c r="N40" s="19">
        <v>-0.37958593968588172</v>
      </c>
      <c r="O40" s="19">
        <v>0.7579944138202297</v>
      </c>
      <c r="P40" s="19">
        <v>0.49220467579625149</v>
      </c>
    </row>
    <row r="41" spans="1:16" x14ac:dyDescent="0.35">
      <c r="A41" s="30">
        <f>'DATA UTAMA'!B41</f>
        <v>2023</v>
      </c>
      <c r="B41" s="29">
        <f>'DATA UTAMA'!Z41</f>
        <v>0.11181586258068019</v>
      </c>
      <c r="C41" s="29">
        <f>'DATA UTAMA'!AA41</f>
        <v>148.41319863329343</v>
      </c>
      <c r="D41" s="29">
        <f>'DATA UTAMA'!AB41</f>
        <v>0.43319144746356941</v>
      </c>
      <c r="E41" s="29">
        <f>'DATA UTAMA'!AC41</f>
        <v>0.33764761606734467</v>
      </c>
      <c r="F41" s="29">
        <f>'DATA UTAMA'!AD41</f>
        <v>1.1943746672506375E-2</v>
      </c>
      <c r="G41" s="29">
        <f>'DATA UTAMA'!AE41</f>
        <v>9.6078920788335055E-3</v>
      </c>
      <c r="H41" s="29">
        <f>'DATA UTAMA'!AF41</f>
        <v>7.1321979543389494E-2</v>
      </c>
      <c r="I41" s="29">
        <f>'DATA UTAMA'!AG41</f>
        <v>0.92490623120483206</v>
      </c>
      <c r="J41" s="29">
        <f>'DATA UTAMA'!AH41</f>
        <v>2.6817032378411563</v>
      </c>
      <c r="K41" s="29">
        <f>'DATA UTAMA'!AI41</f>
        <v>511.39240506329111</v>
      </c>
      <c r="L41" s="29">
        <f>'DATA UTAMA'!AJ41</f>
        <v>6.0548446846754214</v>
      </c>
      <c r="M41" s="28">
        <f>'DATA UTAMA'!Y41</f>
        <v>0</v>
      </c>
      <c r="N41" s="19">
        <v>3.2440818558504571E-3</v>
      </c>
      <c r="O41" s="19">
        <v>0.72838658213355323</v>
      </c>
      <c r="P41" s="19">
        <v>0.30648147485523969</v>
      </c>
    </row>
    <row r="42" spans="1:16" x14ac:dyDescent="0.35">
      <c r="A42" s="30">
        <f>'DATA UTAMA'!B42</f>
        <v>2019</v>
      </c>
      <c r="B42" s="29">
        <f>'DATA UTAMA'!Z42</f>
        <v>6.7371129078432623E-2</v>
      </c>
      <c r="C42" s="29">
        <f>'DATA UTAMA'!AA42</f>
        <v>1403.430248653048</v>
      </c>
      <c r="D42" s="29">
        <f>'DATA UTAMA'!AB42</f>
        <v>0.23737596259014987</v>
      </c>
      <c r="E42" s="29">
        <f>'DATA UTAMA'!AC42</f>
        <v>0.163237795878243</v>
      </c>
      <c r="F42" s="29">
        <f>'DATA UTAMA'!AD42</f>
        <v>1.3274974705303632E-2</v>
      </c>
      <c r="G42" s="29">
        <f>'DATA UTAMA'!AE42</f>
        <v>1.0985052489034461E-2</v>
      </c>
      <c r="H42" s="29">
        <f>'DATA UTAMA'!AF42</f>
        <v>0.42081586639073515</v>
      </c>
      <c r="I42" s="29">
        <f>'DATA UTAMA'!AG42</f>
        <v>1.0398479209210902</v>
      </c>
      <c r="J42" s="29">
        <f>'DATA UTAMA'!AH42</f>
        <v>6.4030527467825191</v>
      </c>
      <c r="K42" s="29">
        <f>'DATA UTAMA'!AI42</f>
        <v>21.712155108128265</v>
      </c>
      <c r="L42" s="29">
        <f>'DATA UTAMA'!AJ42</f>
        <v>0.51185530461836215</v>
      </c>
      <c r="M42" s="28">
        <f>'DATA UTAMA'!Y42</f>
        <v>1</v>
      </c>
      <c r="N42" s="19">
        <v>1.7931757559167924E-3</v>
      </c>
      <c r="O42" s="19">
        <v>0.86492058962640572</v>
      </c>
      <c r="P42" s="19">
        <v>0.84362692086165192</v>
      </c>
    </row>
    <row r="43" spans="1:16" x14ac:dyDescent="0.35">
      <c r="A43" s="30">
        <f>'DATA UTAMA'!B43</f>
        <v>2020</v>
      </c>
      <c r="B43" s="29">
        <f>'DATA UTAMA'!Z43</f>
        <v>0.15226934937735775</v>
      </c>
      <c r="C43" s="29">
        <f>'DATA UTAMA'!AA43</f>
        <v>1104.6468571433625</v>
      </c>
      <c r="D43" s="29">
        <f>'DATA UTAMA'!AB43</f>
        <v>0.26951326409211801</v>
      </c>
      <c r="E43" s="29">
        <f>'DATA UTAMA'!AC43</f>
        <v>0.17524415969274845</v>
      </c>
      <c r="F43" s="29">
        <f>'DATA UTAMA'!AD43</f>
        <v>-3.0978597525449281E-2</v>
      </c>
      <c r="G43" s="29">
        <f>'DATA UTAMA'!AE43</f>
        <v>-2.6952686079456233E-2</v>
      </c>
      <c r="H43" s="29">
        <f>'DATA UTAMA'!AF43</f>
        <v>0.38238673228811315</v>
      </c>
      <c r="I43" s="29">
        <f>'DATA UTAMA'!AG43</f>
        <v>0.72935185098722877</v>
      </c>
      <c r="J43" s="29">
        <f>'DATA UTAMA'!AH43</f>
        <v>5.5586755286904639</v>
      </c>
      <c r="K43" s="29">
        <f>'DATA UTAMA'!AI43</f>
        <v>-48.122065727699535</v>
      </c>
      <c r="L43" s="29">
        <f>'DATA UTAMA'!AJ43</f>
        <v>0.98443704415294764</v>
      </c>
      <c r="M43" s="28">
        <f>'DATA UTAMA'!Y43</f>
        <v>1</v>
      </c>
      <c r="N43" s="19">
        <v>-4.7233008234567461E-3</v>
      </c>
      <c r="O43" s="19">
        <v>0.84753019178558686</v>
      </c>
      <c r="P43" s="19">
        <v>0.85957781857338433</v>
      </c>
    </row>
    <row r="44" spans="1:16" x14ac:dyDescent="0.35">
      <c r="A44" s="30">
        <f>'DATA UTAMA'!B44</f>
        <v>2021</v>
      </c>
      <c r="B44" s="29">
        <f>'DATA UTAMA'!Z44</f>
        <v>0.15232306032130932</v>
      </c>
      <c r="C44" s="29">
        <f>'DATA UTAMA'!AA44</f>
        <v>1175.4867037646734</v>
      </c>
      <c r="D44" s="29">
        <f>'DATA UTAMA'!AB44</f>
        <v>0.2510057705597234</v>
      </c>
      <c r="E44" s="29">
        <f>'DATA UTAMA'!AC44</f>
        <v>0.1637014835769475</v>
      </c>
      <c r="F44" s="29">
        <f>'DATA UTAMA'!AD44</f>
        <v>-2.114351053532431E-2</v>
      </c>
      <c r="G44" s="29">
        <f>'DATA UTAMA'!AE44</f>
        <v>-1.9943269356512784E-2</v>
      </c>
      <c r="H44" s="29">
        <f>'DATA UTAMA'!AF44</f>
        <v>0.34733780724340868</v>
      </c>
      <c r="I44" s="29">
        <f>'DATA UTAMA'!AG44</f>
        <v>0.8350293230164666</v>
      </c>
      <c r="J44" s="29">
        <f>'DATA UTAMA'!AH44</f>
        <v>5.476317417146114</v>
      </c>
      <c r="K44" s="29">
        <f>'DATA UTAMA'!AI44</f>
        <v>-591.54929577464793</v>
      </c>
      <c r="L44" s="29">
        <f>'DATA UTAMA'!AJ44</f>
        <v>0.95399075097846275</v>
      </c>
      <c r="M44" s="28">
        <f>'DATA UTAMA'!Y44</f>
        <v>1</v>
      </c>
      <c r="N44" s="19">
        <v>-3.2647427810358182E-3</v>
      </c>
      <c r="O44" s="19">
        <v>0.84559126188711964</v>
      </c>
      <c r="P44" s="19">
        <v>0.82636870347434743</v>
      </c>
    </row>
    <row r="45" spans="1:16" x14ac:dyDescent="0.35">
      <c r="A45" s="30">
        <f>'DATA UTAMA'!B45</f>
        <v>2022</v>
      </c>
      <c r="B45" s="29">
        <f>'DATA UTAMA'!Z45</f>
        <v>0.15793787835334305</v>
      </c>
      <c r="C45" s="29">
        <f>'DATA UTAMA'!AA45</f>
        <v>1092.3115187476583</v>
      </c>
      <c r="D45" s="29">
        <f>'DATA UTAMA'!AB45</f>
        <v>0.28016380361871396</v>
      </c>
      <c r="E45" s="29">
        <f>'DATA UTAMA'!AC45</f>
        <v>0.18290131824353759</v>
      </c>
      <c r="F45" s="29">
        <f>'DATA UTAMA'!AD45</f>
        <v>2.0660225708451753E-2</v>
      </c>
      <c r="G45" s="29">
        <f>'DATA UTAMA'!AE45</f>
        <v>1.8552849789043823E-2</v>
      </c>
      <c r="H45" s="29">
        <f>'DATA UTAMA'!AF45</f>
        <v>0.40405725851370089</v>
      </c>
      <c r="I45" s="29">
        <f>'DATA UTAMA'!AG45</f>
        <v>1.2128006631717956</v>
      </c>
      <c r="J45" s="29">
        <f>'DATA UTAMA'!AH45</f>
        <v>5.0884619715198811</v>
      </c>
      <c r="K45" s="29">
        <f>'DATA UTAMA'!AI45</f>
        <v>18.854415274463005</v>
      </c>
      <c r="L45" s="29">
        <f>'DATA UTAMA'!AJ45</f>
        <v>0.61830143139594484</v>
      </c>
      <c r="M45" s="28">
        <f>'DATA UTAMA'!Y45</f>
        <v>1</v>
      </c>
      <c r="N45" s="19">
        <v>3.3933406835904537E-3</v>
      </c>
      <c r="O45" s="19">
        <v>0.83575490744990777</v>
      </c>
      <c r="P45" s="19">
        <v>0.71443255606661837</v>
      </c>
    </row>
    <row r="46" spans="1:16" x14ac:dyDescent="0.35">
      <c r="A46" s="30">
        <f>'DATA UTAMA'!B46</f>
        <v>2023</v>
      </c>
      <c r="B46" s="29">
        <f>'DATA UTAMA'!Z46</f>
        <v>0.1562566126278159</v>
      </c>
      <c r="C46" s="29">
        <f>'DATA UTAMA'!AA46</f>
        <v>1078.516335378976</v>
      </c>
      <c r="D46" s="29">
        <f>'DATA UTAMA'!AB46</f>
        <v>0.2723549779281072</v>
      </c>
      <c r="E46" s="29">
        <f>'DATA UTAMA'!AC46</f>
        <v>0.1795224275425269</v>
      </c>
      <c r="F46" s="29">
        <f>'DATA UTAMA'!AD46</f>
        <v>5.6904545493198386E-2</v>
      </c>
      <c r="G46" s="29">
        <f>'DATA UTAMA'!AE46</f>
        <v>5.230545989303894E-2</v>
      </c>
      <c r="H46" s="29">
        <f>'DATA UTAMA'!AF46</f>
        <v>0.40930917158131119</v>
      </c>
      <c r="I46" s="29">
        <f>'DATA UTAMA'!AG46</f>
        <v>1.3393776006235689</v>
      </c>
      <c r="J46" s="29">
        <f>'DATA UTAMA'!AH46</f>
        <v>5.0601199683108691</v>
      </c>
      <c r="K46" s="29">
        <f>'DATA UTAMA'!AI46</f>
        <v>7.2614107883817427</v>
      </c>
      <c r="L46" s="29">
        <f>'DATA UTAMA'!AJ46</f>
        <v>0.51146468008369494</v>
      </c>
      <c r="M46" s="28">
        <f>'DATA UTAMA'!Y46</f>
        <v>1</v>
      </c>
      <c r="N46" s="19">
        <v>9.3900031337266297E-3</v>
      </c>
      <c r="O46" s="19">
        <v>0.83498676507575331</v>
      </c>
      <c r="P46" s="19">
        <v>0.915317769079937</v>
      </c>
    </row>
    <row r="47" spans="1:16" x14ac:dyDescent="0.35">
      <c r="A47" s="30">
        <f>'DATA UTAMA'!B47</f>
        <v>2019</v>
      </c>
      <c r="B47" s="29">
        <f>'DATA UTAMA'!Z47</f>
        <v>2.7682172316614267E-2</v>
      </c>
      <c r="C47" s="29">
        <f>'DATA UTAMA'!AA47</f>
        <v>75.508965184141303</v>
      </c>
      <c r="D47" s="29">
        <f>'DATA UTAMA'!AB47</f>
        <v>0.818147714194008</v>
      </c>
      <c r="E47" s="29">
        <f>'DATA UTAMA'!AC47</f>
        <v>0.68558519025985365</v>
      </c>
      <c r="F47" s="29">
        <f>'DATA UTAMA'!AD47</f>
        <v>2.2971642464433412E-2</v>
      </c>
      <c r="G47" s="29">
        <f>'DATA UTAMA'!AE47</f>
        <v>2.3215501629009049E-2</v>
      </c>
      <c r="H47" s="29">
        <f>'DATA UTAMA'!AF47</f>
        <v>0.32238177124081907</v>
      </c>
      <c r="I47" s="29">
        <f>'DATA UTAMA'!AG47</f>
        <v>1.9074448118274516</v>
      </c>
      <c r="J47" s="29">
        <f>'DATA UTAMA'!AH47</f>
        <v>0.4432864970960062</v>
      </c>
      <c r="K47" s="29">
        <f>'DATA UTAMA'!AI47</f>
        <v>17.931297709923662</v>
      </c>
      <c r="L47" s="29">
        <f>'DATA UTAMA'!AJ47</f>
        <v>0.4123132363458426</v>
      </c>
      <c r="M47" s="28">
        <f>'DATA UTAMA'!Y47</f>
        <v>0</v>
      </c>
      <c r="N47" s="19">
        <v>1.5916204101302112E-2</v>
      </c>
      <c r="O47" s="19">
        <v>0.30713686990623812</v>
      </c>
      <c r="P47" s="19">
        <v>0.80279239236269251</v>
      </c>
    </row>
    <row r="48" spans="1:16" x14ac:dyDescent="0.35">
      <c r="A48" s="30">
        <f>'DATA UTAMA'!B48</f>
        <v>2020</v>
      </c>
      <c r="B48" s="29">
        <f>'DATA UTAMA'!Z48</f>
        <v>0.52066948707987992</v>
      </c>
      <c r="C48" s="29">
        <f>'DATA UTAMA'!AA48</f>
        <v>74.139981532124821</v>
      </c>
      <c r="D48" s="29">
        <f>'DATA UTAMA'!AB48</f>
        <v>1.056642075969582</v>
      </c>
      <c r="E48" s="29">
        <f>'DATA UTAMA'!AC48</f>
        <v>0.79651789521158534</v>
      </c>
      <c r="F48" s="29">
        <f>'DATA UTAMA'!AD48</f>
        <v>4.5354810775557731E-2</v>
      </c>
      <c r="G48" s="29">
        <f>'DATA UTAMA'!AE48</f>
        <v>4.6234327998734066E-2</v>
      </c>
      <c r="H48" s="29">
        <f>'DATA UTAMA'!AF48</f>
        <v>0.29810985771850107</v>
      </c>
      <c r="I48" s="29">
        <f>'DATA UTAMA'!AG48</f>
        <v>2.796549686212165</v>
      </c>
      <c r="J48" s="29">
        <f>'DATA UTAMA'!AH48</f>
        <v>0.23158182792273321</v>
      </c>
      <c r="K48" s="29">
        <f>'DATA UTAMA'!AI48</f>
        <v>13.465923172242874</v>
      </c>
      <c r="L48" s="29">
        <f>'DATA UTAMA'!AJ48</f>
        <v>0.61054991086865251</v>
      </c>
      <c r="M48" s="28">
        <f>'DATA UTAMA'!Y48</f>
        <v>0</v>
      </c>
      <c r="N48" s="19">
        <v>3.6826469624073731E-2</v>
      </c>
      <c r="O48" s="19">
        <v>0.18803608714601963</v>
      </c>
      <c r="P48" s="19">
        <v>1.7134333777211035</v>
      </c>
    </row>
    <row r="49" spans="1:16" x14ac:dyDescent="0.35">
      <c r="A49" s="30">
        <f>'DATA UTAMA'!B49</f>
        <v>2021</v>
      </c>
      <c r="B49" s="29">
        <f>'DATA UTAMA'!Z49</f>
        <v>0.50684108888314938</v>
      </c>
      <c r="C49" s="29">
        <f>'DATA UTAMA'!AA49</f>
        <v>86.493655677624602</v>
      </c>
      <c r="D49" s="29">
        <f>'DATA UTAMA'!AB49</f>
        <v>1.0790770012691759</v>
      </c>
      <c r="E49" s="29">
        <f>'DATA UTAMA'!AC49</f>
        <v>0.59394571338169144</v>
      </c>
      <c r="F49" s="29">
        <f>'DATA UTAMA'!AD49</f>
        <v>5.1645554905994082E-2</v>
      </c>
      <c r="G49" s="29">
        <f>'DATA UTAMA'!AE49</f>
        <v>7.8588620733248182E-2</v>
      </c>
      <c r="H49" s="29">
        <f>'DATA UTAMA'!AF49</f>
        <v>0.30733585666145719</v>
      </c>
      <c r="I49" s="29">
        <f>'DATA UTAMA'!AG49</f>
        <v>5.8989586980278625</v>
      </c>
      <c r="J49" s="29">
        <f>'DATA UTAMA'!AH49</f>
        <v>0.10643658869466747</v>
      </c>
      <c r="K49" s="29">
        <f>'DATA UTAMA'!AI49</f>
        <v>14.476614699331847</v>
      </c>
      <c r="L49" s="29">
        <f>'DATA UTAMA'!AJ49</f>
        <v>1.3269828257067722</v>
      </c>
      <c r="M49" s="28">
        <f>'DATA UTAMA'!Y49</f>
        <v>0</v>
      </c>
      <c r="N49" s="19">
        <v>4.6677374405092273E-2</v>
      </c>
      <c r="O49" s="19">
        <v>9.6197640047530772E-2</v>
      </c>
      <c r="P49" s="19">
        <v>7.8606061980425119</v>
      </c>
    </row>
    <row r="50" spans="1:16" x14ac:dyDescent="0.35">
      <c r="A50" s="30">
        <f>'DATA UTAMA'!B50</f>
        <v>2022</v>
      </c>
      <c r="B50" s="29">
        <f>'DATA UTAMA'!Z50</f>
        <v>0.68011475924343412</v>
      </c>
      <c r="C50" s="29">
        <f>'DATA UTAMA'!AA50</f>
        <v>89.536189112755721</v>
      </c>
      <c r="D50" s="29">
        <f>'DATA UTAMA'!AB50</f>
        <v>0.99788592712607771</v>
      </c>
      <c r="E50" s="29">
        <f>'DATA UTAMA'!AC50</f>
        <v>0.60226510411726952</v>
      </c>
      <c r="F50" s="29">
        <f>'DATA UTAMA'!AD50</f>
        <v>3.6936300453169785E-2</v>
      </c>
      <c r="G50" s="29">
        <f>'DATA UTAMA'!AE50</f>
        <v>5.4738855398684415E-2</v>
      </c>
      <c r="H50" s="29">
        <f>'DATA UTAMA'!AF50</f>
        <v>0.28640121104629601</v>
      </c>
      <c r="I50" s="29">
        <f>'DATA UTAMA'!AG50</f>
        <v>8.7687699155308483</v>
      </c>
      <c r="J50" s="29">
        <f>'DATA UTAMA'!AH50</f>
        <v>0.12039195544519551</v>
      </c>
      <c r="K50" s="29">
        <f>'DATA UTAMA'!AI50</f>
        <v>19.569120287253142</v>
      </c>
      <c r="L50" s="29">
        <f>'DATA UTAMA'!AJ50</f>
        <v>0.73852833565701081</v>
      </c>
      <c r="M50" s="28">
        <f>'DATA UTAMA'!Y50</f>
        <v>0</v>
      </c>
      <c r="N50" s="19">
        <v>3.296730244594883E-2</v>
      </c>
      <c r="O50" s="19">
        <v>0.10745521231215636</v>
      </c>
      <c r="P50" s="19">
        <v>4.4278327571810445</v>
      </c>
    </row>
    <row r="51" spans="1:16" x14ac:dyDescent="0.35">
      <c r="A51" s="30">
        <f>'DATA UTAMA'!B51</f>
        <v>2023</v>
      </c>
      <c r="B51" s="29">
        <f>'DATA UTAMA'!Z51</f>
        <v>0.25195594188109632</v>
      </c>
      <c r="C51" s="29">
        <f>'DATA UTAMA'!AA51</f>
        <v>81.989667742468043</v>
      </c>
      <c r="D51" s="29">
        <f>'DATA UTAMA'!AB51</f>
        <v>0.74588892792712724</v>
      </c>
      <c r="E51" s="29">
        <f>'DATA UTAMA'!AC51</f>
        <v>0.50859960546913352</v>
      </c>
      <c r="F51" s="29">
        <f>'DATA UTAMA'!AD51</f>
        <v>8.4122532306344922E-2</v>
      </c>
      <c r="G51" s="29">
        <f>'DATA UTAMA'!AE51</f>
        <v>0.12065394683366357</v>
      </c>
      <c r="H51" s="29">
        <f>'DATA UTAMA'!AF51</f>
        <v>0.32509429426598635</v>
      </c>
      <c r="I51" s="29">
        <f>'DATA UTAMA'!AG51</f>
        <v>7.515682480827671</v>
      </c>
      <c r="J51" s="29">
        <f>'DATA UTAMA'!AH51</f>
        <v>0.37086530640635545</v>
      </c>
      <c r="K51" s="29">
        <f>'DATA UTAMA'!AI51</f>
        <v>8.8715953307393001</v>
      </c>
      <c r="L51" s="29">
        <f>'DATA UTAMA'!AJ51</f>
        <v>0.74838402308356999</v>
      </c>
      <c r="M51" s="28">
        <f>'DATA UTAMA'!Y51</f>
        <v>0</v>
      </c>
      <c r="N51" s="19">
        <v>6.1364549757895098E-2</v>
      </c>
      <c r="O51" s="19">
        <v>0.2705337312668285</v>
      </c>
      <c r="P51" s="19">
        <v>1.6907673822845108</v>
      </c>
    </row>
    <row r="52" spans="1:16" x14ac:dyDescent="0.35">
      <c r="A52" s="30">
        <f>'DATA UTAMA'!B52</f>
        <v>2019</v>
      </c>
      <c r="B52" s="29">
        <f>'DATA UTAMA'!Z52</f>
        <v>1.1795690012442828</v>
      </c>
      <c r="C52" s="29">
        <f>'DATA UTAMA'!AA52</f>
        <v>32.691300623805134</v>
      </c>
      <c r="D52" s="29">
        <f>'DATA UTAMA'!AB52</f>
        <v>0.20233482944613138</v>
      </c>
      <c r="E52" s="29">
        <f>'DATA UTAMA'!AC52</f>
        <v>0.18643133689796487</v>
      </c>
      <c r="F52" s="29">
        <f>'DATA UTAMA'!AD52</f>
        <v>3.9646771513643913E-3</v>
      </c>
      <c r="G52" s="29">
        <f>'DATA UTAMA'!AE52</f>
        <v>2.0620825956329608E-2</v>
      </c>
      <c r="H52" s="29">
        <f>'DATA UTAMA'!AF52</f>
        <v>0.67052978998023205</v>
      </c>
      <c r="I52" s="29">
        <f>'DATA UTAMA'!AG52</f>
        <v>51.001836000134446</v>
      </c>
      <c r="J52" s="29">
        <f>'DATA UTAMA'!AH52</f>
        <v>3.1294869705695609E-2</v>
      </c>
      <c r="K52" s="29">
        <f>'DATA UTAMA'!AI52</f>
        <v>3433.3333333333335</v>
      </c>
      <c r="L52" s="29">
        <f>'DATA UTAMA'!AJ52</f>
        <v>15.697581737852722</v>
      </c>
      <c r="M52" s="28">
        <f>'DATA UTAMA'!Y52</f>
        <v>0</v>
      </c>
      <c r="N52" s="19">
        <v>3.8443681509787841E-3</v>
      </c>
      <c r="O52" s="19">
        <v>3.0345219999616927E-2</v>
      </c>
      <c r="P52" s="19">
        <v>4.3510998256695279</v>
      </c>
    </row>
    <row r="53" spans="1:16" x14ac:dyDescent="0.35">
      <c r="A53" s="30">
        <f>'DATA UTAMA'!B53</f>
        <v>2020</v>
      </c>
      <c r="B53" s="29">
        <f>'DATA UTAMA'!Z53</f>
        <v>3.2432330512904624E-2</v>
      </c>
      <c r="C53" s="29">
        <f>'DATA UTAMA'!AA53</f>
        <v>178.28770056840807</v>
      </c>
      <c r="D53" s="29">
        <f>'DATA UTAMA'!AB53</f>
        <v>0.2090779649095508</v>
      </c>
      <c r="E53" s="29">
        <f>'DATA UTAMA'!AC53</f>
        <v>0.17992114069620058</v>
      </c>
      <c r="F53" s="29">
        <f>'DATA UTAMA'!AD53</f>
        <v>-2.6285702991539886E-2</v>
      </c>
      <c r="G53" s="29">
        <f>'DATA UTAMA'!AE53</f>
        <v>-0.12776806484599779</v>
      </c>
      <c r="H53" s="29">
        <f>'DATA UTAMA'!AF53</f>
        <v>0.53091702151355002</v>
      </c>
      <c r="I53" s="29">
        <f>'DATA UTAMA'!AG53</f>
        <v>-1.8148514430163138</v>
      </c>
      <c r="J53" s="29">
        <f>'DATA UTAMA'!AH53</f>
        <v>0.14344448311036967</v>
      </c>
      <c r="K53" s="29">
        <f>'DATA UTAMA'!AI53</f>
        <v>-340.77380952380952</v>
      </c>
      <c r="L53" s="29">
        <f>'DATA UTAMA'!AJ53</f>
        <v>8.9511542215690056</v>
      </c>
      <c r="M53" s="28">
        <f>'DATA UTAMA'!Y53</f>
        <v>0</v>
      </c>
      <c r="N53" s="19">
        <v>-2.2988175971638047E-2</v>
      </c>
      <c r="O53" s="19">
        <v>0.12544945139809105</v>
      </c>
      <c r="P53" s="19">
        <v>2.1516957517081972</v>
      </c>
    </row>
    <row r="54" spans="1:16" x14ac:dyDescent="0.35">
      <c r="A54" s="30">
        <f>'DATA UTAMA'!B54</f>
        <v>2021</v>
      </c>
      <c r="B54" s="29">
        <f>'DATA UTAMA'!Z54</f>
        <v>0.12315714591058706</v>
      </c>
      <c r="C54" s="29">
        <f>'DATA UTAMA'!AA54</f>
        <v>199.80614985307224</v>
      </c>
      <c r="D54" s="29">
        <f>'DATA UTAMA'!AB54</f>
        <v>0.13708772625859814</v>
      </c>
      <c r="E54" s="29">
        <f>'DATA UTAMA'!AC54</f>
        <v>0.12218216448547252</v>
      </c>
      <c r="F54" s="29">
        <f>'DATA UTAMA'!AD54</f>
        <v>-2.9568688161472213E-2</v>
      </c>
      <c r="G54" s="29">
        <f>'DATA UTAMA'!AE54</f>
        <v>-0.21785979520938853</v>
      </c>
      <c r="H54" s="29">
        <f>'DATA UTAMA'!AF54</f>
        <v>0.53712866439801121</v>
      </c>
      <c r="I54" s="29">
        <f>'DATA UTAMA'!AG54</f>
        <v>-2.4510233347445665</v>
      </c>
      <c r="J54" s="29">
        <f>'DATA UTAMA'!AH54</f>
        <v>0.11082885265433072</v>
      </c>
      <c r="K54" s="29">
        <f>'DATA UTAMA'!AI54</f>
        <v>-298.91304347826087</v>
      </c>
      <c r="L54" s="29">
        <f>'DATA UTAMA'!AJ54</f>
        <v>8.8370131166810886</v>
      </c>
      <c r="M54" s="28">
        <f>'DATA UTAMA'!Y54</f>
        <v>0</v>
      </c>
      <c r="N54" s="19">
        <v>-2.6618581333044865E-2</v>
      </c>
      <c r="O54" s="19">
        <v>9.9771312555939351E-2</v>
      </c>
      <c r="P54" s="19">
        <v>2.7957425022711746</v>
      </c>
    </row>
    <row r="55" spans="1:16" x14ac:dyDescent="0.35">
      <c r="A55" s="30">
        <f>'DATA UTAMA'!B55</f>
        <v>2022</v>
      </c>
      <c r="B55" s="29">
        <f>'DATA UTAMA'!Z55</f>
        <v>3.0003963134425056E-2</v>
      </c>
      <c r="C55" s="29">
        <f>'DATA UTAMA'!AA55</f>
        <v>178.13765518979338</v>
      </c>
      <c r="D55" s="29">
        <f>'DATA UTAMA'!AB55</f>
        <v>0.14035464155709959</v>
      </c>
      <c r="E55" s="29">
        <f>'DATA UTAMA'!AC55</f>
        <v>0.12389994446965558</v>
      </c>
      <c r="F55" s="29">
        <f>'DATA UTAMA'!AD55</f>
        <v>-1.5116187842477489E-3</v>
      </c>
      <c r="G55" s="29">
        <f>'DATA UTAMA'!AE55</f>
        <v>-1.1159607644646534E-2</v>
      </c>
      <c r="H55" s="29">
        <f>'DATA UTAMA'!AF55</f>
        <v>0.59928854827775091</v>
      </c>
      <c r="I55" s="29">
        <f>'DATA UTAMA'!AG55</f>
        <v>0.75904804272972914</v>
      </c>
      <c r="J55" s="29">
        <f>'DATA UTAMA'!AH55</f>
        <v>9.3256939235527803E-2</v>
      </c>
      <c r="K55" s="29">
        <f>'DATA UTAMA'!AI55</f>
        <v>-952.63157894736844</v>
      </c>
      <c r="L55" s="29">
        <f>'DATA UTAMA'!AJ55</f>
        <v>1.4537494675426923</v>
      </c>
      <c r="M55" s="28">
        <f>'DATA UTAMA'!Y55</f>
        <v>0</v>
      </c>
      <c r="N55" s="19">
        <v>-1.3826747674748495E-3</v>
      </c>
      <c r="O55" s="19">
        <v>8.5301941280828977E-2</v>
      </c>
      <c r="P55" s="19">
        <v>2.4463486120346256</v>
      </c>
    </row>
    <row r="56" spans="1:16" x14ac:dyDescent="0.35">
      <c r="A56" s="30">
        <f>'DATA UTAMA'!B56</f>
        <v>2023</v>
      </c>
      <c r="B56" s="29">
        <f>'DATA UTAMA'!Z56</f>
        <v>0.1754164735337421</v>
      </c>
      <c r="C56" s="29">
        <f>'DATA UTAMA'!AA56</f>
        <v>190.87464915288783</v>
      </c>
      <c r="D56" s="29">
        <f>'DATA UTAMA'!AB56</f>
        <v>0.13275645311622425</v>
      </c>
      <c r="E56" s="29">
        <f>'DATA UTAMA'!AC56</f>
        <v>0.11705738162022121</v>
      </c>
      <c r="F56" s="29">
        <f>'DATA UTAMA'!AD56</f>
        <v>3.6698994451626811E-4</v>
      </c>
      <c r="G56" s="29">
        <f>'DATA UTAMA'!AE56</f>
        <v>2.9355676321504752E-3</v>
      </c>
      <c r="H56" s="29">
        <f>'DATA UTAMA'!AF56</f>
        <v>0.60396559726403642</v>
      </c>
      <c r="I56" s="29">
        <f>'DATA UTAMA'!AG56</f>
        <v>1.616434926334793</v>
      </c>
      <c r="J56" s="29">
        <f>'DATA UTAMA'!AH56</f>
        <v>6.7980366687711721E-2</v>
      </c>
      <c r="K56" s="29">
        <f>'DATA UTAMA'!AI56</f>
        <v>1780</v>
      </c>
      <c r="L56" s="29">
        <f>'DATA UTAMA'!AJ56</f>
        <v>0.71462132722199789</v>
      </c>
      <c r="M56" s="28">
        <f>'DATA UTAMA'!Y56</f>
        <v>0</v>
      </c>
      <c r="N56" s="19">
        <v>3.4362986058860735E-4</v>
      </c>
      <c r="O56" s="19">
        <v>6.3653198886557696E-2</v>
      </c>
      <c r="P56" s="19">
        <v>2.4045303684635519</v>
      </c>
    </row>
    <row r="57" spans="1:16" x14ac:dyDescent="0.35">
      <c r="A57" s="30">
        <f>'DATA UTAMA'!B57</f>
        <v>2019</v>
      </c>
      <c r="B57" s="29">
        <f>'DATA UTAMA'!Z57</f>
        <v>0.99372518784456609</v>
      </c>
      <c r="C57" s="29">
        <f>'DATA UTAMA'!AA57</f>
        <v>106.44371394307389</v>
      </c>
      <c r="D57" s="29">
        <f>'DATA UTAMA'!AB57</f>
        <v>0.47070995073798061</v>
      </c>
      <c r="E57" s="29">
        <f>'DATA UTAMA'!AC57</f>
        <v>0.41164680348491106</v>
      </c>
      <c r="F57" s="29">
        <f>'DATA UTAMA'!AD57</f>
        <v>-2.6255049252966647E-2</v>
      </c>
      <c r="G57" s="29">
        <f>'DATA UTAMA'!AE57</f>
        <v>-5.5042300570923214E-2</v>
      </c>
      <c r="H57" s="29">
        <f>'DATA UTAMA'!AF57</f>
        <v>0.24260374367879969</v>
      </c>
      <c r="I57" s="29">
        <f>'DATA UTAMA'!AG57</f>
        <v>-2.6585132064680272</v>
      </c>
      <c r="J57" s="29">
        <f>'DATA UTAMA'!AH57</f>
        <v>0.158754709884947</v>
      </c>
      <c r="K57" s="29">
        <f>'DATA UTAMA'!AI57</f>
        <v>-6.6734589913397864</v>
      </c>
      <c r="L57" s="29">
        <f>'DATA UTAMA'!AJ57</f>
        <v>0.17555336089702148</v>
      </c>
      <c r="M57" s="28">
        <f>'DATA UTAMA'!Y57</f>
        <v>0</v>
      </c>
      <c r="N57" s="19">
        <v>-2.2657987086476237E-2</v>
      </c>
      <c r="O57" s="19">
        <v>0.13700458650192654</v>
      </c>
      <c r="P57" s="19">
        <v>2.2800336568307462</v>
      </c>
    </row>
    <row r="58" spans="1:16" x14ac:dyDescent="0.35">
      <c r="A58" s="30">
        <f>'DATA UTAMA'!B58</f>
        <v>2020</v>
      </c>
      <c r="B58" s="29">
        <f>'DATA UTAMA'!Z58</f>
        <v>3.6519337455706097E-2</v>
      </c>
      <c r="C58" s="29">
        <f>'DATA UTAMA'!AA58</f>
        <v>231.2820792268088</v>
      </c>
      <c r="D58" s="29">
        <f>'DATA UTAMA'!AB58</f>
        <v>0.25904351881882043</v>
      </c>
      <c r="E58" s="29">
        <f>'DATA UTAMA'!AC58</f>
        <v>0.24046101194166469</v>
      </c>
      <c r="F58" s="29">
        <f>'DATA UTAMA'!AD58</f>
        <v>-0.19723083026888985</v>
      </c>
      <c r="G58" s="29">
        <f>'DATA UTAMA'!AE58</f>
        <v>-0.66147877638272601</v>
      </c>
      <c r="H58" s="29">
        <f>'DATA UTAMA'!AF58</f>
        <v>-0.14542386153308248</v>
      </c>
      <c r="I58" s="29">
        <f>'DATA UTAMA'!AG58</f>
        <v>-24.538828404863633</v>
      </c>
      <c r="J58" s="29">
        <f>'DATA UTAMA'!AH58</f>
        <v>0.23997868031958011</v>
      </c>
      <c r="K58" s="29">
        <f>'DATA UTAMA'!AI58</f>
        <v>-1.6272068993572533</v>
      </c>
      <c r="L58" s="29">
        <f>'DATA UTAMA'!AJ58</f>
        <v>0.3208715441559441</v>
      </c>
      <c r="M58" s="28">
        <f>'DATA UTAMA'!Y58</f>
        <v>0</v>
      </c>
      <c r="N58" s="19">
        <v>-0.15905985594692443</v>
      </c>
      <c r="O58" s="19">
        <v>0.19353452130139071</v>
      </c>
      <c r="P58" s="19">
        <v>0.79942377242682172</v>
      </c>
    </row>
    <row r="59" spans="1:16" x14ac:dyDescent="0.35">
      <c r="A59" s="30">
        <f>'DATA UTAMA'!B59</f>
        <v>2021</v>
      </c>
      <c r="B59" s="29">
        <f>'DATA UTAMA'!Z59</f>
        <v>5.2962669155503114E-2</v>
      </c>
      <c r="C59" s="29">
        <f>'DATA UTAMA'!AA59</f>
        <v>200.24907070937195</v>
      </c>
      <c r="D59" s="29">
        <f>'DATA UTAMA'!AB59</f>
        <v>0.31908254095008676</v>
      </c>
      <c r="E59" s="29">
        <f>'DATA UTAMA'!AC59</f>
        <v>0.29331776098075263</v>
      </c>
      <c r="F59" s="29">
        <f>'DATA UTAMA'!AD59</f>
        <v>-0.1378255936129702</v>
      </c>
      <c r="G59" s="29">
        <f>'DATA UTAMA'!AE59</f>
        <v>-0.3770155324237412</v>
      </c>
      <c r="H59" s="29">
        <f>'DATA UTAMA'!AF59</f>
        <v>-2.2418158155734232E-2</v>
      </c>
      <c r="I59" s="29">
        <f>'DATA UTAMA'!AG59</f>
        <v>-15.26226255688902</v>
      </c>
      <c r="J59" s="29">
        <f>'DATA UTAMA'!AH59</f>
        <v>0.24632775804210241</v>
      </c>
      <c r="K59" s="29">
        <f>'DATA UTAMA'!AI59</f>
        <v>-2.7063236870310825</v>
      </c>
      <c r="L59" s="29">
        <f>'DATA UTAMA'!AJ59</f>
        <v>0.36816910326489377</v>
      </c>
      <c r="M59" s="28">
        <f>'DATA UTAMA'!Y59</f>
        <v>0</v>
      </c>
      <c r="N59" s="19">
        <v>-0.11058535182549811</v>
      </c>
      <c r="O59" s="19">
        <v>0.19764284029833923</v>
      </c>
      <c r="P59" s="19">
        <v>1.0062764419196226</v>
      </c>
    </row>
    <row r="60" spans="1:16" x14ac:dyDescent="0.35">
      <c r="A60" s="30">
        <f>'DATA UTAMA'!B60</f>
        <v>2022</v>
      </c>
      <c r="B60" s="29">
        <f>'DATA UTAMA'!Z60</f>
        <v>5.0211711198618482E-2</v>
      </c>
      <c r="C60" s="29">
        <f>'DATA UTAMA'!AA60</f>
        <v>168.80215136755311</v>
      </c>
      <c r="D60" s="29">
        <f>'DATA UTAMA'!AB60</f>
        <v>0.44971344038482347</v>
      </c>
      <c r="E60" s="29">
        <f>'DATA UTAMA'!AC60</f>
        <v>0.41433537185507491</v>
      </c>
      <c r="F60" s="29">
        <f>'DATA UTAMA'!AD60</f>
        <v>-0.12484445129333648</v>
      </c>
      <c r="G60" s="29">
        <f>'DATA UTAMA'!AE60</f>
        <v>-0.22890715578784104</v>
      </c>
      <c r="H60" s="29">
        <f>'DATA UTAMA'!AF60</f>
        <v>7.4029287681939365E-2</v>
      </c>
      <c r="I60" s="29">
        <f>'DATA UTAMA'!AG60</f>
        <v>15.786750739602191</v>
      </c>
      <c r="J60" s="29">
        <f>'DATA UTAMA'!AH60</f>
        <v>0.31630904347065264</v>
      </c>
      <c r="K60" s="29">
        <f>'DATA UTAMA'!AI60</f>
        <v>-3.0860144451739986</v>
      </c>
      <c r="L60" s="29">
        <f>'DATA UTAMA'!AJ60</f>
        <v>0.3854539408402442</v>
      </c>
      <c r="M60" s="28">
        <f>'DATA UTAMA'!Y60</f>
        <v>0</v>
      </c>
      <c r="N60" s="19">
        <v>-9.4844331513642688E-2</v>
      </c>
      <c r="O60" s="19">
        <v>0.24029998505263994</v>
      </c>
      <c r="P60" s="19">
        <v>0.74632302869326494</v>
      </c>
    </row>
    <row r="61" spans="1:16" x14ac:dyDescent="0.35">
      <c r="A61" s="30">
        <f>'DATA UTAMA'!B61</f>
        <v>2023</v>
      </c>
      <c r="B61" s="29">
        <f>'DATA UTAMA'!Z61</f>
        <v>4.6233786755915753E-2</v>
      </c>
      <c r="C61" s="29">
        <f>'DATA UTAMA'!AA61</f>
        <v>182.28857373655887</v>
      </c>
      <c r="D61" s="29">
        <f>'DATA UTAMA'!AB61</f>
        <v>0.27283806647583292</v>
      </c>
      <c r="E61" s="29">
        <f>'DATA UTAMA'!AC61</f>
        <v>0.25910856079556643</v>
      </c>
      <c r="F61" s="29">
        <f>'DATA UTAMA'!AD61</f>
        <v>-2.5350773599975666E-3</v>
      </c>
      <c r="G61" s="29">
        <f>'DATA UTAMA'!AE61</f>
        <v>-8.3607369489835416E-3</v>
      </c>
      <c r="H61" s="29">
        <f>'DATA UTAMA'!AF61</f>
        <v>0.27493078698492851</v>
      </c>
      <c r="I61" s="29">
        <f>'DATA UTAMA'!AG61</f>
        <v>0.58846368100337232</v>
      </c>
      <c r="J61" s="29">
        <f>'DATA UTAMA'!AH61</f>
        <v>0.17021293712189475</v>
      </c>
      <c r="K61" s="29">
        <f>'DATA UTAMA'!AI61</f>
        <v>0.46367851622874806</v>
      </c>
      <c r="L61" s="29">
        <f>'DATA UTAMA'!AJ61</f>
        <v>0.20549328894051419</v>
      </c>
      <c r="M61" s="28">
        <f>'DATA UTAMA'!Y61</f>
        <v>0</v>
      </c>
      <c r="N61" s="19">
        <v>-2.1663385180414403E-3</v>
      </c>
      <c r="O61" s="19">
        <v>0.14545467044701163</v>
      </c>
      <c r="P61" s="19">
        <v>0.84611143708297487</v>
      </c>
    </row>
    <row r="62" spans="1:16" x14ac:dyDescent="0.35">
      <c r="A62" s="30">
        <f>'DATA UTAMA'!B62</f>
        <v>2019</v>
      </c>
      <c r="B62" s="29">
        <f>'DATA UTAMA'!Z62</f>
        <v>7.9820993661012252E-2</v>
      </c>
      <c r="C62" s="29">
        <f>'DATA UTAMA'!AA62</f>
        <v>174.95406180317011</v>
      </c>
      <c r="D62" s="29">
        <f>'DATA UTAMA'!AB62</f>
        <v>0.48295594757770205</v>
      </c>
      <c r="E62" s="29">
        <f>'DATA UTAMA'!AC62</f>
        <v>0.37280040551202914</v>
      </c>
      <c r="F62" s="29">
        <f>'DATA UTAMA'!AD62</f>
        <v>-1.3738087548079756E-2</v>
      </c>
      <c r="G62" s="29">
        <f>'DATA UTAMA'!AE62</f>
        <v>-2.459204616001829E-2</v>
      </c>
      <c r="H62" s="29">
        <f>'DATA UTAMA'!AF62</f>
        <v>0.14337633959715185</v>
      </c>
      <c r="I62" s="29">
        <f>'DATA UTAMA'!AG62</f>
        <v>0.78268045545594866</v>
      </c>
      <c r="J62" s="29">
        <f>'DATA UTAMA'!AH62</f>
        <v>0.49849479315241096</v>
      </c>
      <c r="K62" s="29">
        <f>'DATA UTAMA'!AI62</f>
        <v>-70.422535211267615</v>
      </c>
      <c r="L62" s="29">
        <f>'DATA UTAMA'!AJ62</f>
        <v>0.8444525543542617</v>
      </c>
      <c r="M62" s="28">
        <f>'DATA UTAMA'!Y62</f>
        <v>0</v>
      </c>
      <c r="N62" s="19">
        <v>-9.1679247808253584E-3</v>
      </c>
      <c r="O62" s="19">
        <v>0.33266368053486417</v>
      </c>
      <c r="P62" s="19">
        <v>1.5877997407103965</v>
      </c>
    </row>
    <row r="63" spans="1:16" x14ac:dyDescent="0.35">
      <c r="A63" s="30">
        <f>'DATA UTAMA'!B63</f>
        <v>2020</v>
      </c>
      <c r="B63" s="29">
        <f>'DATA UTAMA'!Z63</f>
        <v>7.4065672398816507E-2</v>
      </c>
      <c r="C63" s="29">
        <f>'DATA UTAMA'!AA63</f>
        <v>158.14354787384627</v>
      </c>
      <c r="D63" s="29">
        <f>'DATA UTAMA'!AB63</f>
        <v>0.33213402185132956</v>
      </c>
      <c r="E63" s="29">
        <f>'DATA UTAMA'!AC63</f>
        <v>0.27429218854262899</v>
      </c>
      <c r="F63" s="29">
        <f>'DATA UTAMA'!AD63</f>
        <v>-8.4596450944218929E-2</v>
      </c>
      <c r="G63" s="29">
        <f>'DATA UTAMA'!AE63</f>
        <v>-0.20950212601298199</v>
      </c>
      <c r="H63" s="29">
        <f>'DATA UTAMA'!AF63</f>
        <v>-5.73956451421756E-3</v>
      </c>
      <c r="I63" s="29">
        <f>'DATA UTAMA'!AG63</f>
        <v>-0.63210221319604698</v>
      </c>
      <c r="J63" s="29">
        <f>'DATA UTAMA'!AH63</f>
        <v>0.47214391902879232</v>
      </c>
      <c r="K63" s="29">
        <f>'DATA UTAMA'!AI63</f>
        <v>-10.989010989010989</v>
      </c>
      <c r="L63" s="29">
        <f>'DATA UTAMA'!AJ63</f>
        <v>0.91975387060894098</v>
      </c>
      <c r="M63" s="28">
        <f>'DATA UTAMA'!Y63</f>
        <v>0</v>
      </c>
      <c r="N63" s="19">
        <v>-5.7464796648434471E-2</v>
      </c>
      <c r="O63" s="19">
        <v>0.32071858798987307</v>
      </c>
      <c r="P63" s="19">
        <v>1.1712078230074563</v>
      </c>
    </row>
    <row r="64" spans="1:16" x14ac:dyDescent="0.35">
      <c r="A64" s="30">
        <f>'DATA UTAMA'!B64</f>
        <v>2021</v>
      </c>
      <c r="B64" s="29">
        <f>'DATA UTAMA'!Z64</f>
        <v>3.7068320595359451E-2</v>
      </c>
      <c r="C64" s="29">
        <f>'DATA UTAMA'!AA64</f>
        <v>161.27187380992768</v>
      </c>
      <c r="D64" s="29">
        <f>'DATA UTAMA'!AB64</f>
        <v>0.34647704163714954</v>
      </c>
      <c r="E64" s="29">
        <f>'DATA UTAMA'!AC64</f>
        <v>0.28392131136947529</v>
      </c>
      <c r="F64" s="29">
        <f>'DATA UTAMA'!AD64</f>
        <v>-6.4923301603212497E-2</v>
      </c>
      <c r="G64" s="29">
        <f>'DATA UTAMA'!AE64</f>
        <v>-0.15414767295198364</v>
      </c>
      <c r="H64" s="29">
        <f>'DATA UTAMA'!AF64</f>
        <v>-2.8077220996418541E-3</v>
      </c>
      <c r="I64" s="29">
        <f>'DATA UTAMA'!AG64</f>
        <v>-0.69226531053822604</v>
      </c>
      <c r="J64" s="29">
        <f>'DATA UTAMA'!AH64</f>
        <v>0.48342513072821264</v>
      </c>
      <c r="K64" s="29">
        <f>'DATA UTAMA'!AI64</f>
        <v>-15.105740181268882</v>
      </c>
      <c r="L64" s="29">
        <f>'DATA UTAMA'!AJ64</f>
        <v>0.97452711796789537</v>
      </c>
      <c r="M64" s="28">
        <f>'DATA UTAMA'!Y64</f>
        <v>0</v>
      </c>
      <c r="N64" s="19">
        <v>-4.3765809449080192E-2</v>
      </c>
      <c r="O64" s="19">
        <v>0.32588441486932535</v>
      </c>
      <c r="P64" s="19">
        <v>1.0984408973818769</v>
      </c>
    </row>
    <row r="65" spans="1:16" x14ac:dyDescent="0.35">
      <c r="A65" s="30">
        <f>'DATA UTAMA'!B65</f>
        <v>2022</v>
      </c>
      <c r="B65" s="29">
        <f>'DATA UTAMA'!Z65</f>
        <v>1.489915994089369E-2</v>
      </c>
      <c r="C65" s="29">
        <f>'DATA UTAMA'!AA65</f>
        <v>71.087867750620063</v>
      </c>
      <c r="D65" s="29">
        <f>'DATA UTAMA'!AB65</f>
        <v>0.36108859152133382</v>
      </c>
      <c r="E65" s="29">
        <f>'DATA UTAMA'!AC65</f>
        <v>0.31501356615782861</v>
      </c>
      <c r="F65" s="29">
        <f>'DATA UTAMA'!AD65</f>
        <v>-0.18149263179040623</v>
      </c>
      <c r="G65" s="29">
        <f>'DATA UTAMA'!AE65</f>
        <v>-0.37149946648458126</v>
      </c>
      <c r="H65" s="29">
        <f>'DATA UTAMA'!AF65</f>
        <v>4.5431696486166861E-4</v>
      </c>
      <c r="I65" s="29">
        <f>'DATA UTAMA'!AG65</f>
        <v>-0.14029213788316836</v>
      </c>
      <c r="J65" s="29">
        <f>'DATA UTAMA'!AH65</f>
        <v>0.55085625743949185</v>
      </c>
      <c r="K65" s="29">
        <f>'DATA UTAMA'!AI65</f>
        <v>-6.2656641604010019</v>
      </c>
      <c r="L65" s="29">
        <f>'DATA UTAMA'!AJ65</f>
        <v>1.1466077202517102</v>
      </c>
      <c r="M65" s="28">
        <f>'DATA UTAMA'!Y65</f>
        <v>0</v>
      </c>
      <c r="N65" s="19">
        <v>-0.11702737176303868</v>
      </c>
      <c r="O65" s="19">
        <v>0.35519491558100386</v>
      </c>
      <c r="P65" s="19">
        <v>0.46066890173646768</v>
      </c>
    </row>
    <row r="66" spans="1:16" x14ac:dyDescent="0.35">
      <c r="A66" s="30">
        <f>'DATA UTAMA'!B66</f>
        <v>2023</v>
      </c>
      <c r="B66" s="29">
        <f>'DATA UTAMA'!Z66</f>
        <v>8.8057623298861236E-3</v>
      </c>
      <c r="C66" s="29">
        <f>'DATA UTAMA'!AA66</f>
        <v>78.035759401661579</v>
      </c>
      <c r="D66" s="29">
        <f>'DATA UTAMA'!AB66</f>
        <v>0.36867446233383244</v>
      </c>
      <c r="E66" s="29">
        <f>'DATA UTAMA'!AC66</f>
        <v>0.31746085189668422</v>
      </c>
      <c r="F66" s="29">
        <f>'DATA UTAMA'!AD66</f>
        <v>-6.2933312481270806E-2</v>
      </c>
      <c r="G66" s="29">
        <f>'DATA UTAMA'!AE66</f>
        <v>-0.13182739366929636</v>
      </c>
      <c r="H66" s="29">
        <f>'DATA UTAMA'!AF66</f>
        <v>2.9406864563506045E-2</v>
      </c>
      <c r="I66" s="29">
        <f>'DATA UTAMA'!AG66</f>
        <v>-0.42263140048878245</v>
      </c>
      <c r="J66" s="29">
        <f>'DATA UTAMA'!AH66</f>
        <v>0.50378153634733647</v>
      </c>
      <c r="K66" s="29">
        <f>'DATA UTAMA'!AI66</f>
        <v>-2.6515151515151514</v>
      </c>
      <c r="L66" s="29">
        <f>'DATA UTAMA'!AJ66</f>
        <v>0.17144486003716455</v>
      </c>
      <c r="M66" s="28">
        <f>'DATA UTAMA'!Y66</f>
        <v>0</v>
      </c>
      <c r="N66" s="19">
        <v>-4.1850036697574373E-2</v>
      </c>
      <c r="O66" s="19">
        <v>0.33500978976707912</v>
      </c>
      <c r="P66" s="19">
        <v>0.71712244066623942</v>
      </c>
    </row>
    <row r="67" spans="1:16" x14ac:dyDescent="0.35">
      <c r="A67" s="30">
        <f>'DATA UTAMA'!B67</f>
        <v>2019</v>
      </c>
      <c r="B67" s="29">
        <f>'DATA UTAMA'!Z67</f>
        <v>2.2382607384538948</v>
      </c>
      <c r="C67" s="29">
        <f>'DATA UTAMA'!AA67</f>
        <v>50.047364356061657</v>
      </c>
      <c r="D67" s="29">
        <f>'DATA UTAMA'!AB67</f>
        <v>0.63583093709763416</v>
      </c>
      <c r="E67" s="29">
        <f>'DATA UTAMA'!AC67</f>
        <v>0.47428636480245673</v>
      </c>
      <c r="F67" s="29">
        <f>'DATA UTAMA'!AD67</f>
        <v>0.11329132668107468</v>
      </c>
      <c r="G67" s="29">
        <f>'DATA UTAMA'!AE67</f>
        <v>0.20923363722559826</v>
      </c>
      <c r="H67" s="29">
        <f>'DATA UTAMA'!AF67</f>
        <v>0.33494880487560613</v>
      </c>
      <c r="I67" s="29">
        <f>'DATA UTAMA'!AG67</f>
        <v>19.457572998219391</v>
      </c>
      <c r="J67" s="29">
        <f>'DATA UTAMA'!AH67</f>
        <v>0.14162775447932699</v>
      </c>
      <c r="K67" s="29">
        <f>'DATA UTAMA'!AI67</f>
        <v>6.3342318059299183</v>
      </c>
      <c r="L67" s="29">
        <f>'DATA UTAMA'!AJ67</f>
        <v>0.71715902703783119</v>
      </c>
      <c r="M67" s="28">
        <f>'DATA UTAMA'!Y67</f>
        <v>0</v>
      </c>
      <c r="N67" s="19">
        <v>9.9236661194124984E-2</v>
      </c>
      <c r="O67" s="19">
        <v>0.12405773591578501</v>
      </c>
      <c r="P67" s="19">
        <v>5.7815172184875818</v>
      </c>
    </row>
    <row r="68" spans="1:16" x14ac:dyDescent="0.35">
      <c r="A68" s="30">
        <f>'DATA UTAMA'!B68</f>
        <v>2020</v>
      </c>
      <c r="B68" s="29">
        <f>'DATA UTAMA'!Z68</f>
        <v>3.3540199172534528</v>
      </c>
      <c r="C68" s="29">
        <f>'DATA UTAMA'!AA68</f>
        <v>40.205778448354032</v>
      </c>
      <c r="D68" s="29">
        <f>'DATA UTAMA'!AB68</f>
        <v>0.5469655430543533</v>
      </c>
      <c r="E68" s="29">
        <f>'DATA UTAMA'!AC68</f>
        <v>0.40606072957444644</v>
      </c>
      <c r="F68" s="29">
        <f>'DATA UTAMA'!AD68</f>
        <v>8.8108462683115146E-2</v>
      </c>
      <c r="G68" s="29">
        <f>'DATA UTAMA'!AE68</f>
        <v>0.19051269433273324</v>
      </c>
      <c r="H68" s="29">
        <f>'DATA UTAMA'!AF68</f>
        <v>0.32817477348192542</v>
      </c>
      <c r="I68" s="29">
        <f>'DATA UTAMA'!AG68</f>
        <v>9.3298249501437045</v>
      </c>
      <c r="J68" s="29">
        <f>'DATA UTAMA'!AH68</f>
        <v>0.13894489950939859</v>
      </c>
      <c r="K68" s="29">
        <f>'DATA UTAMA'!AI68</f>
        <v>7.6017130620985016</v>
      </c>
      <c r="L68" s="29">
        <f>'DATA UTAMA'!AJ68</f>
        <v>0.66907320280194726</v>
      </c>
      <c r="M68" s="28">
        <f>'DATA UTAMA'!Y68</f>
        <v>0</v>
      </c>
      <c r="N68" s="19">
        <v>7.7359723653943169E-2</v>
      </c>
      <c r="O68" s="19">
        <v>0.12199439987768435</v>
      </c>
      <c r="P68" s="19">
        <v>6.7234066289247219</v>
      </c>
    </row>
    <row r="69" spans="1:16" x14ac:dyDescent="0.35">
      <c r="A69" s="30">
        <f>'DATA UTAMA'!B69</f>
        <v>2021</v>
      </c>
      <c r="B69" s="29">
        <f>'DATA UTAMA'!Z69</f>
        <v>1.5748080589951918</v>
      </c>
      <c r="C69" s="29">
        <f>'DATA UTAMA'!AA69</f>
        <v>16.749573308904239</v>
      </c>
      <c r="D69" s="29">
        <f>'DATA UTAMA'!AB69</f>
        <v>0.43991172252742305</v>
      </c>
      <c r="E69" s="29">
        <f>'DATA UTAMA'!AC69</f>
        <v>0.36056332773580924</v>
      </c>
      <c r="F69" s="29">
        <f>'DATA UTAMA'!AD69</f>
        <v>0.10450266330576212</v>
      </c>
      <c r="G69" s="29">
        <f>'DATA UTAMA'!AE69</f>
        <v>0.25792250992057381</v>
      </c>
      <c r="H69" s="29">
        <f>'DATA UTAMA'!AF69</f>
        <v>0.34907735821169766</v>
      </c>
      <c r="I69" s="29">
        <f>'DATA UTAMA'!AG69</f>
        <v>21.795659960092738</v>
      </c>
      <c r="J69" s="29">
        <f>'DATA UTAMA'!AH69</f>
        <v>0.12371598581791277</v>
      </c>
      <c r="K69" s="29">
        <f>'DATA UTAMA'!AI69</f>
        <v>14.089661482159196</v>
      </c>
      <c r="L69" s="29">
        <f>'DATA UTAMA'!AJ69</f>
        <v>1.4713692299075443</v>
      </c>
      <c r="M69" s="28">
        <f>'DATA UTAMA'!Y69</f>
        <v>0</v>
      </c>
      <c r="N69" s="19">
        <v>9.2997398474934365E-2</v>
      </c>
      <c r="O69" s="19">
        <v>0.11009542213450342</v>
      </c>
      <c r="P69" s="19">
        <v>3.8476762836036618</v>
      </c>
    </row>
    <row r="70" spans="1:16" x14ac:dyDescent="0.35">
      <c r="A70" s="30">
        <f>'DATA UTAMA'!B70</f>
        <v>2022</v>
      </c>
      <c r="B70" s="29">
        <f>'DATA UTAMA'!Z70</f>
        <v>0.68667191680695683</v>
      </c>
      <c r="C70" s="29">
        <f>'DATA UTAMA'!AA70</f>
        <v>20.307169560890824</v>
      </c>
      <c r="D70" s="29">
        <f>'DATA UTAMA'!AB70</f>
        <v>0.60966480915281773</v>
      </c>
      <c r="E70" s="29">
        <f>'DATA UTAMA'!AC70</f>
        <v>0.47381547059257756</v>
      </c>
      <c r="F70" s="29">
        <f>'DATA UTAMA'!AD70</f>
        <v>0.21650147842589662</v>
      </c>
      <c r="G70" s="29">
        <f>'DATA UTAMA'!AE70</f>
        <v>0.40823822313477859</v>
      </c>
      <c r="H70" s="29">
        <f>'DATA UTAMA'!AF70</f>
        <v>0.49472962526614334</v>
      </c>
      <c r="I70" s="29">
        <f>'DATA UTAMA'!AG70</f>
        <v>68.051108094180492</v>
      </c>
      <c r="J70" s="29">
        <f>'DATA UTAMA'!AH70</f>
        <v>0.11927799214882054</v>
      </c>
      <c r="K70" s="29">
        <f>'DATA UTAMA'!AI70</f>
        <v>5.7663690476190474</v>
      </c>
      <c r="L70" s="29">
        <f>'DATA UTAMA'!AJ70</f>
        <v>1.2478754158637577</v>
      </c>
      <c r="M70" s="28">
        <f>'DATA UTAMA'!Y70</f>
        <v>0</v>
      </c>
      <c r="N70" s="19">
        <v>0.1934295858084828</v>
      </c>
      <c r="O70" s="19">
        <v>0.10656690561727868</v>
      </c>
      <c r="P70" s="19">
        <v>4.0716706257502544</v>
      </c>
    </row>
    <row r="71" spans="1:16" x14ac:dyDescent="0.35">
      <c r="A71" s="30">
        <f>'DATA UTAMA'!B71</f>
        <v>2023</v>
      </c>
      <c r="B71" s="29">
        <f>'DATA UTAMA'!Z71</f>
        <v>0.87599576301654813</v>
      </c>
      <c r="C71" s="29">
        <f>'DATA UTAMA'!AA71</f>
        <v>29.57045095910912</v>
      </c>
      <c r="D71" s="29">
        <f>'DATA UTAMA'!AB71</f>
        <v>0.78222250355736256</v>
      </c>
      <c r="E71" s="29">
        <f>'DATA UTAMA'!AC71</f>
        <v>0.62990485948502239</v>
      </c>
      <c r="F71" s="29">
        <f>'DATA UTAMA'!AD71</f>
        <v>0.31356785023095735</v>
      </c>
      <c r="G71" s="29">
        <f>'DATA UTAMA'!AE71</f>
        <v>0.43837426331464291</v>
      </c>
      <c r="H71" s="29">
        <f>'DATA UTAMA'!AF71</f>
        <v>0.54256668714138145</v>
      </c>
      <c r="I71" s="29">
        <f>'DATA UTAMA'!AG71</f>
        <v>62.428549804638848</v>
      </c>
      <c r="J71" s="29">
        <f>'DATA UTAMA'!AH71</f>
        <v>0.13556375101319251</v>
      </c>
      <c r="K71" s="29">
        <f>'DATA UTAMA'!AI71</f>
        <v>4.9897330595482545</v>
      </c>
      <c r="L71" s="29">
        <f>'DATA UTAMA'!AJ71</f>
        <v>1.5639689079042443</v>
      </c>
      <c r="M71" s="28">
        <f>'DATA UTAMA'!Y71</f>
        <v>0</v>
      </c>
      <c r="N71" s="19">
        <v>0.27613407873506035</v>
      </c>
      <c r="O71" s="19">
        <v>0.11938013246040785</v>
      </c>
      <c r="P71" s="19">
        <v>2.6656050524397239</v>
      </c>
    </row>
    <row r="72" spans="1:16" x14ac:dyDescent="0.35">
      <c r="A72" s="30">
        <f>'DATA UTAMA'!B72</f>
        <v>2019</v>
      </c>
      <c r="B72" s="29">
        <f>'DATA UTAMA'!Z72</f>
        <v>2.9982415858536067E-2</v>
      </c>
      <c r="C72" s="29">
        <f>'DATA UTAMA'!AA72</f>
        <v>32.763835813896968</v>
      </c>
      <c r="D72" s="29">
        <f>'DATA UTAMA'!AB72</f>
        <v>0.54237032987586442</v>
      </c>
      <c r="E72" s="29">
        <f>'DATA UTAMA'!AC72</f>
        <v>0.50376959695916113</v>
      </c>
      <c r="F72" s="29">
        <f>'DATA UTAMA'!AD72</f>
        <v>-0.17877599312967263</v>
      </c>
      <c r="G72" s="29">
        <f>'DATA UTAMA'!AE72</f>
        <v>5.1131738826087791E-2</v>
      </c>
      <c r="H72" s="29">
        <f>'DATA UTAMA'!AF72</f>
        <v>0.35275664440650961</v>
      </c>
      <c r="I72" s="29">
        <f>'DATA UTAMA'!AG72</f>
        <v>1.2785066973903709</v>
      </c>
      <c r="J72" s="29">
        <f>'DATA UTAMA'!AH72</f>
        <v>-7.9404348772599622</v>
      </c>
      <c r="K72" s="29">
        <f>'DATA UTAMA'!AI72</f>
        <v>13.890761968981794</v>
      </c>
      <c r="L72" s="29">
        <f>'DATA UTAMA'!AJ72</f>
        <v>-2.4604436643177459</v>
      </c>
      <c r="M72" s="28">
        <f>'DATA UTAMA'!Y72</f>
        <v>1</v>
      </c>
      <c r="N72" s="19">
        <v>2.5758615460239338E-2</v>
      </c>
      <c r="O72" s="19">
        <v>1.1440831904206279</v>
      </c>
      <c r="P72" s="19">
        <v>0.13321685952066126</v>
      </c>
    </row>
    <row r="73" spans="1:16" x14ac:dyDescent="0.35">
      <c r="A73" s="30">
        <f>'DATA UTAMA'!B73</f>
        <v>2020</v>
      </c>
      <c r="B73" s="29">
        <f>'DATA UTAMA'!Z73</f>
        <v>2.5160424209924759E-2</v>
      </c>
      <c r="C73" s="29">
        <f>'DATA UTAMA'!AA73</f>
        <v>35.134856756235187</v>
      </c>
      <c r="D73" s="29">
        <f>'DATA UTAMA'!AB73</f>
        <v>0.47805376333030858</v>
      </c>
      <c r="E73" s="29">
        <f>'DATA UTAMA'!AC73</f>
        <v>0.44691478147020064</v>
      </c>
      <c r="F73" s="29">
        <f>'DATA UTAMA'!AD73</f>
        <v>0.25522812124832206</v>
      </c>
      <c r="G73" s="29">
        <f>'DATA UTAMA'!AE73</f>
        <v>-0.12218429913370131</v>
      </c>
      <c r="H73" s="29">
        <f>'DATA UTAMA'!AF73</f>
        <v>0.25829857443449455</v>
      </c>
      <c r="I73" s="29">
        <f>'DATA UTAMA'!AG73</f>
        <v>0.60119226256681091</v>
      </c>
      <c r="J73" s="29">
        <f>'DATA UTAMA'!AH73</f>
        <v>-5.6739967132514817</v>
      </c>
      <c r="K73" s="29">
        <f>'DATA UTAMA'!AI73</f>
        <v>-6.6407629812787006</v>
      </c>
      <c r="L73" s="29">
        <f>'DATA UTAMA'!AJ73</f>
        <v>-1.6780409723680763</v>
      </c>
      <c r="M73" s="28">
        <f>'DATA UTAMA'!Y73</f>
        <v>1</v>
      </c>
      <c r="N73" s="19">
        <v>-5.4605969346427738E-2</v>
      </c>
      <c r="O73" s="19">
        <v>1.2139496583689211</v>
      </c>
      <c r="P73" s="19">
        <v>0.11193594969721875</v>
      </c>
    </row>
    <row r="74" spans="1:16" x14ac:dyDescent="0.35">
      <c r="A74" s="30">
        <f>'DATA UTAMA'!B74</f>
        <v>2021</v>
      </c>
      <c r="B74" s="29">
        <f>'DATA UTAMA'!Z74</f>
        <v>3.2849926278062248E-2</v>
      </c>
      <c r="C74" s="29">
        <f>'DATA UTAMA'!AA74</f>
        <v>34.519381832937128</v>
      </c>
      <c r="D74" s="29">
        <f>'DATA UTAMA'!AB74</f>
        <v>0.59343481082158989</v>
      </c>
      <c r="E74" s="29">
        <f>'DATA UTAMA'!AC74</f>
        <v>0.53936800858982725</v>
      </c>
      <c r="F74" s="29">
        <f>'DATA UTAMA'!AD74</f>
        <v>-1.1607705081011907E-2</v>
      </c>
      <c r="G74" s="29">
        <f>'DATA UTAMA'!AE74</f>
        <v>4.9178266442241741E-3</v>
      </c>
      <c r="H74" s="29">
        <f>'DATA UTAMA'!AF74</f>
        <v>0.32606262321603385</v>
      </c>
      <c r="I74" s="29">
        <f>'DATA UTAMA'!AG74</f>
        <v>1.0438910809673034</v>
      </c>
      <c r="J74" s="29">
        <f>'DATA UTAMA'!AH74</f>
        <v>-5.3761073400770503</v>
      </c>
      <c r="K74" s="29">
        <f>'DATA UTAMA'!AI74</f>
        <v>198.19819819819818</v>
      </c>
      <c r="L74" s="29">
        <f>'DATA UTAMA'!AJ74</f>
        <v>-1.983317277232743</v>
      </c>
      <c r="M74" s="28">
        <f>'DATA UTAMA'!Y74</f>
        <v>1</v>
      </c>
      <c r="N74" s="19">
        <v>2.6525183636851852E-3</v>
      </c>
      <c r="O74" s="19">
        <v>1.2285135903413176</v>
      </c>
      <c r="P74" s="19">
        <v>8.3970231877589674E-2</v>
      </c>
    </row>
    <row r="75" spans="1:16" x14ac:dyDescent="0.35">
      <c r="A75" s="30">
        <f>'DATA UTAMA'!B75</f>
        <v>2022</v>
      </c>
      <c r="B75" s="29">
        <f>'DATA UTAMA'!Z75</f>
        <v>4.0661118017869952E-2</v>
      </c>
      <c r="C75" s="29">
        <f>'DATA UTAMA'!AA75</f>
        <v>27.545566282495511</v>
      </c>
      <c r="D75" s="29">
        <f>'DATA UTAMA'!AB75</f>
        <v>1.0477651242957036</v>
      </c>
      <c r="E75" s="29">
        <f>'DATA UTAMA'!AC75</f>
        <v>0.9350417093176614</v>
      </c>
      <c r="F75" s="29">
        <f>'DATA UTAMA'!AD75</f>
        <v>-0.17738784485513842</v>
      </c>
      <c r="G75" s="29">
        <f>'DATA UTAMA'!AE75</f>
        <v>4.0480793441846401E-2</v>
      </c>
      <c r="H75" s="29">
        <f>'DATA UTAMA'!AF75</f>
        <v>0.25915105333186217</v>
      </c>
      <c r="I75" s="29">
        <f>'DATA UTAMA'!AG75</f>
        <v>1.5806441915669063</v>
      </c>
      <c r="J75" s="29">
        <f>'DATA UTAMA'!AH75</f>
        <v>-5.6864485903219393</v>
      </c>
      <c r="K75" s="29">
        <f>'DATA UTAMA'!AI75</f>
        <v>13.074204946996467</v>
      </c>
      <c r="L75" s="29">
        <f>'DATA UTAMA'!AJ75</f>
        <v>-2.3629702050505599</v>
      </c>
      <c r="M75" s="28">
        <f>'DATA UTAMA'!Y75</f>
        <v>1</v>
      </c>
      <c r="N75" s="19">
        <v>3.7851230294399241E-2</v>
      </c>
      <c r="O75" s="19">
        <v>1.2133811948913973</v>
      </c>
      <c r="P75" s="19">
        <v>0.14074072562719886</v>
      </c>
    </row>
    <row r="76" spans="1:16" x14ac:dyDescent="0.35">
      <c r="A76" s="30">
        <f>'DATA UTAMA'!B76</f>
        <v>2023</v>
      </c>
      <c r="B76" s="29">
        <f>'DATA UTAMA'!Z76</f>
        <v>2.8384197304844087E-2</v>
      </c>
      <c r="C76" s="29">
        <f>'DATA UTAMA'!AA76</f>
        <v>23.922004611041238</v>
      </c>
      <c r="D76" s="29">
        <f>'DATA UTAMA'!AB76</f>
        <v>1.1420902344844812</v>
      </c>
      <c r="E76" s="29">
        <f>'DATA UTAMA'!AC76</f>
        <v>1.0231587650214538</v>
      </c>
      <c r="F76" s="29">
        <f>'DATA UTAMA'!AD76</f>
        <v>-0.51432008531682849</v>
      </c>
      <c r="G76" s="29">
        <f>'DATA UTAMA'!AE76</f>
        <v>8.1008969866734587E-2</v>
      </c>
      <c r="H76" s="29">
        <f>'DATA UTAMA'!AF76</f>
        <v>0.26736342681519809</v>
      </c>
      <c r="I76" s="29">
        <f>'DATA UTAMA'!AG76</f>
        <v>2.1553876060496475</v>
      </c>
      <c r="J76" s="29">
        <f>'DATA UTAMA'!AH76</f>
        <v>-7.2052223227448025</v>
      </c>
      <c r="K76" s="29">
        <f>'DATA UTAMA'!AI76</f>
        <v>11.013215859030836</v>
      </c>
      <c r="L76" s="29">
        <f>'DATA UTAMA'!AJ76</f>
        <v>-5.6300266214515373</v>
      </c>
      <c r="M76" s="28">
        <f>'DATA UTAMA'!Y76</f>
        <v>1</v>
      </c>
      <c r="N76" s="19">
        <v>8.2885037564508324E-2</v>
      </c>
      <c r="O76" s="19">
        <v>1.1611545804466297</v>
      </c>
      <c r="P76" s="19">
        <v>0.10328717698489373</v>
      </c>
    </row>
    <row r="77" spans="1:16" x14ac:dyDescent="0.35">
      <c r="A77" s="30">
        <f>'DATA UTAMA'!B77</f>
        <v>2019</v>
      </c>
      <c r="B77" s="29">
        <f>'DATA UTAMA'!Z77</f>
        <v>1.2570383857628429</v>
      </c>
      <c r="C77" s="29">
        <f>'DATA UTAMA'!AA77</f>
        <v>61.097052205134105</v>
      </c>
      <c r="D77" s="29">
        <f>'DATA UTAMA'!AB77</f>
        <v>11.584022179560042</v>
      </c>
      <c r="E77" s="29">
        <f>'DATA UTAMA'!AC77</f>
        <v>2.5117732384317351</v>
      </c>
      <c r="F77" s="29">
        <f>'DATA UTAMA'!AD77</f>
        <v>0.36985225129586718</v>
      </c>
      <c r="G77" s="29">
        <f>'DATA UTAMA'!AE77</f>
        <v>0.10007838653216594</v>
      </c>
      <c r="H77" s="29">
        <f>'DATA UTAMA'!AF77</f>
        <v>0.34812270408119739</v>
      </c>
      <c r="I77" s="29">
        <f>'DATA UTAMA'!AG77</f>
        <v>18.296274308042268</v>
      </c>
      <c r="J77" s="29">
        <f>'DATA UTAMA'!AH77</f>
        <v>0.47132136915549061</v>
      </c>
      <c r="K77" s="29">
        <f>'DATA UTAMA'!AI77</f>
        <v>17.506855093862054</v>
      </c>
      <c r="L77" s="29">
        <f>'DATA UTAMA'!AJ77</f>
        <v>6.4750797947005596</v>
      </c>
      <c r="M77" s="28">
        <f>'DATA UTAMA'!Y77</f>
        <v>0</v>
      </c>
      <c r="N77" s="19">
        <v>0.25137421303692137</v>
      </c>
      <c r="O77" s="19">
        <v>0.32033883217914505</v>
      </c>
      <c r="P77" s="19">
        <v>3.8760793232157047</v>
      </c>
    </row>
    <row r="78" spans="1:16" x14ac:dyDescent="0.35">
      <c r="A78" s="30">
        <f>'DATA UTAMA'!B78</f>
        <v>2020</v>
      </c>
      <c r="B78" s="29">
        <f>'DATA UTAMA'!Z78</f>
        <v>1.1611348557650212</v>
      </c>
      <c r="C78" s="29">
        <f>'DATA UTAMA'!AA78</f>
        <v>60.88855337617246</v>
      </c>
      <c r="D78" s="29">
        <f>'DATA UTAMA'!AB78</f>
        <v>10.422819572769164</v>
      </c>
      <c r="E78" s="29">
        <f>'DATA UTAMA'!AC78</f>
        <v>2.1461857344126658</v>
      </c>
      <c r="F78" s="29">
        <f>'DATA UTAMA'!AD78</f>
        <v>0.22708415475120744</v>
      </c>
      <c r="G78" s="29">
        <f>'DATA UTAMA'!AE78</f>
        <v>6.938341630203633E-2</v>
      </c>
      <c r="H78" s="29">
        <f>'DATA UTAMA'!AF78</f>
        <v>0.36506400295834879</v>
      </c>
      <c r="I78" s="29">
        <f>'DATA UTAMA'!AG78</f>
        <v>14.838148114447261</v>
      </c>
      <c r="J78" s="29">
        <f>'DATA UTAMA'!AH78</f>
        <v>0.52497894620697361</v>
      </c>
      <c r="K78" s="29">
        <f>'DATA UTAMA'!AI78</f>
        <v>58.244680851063826</v>
      </c>
      <c r="L78" s="29">
        <f>'DATA UTAMA'!AJ78</f>
        <v>13.226355019629279</v>
      </c>
      <c r="M78" s="28">
        <f>'DATA UTAMA'!Y78</f>
        <v>0</v>
      </c>
      <c r="N78" s="19">
        <v>0.14890969827224557</v>
      </c>
      <c r="O78" s="19">
        <v>0.3442532419957241</v>
      </c>
      <c r="P78" s="19">
        <v>2.8612024923912394</v>
      </c>
    </row>
    <row r="79" spans="1:16" x14ac:dyDescent="0.35">
      <c r="A79" s="30">
        <f>'DATA UTAMA'!B79</f>
        <v>2021</v>
      </c>
      <c r="B79" s="29">
        <f>'DATA UTAMA'!Z79</f>
        <v>1.0264513015290129</v>
      </c>
      <c r="C79" s="29">
        <f>'DATA UTAMA'!AA79</f>
        <v>64.44636954588276</v>
      </c>
      <c r="D79" s="29">
        <f>'DATA UTAMA'!AB79</f>
        <v>9.6385283730175093</v>
      </c>
      <c r="E79" s="29">
        <f>'DATA UTAMA'!AC79</f>
        <v>2.3504227291421529</v>
      </c>
      <c r="F79" s="29">
        <f>'DATA UTAMA'!AD79</f>
        <v>0.26651320742624141</v>
      </c>
      <c r="G79" s="29">
        <f>'DATA UTAMA'!AE79</f>
        <v>7.5923713140204768E-2</v>
      </c>
      <c r="H79" s="29">
        <f>'DATA UTAMA'!AF79</f>
        <v>0.33853051950847418</v>
      </c>
      <c r="I79" s="29">
        <f>'DATA UTAMA'!AG79</f>
        <v>21.788598196604529</v>
      </c>
      <c r="J79" s="29">
        <f>'DATA UTAMA'!AH79</f>
        <v>0.49346592485713842</v>
      </c>
      <c r="K79" s="29">
        <f>'DATA UTAMA'!AI79</f>
        <v>23.370577281191807</v>
      </c>
      <c r="L79" s="29">
        <f>'DATA UTAMA'!AJ79</f>
        <v>6.2285426606060685</v>
      </c>
      <c r="M79" s="28">
        <f>'DATA UTAMA'!Y79</f>
        <v>0</v>
      </c>
      <c r="N79" s="19">
        <v>0.178452821045606</v>
      </c>
      <c r="O79" s="19">
        <v>0.33041659447592836</v>
      </c>
      <c r="P79" s="19">
        <v>3.0649466223898334</v>
      </c>
    </row>
    <row r="80" spans="1:16" x14ac:dyDescent="0.35">
      <c r="A80" s="30">
        <f>'DATA UTAMA'!B80</f>
        <v>2022</v>
      </c>
      <c r="B80" s="29">
        <f>'DATA UTAMA'!Z80</f>
        <v>0.62266840479244423</v>
      </c>
      <c r="C80" s="29">
        <f>'DATA UTAMA'!AA80</f>
        <v>71.618493453967176</v>
      </c>
      <c r="D80" s="29">
        <f>'DATA UTAMA'!AB80</f>
        <v>8.1968789562097299</v>
      </c>
      <c r="E80" s="29">
        <f>'DATA UTAMA'!AC80</f>
        <v>2.3693804649877896</v>
      </c>
      <c r="F80" s="29">
        <f>'DATA UTAMA'!AD80</f>
        <v>4.9080863765938315E-3</v>
      </c>
      <c r="G80" s="29">
        <f>'DATA UTAMA'!AE80</f>
        <v>1.4041395100411441E-3</v>
      </c>
      <c r="H80" s="29">
        <f>'DATA UTAMA'!AF80</f>
        <v>0.29212089169924488</v>
      </c>
      <c r="I80" s="29">
        <f>'DATA UTAMA'!AG80</f>
        <v>0.51444733041614732</v>
      </c>
      <c r="J80" s="29">
        <f>'DATA UTAMA'!AH80</f>
        <v>0.47525513135960207</v>
      </c>
      <c r="K80" s="29">
        <f>'DATA UTAMA'!AI80</f>
        <v>740</v>
      </c>
      <c r="L80" s="29">
        <f>'DATA UTAMA'!AJ80</f>
        <v>3.641681810956984</v>
      </c>
      <c r="M80" s="28">
        <f>'DATA UTAMA'!Y80</f>
        <v>0</v>
      </c>
      <c r="N80" s="19">
        <v>3.3269407252090127E-3</v>
      </c>
      <c r="O80" s="19">
        <v>0.32215114610149143</v>
      </c>
      <c r="P80" s="19">
        <v>2.6003101842883312</v>
      </c>
    </row>
    <row r="81" spans="1:16" x14ac:dyDescent="0.35">
      <c r="A81" s="30">
        <f>'DATA UTAMA'!B81</f>
        <v>2023</v>
      </c>
      <c r="B81" s="29">
        <f>'DATA UTAMA'!Z81</f>
        <v>0.45390400409486081</v>
      </c>
      <c r="C81" s="29">
        <f>'DATA UTAMA'!AA81</f>
        <v>87.925650485384907</v>
      </c>
      <c r="D81" s="29">
        <f>'DATA UTAMA'!AB81</f>
        <v>8.0601974165611754</v>
      </c>
      <c r="E81" s="29">
        <f>'DATA UTAMA'!AC81</f>
        <v>1.9193585054424174</v>
      </c>
      <c r="F81" s="29">
        <f>'DATA UTAMA'!AD81</f>
        <v>6.5257548309185171E-3</v>
      </c>
      <c r="G81" s="29">
        <f>'DATA UTAMA'!AE81</f>
        <v>1.8571529665228057E-3</v>
      </c>
      <c r="H81" s="29">
        <f>'DATA UTAMA'!AF81</f>
        <v>0.24350254592630705</v>
      </c>
      <c r="I81" s="29">
        <f>'DATA UTAMA'!AG81</f>
        <v>0.94729727173902123</v>
      </c>
      <c r="J81" s="29">
        <f>'DATA UTAMA'!AH81</f>
        <v>0.83074128581822204</v>
      </c>
      <c r="K81" s="29">
        <f>'DATA UTAMA'!AI81</f>
        <v>856.11510791366914</v>
      </c>
      <c r="L81" s="29">
        <f>'DATA UTAMA'!AJ81</f>
        <v>5.6005622008388416</v>
      </c>
      <c r="M81" s="28">
        <f>'DATA UTAMA'!Y81</f>
        <v>0</v>
      </c>
      <c r="N81" s="19">
        <v>3.5645423422031638E-3</v>
      </c>
      <c r="O81" s="19">
        <v>0.45377317497209052</v>
      </c>
      <c r="P81" s="19">
        <v>1.7722757429430389</v>
      </c>
    </row>
    <row r="82" spans="1:16" x14ac:dyDescent="0.35">
      <c r="A82" s="30">
        <f>'DATA UTAMA'!B82</f>
        <v>2019</v>
      </c>
      <c r="B82" s="29">
        <f>'DATA UTAMA'!Z82</f>
        <v>0.10383370181461642</v>
      </c>
      <c r="C82" s="29">
        <f>'DATA UTAMA'!AA82</f>
        <v>125.90479714556288</v>
      </c>
      <c r="D82" s="29">
        <f>'DATA UTAMA'!AB82</f>
        <v>0.69458021743429943</v>
      </c>
      <c r="E82" s="29">
        <f>'DATA UTAMA'!AC82</f>
        <v>0.48789402937150145</v>
      </c>
      <c r="F82" s="29">
        <f>'DATA UTAMA'!AD82</f>
        <v>-0.70742681742314972</v>
      </c>
      <c r="G82" s="29">
        <f>'DATA UTAMA'!AE82</f>
        <v>-0.34085692925352079</v>
      </c>
      <c r="H82" s="29">
        <f>'DATA UTAMA'!AF82</f>
        <v>4.4099155060963978E-2</v>
      </c>
      <c r="I82" s="29">
        <f>'DATA UTAMA'!AG82</f>
        <v>-15.198313897683841</v>
      </c>
      <c r="J82" s="29">
        <f>'DATA UTAMA'!AH82</f>
        <v>3.2538668170837051</v>
      </c>
      <c r="K82" s="29">
        <f>'DATA UTAMA'!AI82</f>
        <v>-1.5639662183296841</v>
      </c>
      <c r="L82" s="29">
        <f>'DATA UTAMA'!AJ82</f>
        <v>1.1085007661454713</v>
      </c>
      <c r="M82" s="28">
        <f>'DATA UTAMA'!Y82</f>
        <v>1</v>
      </c>
      <c r="N82" s="19">
        <v>-0.16630206065269706</v>
      </c>
      <c r="O82" s="19">
        <v>0.76491976759028779</v>
      </c>
      <c r="P82" s="19">
        <v>0.58038808329334612</v>
      </c>
    </row>
    <row r="83" spans="1:16" x14ac:dyDescent="0.35">
      <c r="A83" s="30">
        <f>'DATA UTAMA'!B83</f>
        <v>2020</v>
      </c>
      <c r="B83" s="29">
        <f>'DATA UTAMA'!Z83</f>
        <v>2.7719081260938635E-2</v>
      </c>
      <c r="C83" s="29">
        <f>'DATA UTAMA'!AA83</f>
        <v>102.52279590077687</v>
      </c>
      <c r="D83" s="29">
        <f>'DATA UTAMA'!AB83</f>
        <v>0.66138427992675142</v>
      </c>
      <c r="E83" s="29">
        <f>'DATA UTAMA'!AC83</f>
        <v>0.50235961052752831</v>
      </c>
      <c r="F83" s="29">
        <f>'DATA UTAMA'!AD83</f>
        <v>-5.5956963855100383</v>
      </c>
      <c r="G83" s="29">
        <f>'DATA UTAMA'!AE83</f>
        <v>-0.48638701795639339</v>
      </c>
      <c r="H83" s="29">
        <f>'DATA UTAMA'!AF83</f>
        <v>-6.8295313379195935E-2</v>
      </c>
      <c r="I83" s="29">
        <f>'DATA UTAMA'!AG83</f>
        <v>-95.928775890051526</v>
      </c>
      <c r="J83" s="29">
        <f>'DATA UTAMA'!AH83</f>
        <v>21.901158494620741</v>
      </c>
      <c r="K83" s="29">
        <f>'DATA UTAMA'!AI83</f>
        <v>-1.3376136971642589</v>
      </c>
      <c r="L83" s="29">
        <f>'DATA UTAMA'!AJ83</f>
        <v>7.336480205078221</v>
      </c>
      <c r="M83" s="28">
        <f>'DATA UTAMA'!Y83</f>
        <v>1</v>
      </c>
      <c r="N83" s="19">
        <v>-0.2443411929062197</v>
      </c>
      <c r="O83" s="19">
        <v>0.9563340867565765</v>
      </c>
      <c r="P83" s="19">
        <v>0.30211904631476205</v>
      </c>
    </row>
    <row r="84" spans="1:16" x14ac:dyDescent="0.35">
      <c r="A84" s="30">
        <f>'DATA UTAMA'!B84</f>
        <v>2021</v>
      </c>
      <c r="B84" s="29">
        <f>'DATA UTAMA'!Z84</f>
        <v>1.8680219780154363E-2</v>
      </c>
      <c r="C84" s="29">
        <f>'DATA UTAMA'!AA84</f>
        <v>142.40366154502925</v>
      </c>
      <c r="D84" s="29">
        <f>'DATA UTAMA'!AB84</f>
        <v>0.66636953659657805</v>
      </c>
      <c r="E84" s="29">
        <f>'DATA UTAMA'!AC84</f>
        <v>0.48831321677521539</v>
      </c>
      <c r="F84" s="29">
        <f>'DATA UTAMA'!AD84</f>
        <v>5.1415128422786536</v>
      </c>
      <c r="G84" s="29">
        <f>'DATA UTAMA'!AE84</f>
        <v>-0.11790991490952737</v>
      </c>
      <c r="H84" s="29">
        <f>'DATA UTAMA'!AF84</f>
        <v>0.25135005147063222</v>
      </c>
      <c r="I84" s="29">
        <f>'DATA UTAMA'!AG84</f>
        <v>-23.065819515900152</v>
      </c>
      <c r="J84" s="29">
        <f>'DATA UTAMA'!AH84</f>
        <v>-90.298079712097859</v>
      </c>
      <c r="K84" s="29">
        <f>'DATA UTAMA'!AI84</f>
        <v>-8.1829121540312872</v>
      </c>
      <c r="L84" s="29">
        <f>'DATA UTAMA'!AJ84</f>
        <v>-40.741216298886812</v>
      </c>
      <c r="M84" s="28">
        <f>'DATA UTAMA'!Y84</f>
        <v>1</v>
      </c>
      <c r="N84" s="19">
        <v>-5.7576969839163238E-2</v>
      </c>
      <c r="O84" s="19">
        <v>1.0111984490957036</v>
      </c>
      <c r="P84" s="19">
        <v>0.28877793775019611</v>
      </c>
    </row>
    <row r="85" spans="1:16" x14ac:dyDescent="0.35">
      <c r="A85" s="30">
        <f>'DATA UTAMA'!B85</f>
        <v>2022</v>
      </c>
      <c r="B85" s="29">
        <f>'DATA UTAMA'!Z85</f>
        <v>6.8028544775828176E-2</v>
      </c>
      <c r="C85" s="29">
        <f>'DATA UTAMA'!AA85</f>
        <v>110.3614193350995</v>
      </c>
      <c r="D85" s="29">
        <f>'DATA UTAMA'!AB85</f>
        <v>0.75598122801531553</v>
      </c>
      <c r="E85" s="29">
        <f>'DATA UTAMA'!AC85</f>
        <v>0.56707339832833437</v>
      </c>
      <c r="F85" s="29">
        <f>'DATA UTAMA'!AD85</f>
        <v>0.79797646710638459</v>
      </c>
      <c r="G85" s="29">
        <f>'DATA UTAMA'!AE85</f>
        <v>3.2995605081835161E-2</v>
      </c>
      <c r="H85" s="29">
        <f>'DATA UTAMA'!AF85</f>
        <v>0.29084784686874565</v>
      </c>
      <c r="I85" s="29">
        <f>'DATA UTAMA'!AG85</f>
        <v>8.56675649206435</v>
      </c>
      <c r="J85" s="29">
        <f>'DATA UTAMA'!AH85</f>
        <v>41.647611380900322</v>
      </c>
      <c r="K85" s="29">
        <f>'DATA UTAMA'!AI85</f>
        <v>25.925925925925924</v>
      </c>
      <c r="L85" s="29">
        <f>'DATA UTAMA'!AJ85</f>
        <v>22.250460466714394</v>
      </c>
      <c r="M85" s="28">
        <f>'DATA UTAMA'!Y85</f>
        <v>1</v>
      </c>
      <c r="N85" s="19">
        <v>1.8710929903655922E-2</v>
      </c>
      <c r="O85" s="19">
        <v>0.97655202794199514</v>
      </c>
      <c r="P85" s="19">
        <v>1.1879721139576209</v>
      </c>
    </row>
    <row r="86" spans="1:16" x14ac:dyDescent="0.35">
      <c r="A86" s="30">
        <f>'DATA UTAMA'!B86</f>
        <v>2023</v>
      </c>
      <c r="B86" s="29">
        <f>'DATA UTAMA'!Z86</f>
        <v>2.6959808427535391E-2</v>
      </c>
      <c r="C86" s="29">
        <f>'DATA UTAMA'!AA86</f>
        <v>117.47794385755402</v>
      </c>
      <c r="D86" s="29">
        <f>'DATA UTAMA'!AB86</f>
        <v>0.79063794531625697</v>
      </c>
      <c r="E86" s="29">
        <f>'DATA UTAMA'!AC86</f>
        <v>0.61697963184487747</v>
      </c>
      <c r="F86" s="29">
        <f>'DATA UTAMA'!AD86</f>
        <v>0.29045271143043788</v>
      </c>
      <c r="G86" s="29">
        <f>'DATA UTAMA'!AE86</f>
        <v>0.3474922062278224</v>
      </c>
      <c r="H86" s="29">
        <f>'DATA UTAMA'!AF86</f>
        <v>0.37431584586133709</v>
      </c>
      <c r="I86" s="29">
        <f>'DATA UTAMA'!AG86</f>
        <v>4.7597844381882419</v>
      </c>
      <c r="J86" s="29">
        <f>'DATA UTAMA'!AH86</f>
        <v>1.0220733859218452</v>
      </c>
      <c r="K86" s="29">
        <f>'DATA UTAMA'!AI86</f>
        <v>1.7537706068046299</v>
      </c>
      <c r="L86" s="29">
        <f>'DATA UTAMA'!AJ86</f>
        <v>0.51666556281958742</v>
      </c>
      <c r="M86" s="28">
        <f>'DATA UTAMA'!Y86</f>
        <v>0</v>
      </c>
      <c r="N86" s="19">
        <v>0.2143956134674061</v>
      </c>
      <c r="O86" s="19">
        <v>0.75443623681200533</v>
      </c>
      <c r="P86" s="19">
        <v>0.42354756447208325</v>
      </c>
    </row>
    <row r="87" spans="1:16" x14ac:dyDescent="0.35">
      <c r="A87" s="30">
        <f>'DATA UTAMA'!B87</f>
        <v>2019</v>
      </c>
      <c r="B87" s="29">
        <f>'DATA UTAMA'!Z87</f>
        <v>0.39178388697669575</v>
      </c>
      <c r="C87" s="29">
        <f>'DATA UTAMA'!AA87</f>
        <v>100.84038969263831</v>
      </c>
      <c r="D87" s="29">
        <f>'DATA UTAMA'!AB87</f>
        <v>1.4928580425642626</v>
      </c>
      <c r="E87" s="29">
        <f>'DATA UTAMA'!AC87</f>
        <v>0.84849946704942758</v>
      </c>
      <c r="F87" s="29">
        <f>'DATA UTAMA'!AD87</f>
        <v>-0.24397301999254734</v>
      </c>
      <c r="G87" s="29">
        <f>'DATA UTAMA'!AE87</f>
        <v>-0.13721264763297791</v>
      </c>
      <c r="H87" s="29">
        <f>'DATA UTAMA'!AF87</f>
        <v>0.13581050689441518</v>
      </c>
      <c r="I87" s="29">
        <f>'DATA UTAMA'!AG87</f>
        <v>-3.8115392114510653</v>
      </c>
      <c r="J87" s="29">
        <f>'DATA UTAMA'!AH87</f>
        <v>1.0955406205205298</v>
      </c>
      <c r="K87" s="29">
        <f>'DATA UTAMA'!AI87</f>
        <v>-0.30494027252536166</v>
      </c>
      <c r="L87" s="29">
        <f>'DATA UTAMA'!AJ87</f>
        <v>4.8555630949626241E-2</v>
      </c>
      <c r="M87" s="28">
        <f>'DATA UTAMA'!Y87</f>
        <v>0</v>
      </c>
      <c r="N87" s="19">
        <v>-0.11642485838902265</v>
      </c>
      <c r="O87" s="19">
        <v>0.52279617478777329</v>
      </c>
      <c r="P87" s="19">
        <v>1.2684284613394321</v>
      </c>
    </row>
    <row r="88" spans="1:16" x14ac:dyDescent="0.35">
      <c r="A88" s="30">
        <f>'DATA UTAMA'!B88</f>
        <v>2020</v>
      </c>
      <c r="B88" s="29">
        <f>'DATA UTAMA'!Z88</f>
        <v>0.54241492663010404</v>
      </c>
      <c r="C88" s="29">
        <f>'DATA UTAMA'!AA88</f>
        <v>80.865801976319432</v>
      </c>
      <c r="D88" s="29">
        <f>'DATA UTAMA'!AB88</f>
        <v>1.5080061896253334</v>
      </c>
      <c r="E88" s="29">
        <f>'DATA UTAMA'!AC88</f>
        <v>0.85490671384367001</v>
      </c>
      <c r="F88" s="29">
        <f>'DATA UTAMA'!AD88</f>
        <v>-9.5995187633618733E-3</v>
      </c>
      <c r="G88" s="29">
        <f>'DATA UTAMA'!AE88</f>
        <v>-4.7283870774261771E-3</v>
      </c>
      <c r="H88" s="29">
        <f>'DATA UTAMA'!AF88</f>
        <v>0.13491168032706727</v>
      </c>
      <c r="I88" s="29">
        <f>'DATA UTAMA'!AG88</f>
        <v>1.0329061455209134</v>
      </c>
      <c r="J88" s="29">
        <f>'DATA UTAMA'!AH88</f>
        <v>1.374748993831765</v>
      </c>
      <c r="K88" s="29">
        <f>'DATA UTAMA'!AI88</f>
        <v>-4.0455840455840457</v>
      </c>
      <c r="L88" s="29">
        <f>'DATA UTAMA'!AJ88</f>
        <v>5.4803112022018749E-2</v>
      </c>
      <c r="M88" s="28">
        <f>'DATA UTAMA'!Y88</f>
        <v>0</v>
      </c>
      <c r="N88" s="19">
        <v>-4.0423298581432881E-3</v>
      </c>
      <c r="O88" s="19">
        <v>0.57890286400902746</v>
      </c>
      <c r="P88" s="19">
        <v>1.2944742552517667</v>
      </c>
    </row>
    <row r="89" spans="1:16" x14ac:dyDescent="0.35">
      <c r="A89" s="30">
        <f>'DATA UTAMA'!B89</f>
        <v>2021</v>
      </c>
      <c r="B89" s="29">
        <f>'DATA UTAMA'!Z89</f>
        <v>0.7915043615151599</v>
      </c>
      <c r="C89" s="29">
        <f>'DATA UTAMA'!AA89</f>
        <v>90.165750317955471</v>
      </c>
      <c r="D89" s="29">
        <f>'DATA UTAMA'!AB89</f>
        <v>1.6834225555346296</v>
      </c>
      <c r="E89" s="29">
        <f>'DATA UTAMA'!AC89</f>
        <v>0.81154532087229525</v>
      </c>
      <c r="F89" s="29">
        <f>'DATA UTAMA'!AD89</f>
        <v>0.36427643725654513</v>
      </c>
      <c r="G89" s="29">
        <f>'DATA UTAMA'!AE89</f>
        <v>0.20667768716520371</v>
      </c>
      <c r="H89" s="29">
        <f>'DATA UTAMA'!AF89</f>
        <v>0.28210380853816075</v>
      </c>
      <c r="I89" s="29">
        <f>'DATA UTAMA'!AG89</f>
        <v>14.76160700193812</v>
      </c>
      <c r="J89" s="29">
        <f>'DATA UTAMA'!AH89</f>
        <v>1.171824406805777</v>
      </c>
      <c r="K89" s="29">
        <f>'DATA UTAMA'!AI89</f>
        <v>0.49874686716791983</v>
      </c>
      <c r="L89" s="29">
        <f>'DATA UTAMA'!AJ89</f>
        <v>0.11979554934425179</v>
      </c>
      <c r="M89" s="28">
        <f>'DATA UTAMA'!Y89</f>
        <v>0</v>
      </c>
      <c r="N89" s="19">
        <v>0.16772830994762911</v>
      </c>
      <c r="O89" s="19">
        <v>0.53955761945287484</v>
      </c>
      <c r="P89" s="19">
        <v>1.4477222453218528</v>
      </c>
    </row>
    <row r="90" spans="1:16" x14ac:dyDescent="0.35">
      <c r="A90" s="30">
        <f>'DATA UTAMA'!B90</f>
        <v>2022</v>
      </c>
      <c r="B90" s="29">
        <f>'DATA UTAMA'!Z90</f>
        <v>1.307376691069958</v>
      </c>
      <c r="C90" s="29">
        <f>'DATA UTAMA'!AA90</f>
        <v>61.667901094125831</v>
      </c>
      <c r="D90" s="29">
        <f>'DATA UTAMA'!AB90</f>
        <v>2.2956662859564512</v>
      </c>
      <c r="E90" s="29">
        <f>'DATA UTAMA'!AC90</f>
        <v>0.9978706884833235</v>
      </c>
      <c r="F90" s="29">
        <f>'DATA UTAMA'!AD90</f>
        <v>0.50581031606811344</v>
      </c>
      <c r="G90" s="29">
        <f>'DATA UTAMA'!AE90</f>
        <v>0.28410855476526969</v>
      </c>
      <c r="H90" s="29">
        <f>'DATA UTAMA'!AF90</f>
        <v>0.34241209197993427</v>
      </c>
      <c r="I90" s="29">
        <f>'DATA UTAMA'!AG90</f>
        <v>26.007656372517456</v>
      </c>
      <c r="J90" s="29">
        <f>'DATA UTAMA'!AH90</f>
        <v>0.78414072198334106</v>
      </c>
      <c r="K90" s="29">
        <f>'DATA UTAMA'!AI90</f>
        <v>0.38152660060787269</v>
      </c>
      <c r="L90" s="29">
        <f>'DATA UTAMA'!AJ90</f>
        <v>0.12563438731117932</v>
      </c>
      <c r="M90" s="28">
        <f>'DATA UTAMA'!Y90</f>
        <v>0</v>
      </c>
      <c r="N90" s="19">
        <v>0.28350359914762169</v>
      </c>
      <c r="O90" s="19">
        <v>0.43950609518718375</v>
      </c>
      <c r="P90" s="19">
        <v>2.0443406842726484</v>
      </c>
    </row>
    <row r="91" spans="1:16" x14ac:dyDescent="0.35">
      <c r="A91" s="30">
        <f>'DATA UTAMA'!B91</f>
        <v>2023</v>
      </c>
      <c r="B91" s="29">
        <f>'DATA UTAMA'!Z91</f>
        <v>1.5789580036356801</v>
      </c>
      <c r="C91" s="29">
        <f>'DATA UTAMA'!AA91</f>
        <v>61.326613593670523</v>
      </c>
      <c r="D91" s="29">
        <f>'DATA UTAMA'!AB91</f>
        <v>1.15749365237568</v>
      </c>
      <c r="E91" s="29">
        <f>'DATA UTAMA'!AC91</f>
        <v>0.61450018700823328</v>
      </c>
      <c r="F91" s="29">
        <f>'DATA UTAMA'!AD91</f>
        <v>0.16045853794039011</v>
      </c>
      <c r="G91" s="29">
        <f>'DATA UTAMA'!AE91</f>
        <v>0.14240799813124794</v>
      </c>
      <c r="H91" s="29">
        <f>'DATA UTAMA'!AF91</f>
        <v>0.19907395147107618</v>
      </c>
      <c r="I91" s="29">
        <f>'DATA UTAMA'!AG91</f>
        <v>6.2918739793573515</v>
      </c>
      <c r="J91" s="29">
        <f>'DATA UTAMA'!AH91</f>
        <v>0.83360772436222352</v>
      </c>
      <c r="K91" s="29">
        <f>'DATA UTAMA'!AI91</f>
        <v>4.1571938941214679</v>
      </c>
      <c r="L91" s="29">
        <f>'DATA UTAMA'!AJ91</f>
        <v>0.4965366534092443</v>
      </c>
      <c r="M91" s="28">
        <f>'DATA UTAMA'!Y91</f>
        <v>0</v>
      </c>
      <c r="N91" s="19">
        <v>8.7509741483119977E-2</v>
      </c>
      <c r="O91" s="19">
        <v>0.45462707932918095</v>
      </c>
      <c r="P91" s="19">
        <v>2.4006933649947308</v>
      </c>
    </row>
    <row r="92" spans="1:16" x14ac:dyDescent="0.35">
      <c r="A92" s="30">
        <f>'DATA UTAMA'!B92</f>
        <v>2019</v>
      </c>
      <c r="B92" s="29">
        <f>'DATA UTAMA'!Z92</f>
        <v>2.7238953929528697E-2</v>
      </c>
      <c r="C92" s="29">
        <f>'DATA UTAMA'!AA92</f>
        <v>408.89363672490646</v>
      </c>
      <c r="D92" s="29">
        <f>'DATA UTAMA'!AB92</f>
        <v>0.49803448271909295</v>
      </c>
      <c r="E92" s="29">
        <f>'DATA UTAMA'!AC92</f>
        <v>0.28011853626024119</v>
      </c>
      <c r="F92" s="29">
        <f>'DATA UTAMA'!AD92</f>
        <v>0.60800641367143449</v>
      </c>
      <c r="G92" s="29">
        <f>'DATA UTAMA'!AE92</f>
        <v>-2.0563923560464157</v>
      </c>
      <c r="H92" s="29">
        <f>'DATA UTAMA'!AF92</f>
        <v>-1.1893053869360015</v>
      </c>
      <c r="I92" s="29">
        <f>'DATA UTAMA'!AG92</f>
        <v>-37.361470671682625</v>
      </c>
      <c r="J92" s="29">
        <f>'DATA UTAMA'!AH92</f>
        <v>-2.0555050885731605</v>
      </c>
      <c r="K92" s="29">
        <f>'DATA UTAMA'!AI92</f>
        <v>-0.83180835135584763</v>
      </c>
      <c r="L92" s="29">
        <f>'DATA UTAMA'!AJ92</f>
        <v>-0.67673495794078364</v>
      </c>
      <c r="M92" s="28">
        <f>'DATA UTAMA'!Y92</f>
        <v>1</v>
      </c>
      <c r="N92" s="19">
        <v>-0.57603361675247067</v>
      </c>
      <c r="O92" s="19">
        <v>1.947413717684495</v>
      </c>
      <c r="P92" s="19">
        <v>0.29085996214888449</v>
      </c>
    </row>
    <row r="93" spans="1:16" x14ac:dyDescent="0.35">
      <c r="A93" s="30">
        <f>'DATA UTAMA'!B93</f>
        <v>2020</v>
      </c>
      <c r="B93" s="29">
        <f>'DATA UTAMA'!Z93</f>
        <v>3.8542753721686425E-2</v>
      </c>
      <c r="C93" s="29">
        <f>'DATA UTAMA'!AA93</f>
        <v>1279.9826928170817</v>
      </c>
      <c r="D93" s="29">
        <f>'DATA UTAMA'!AB93</f>
        <v>0.25921537318881732</v>
      </c>
      <c r="E93" s="29">
        <f>'DATA UTAMA'!AC93</f>
        <v>8.853854051933302E-2</v>
      </c>
      <c r="F93" s="29">
        <f>'DATA UTAMA'!AD93</f>
        <v>0.10226645736915489</v>
      </c>
      <c r="G93" s="29">
        <f>'DATA UTAMA'!AE93</f>
        <v>-2.4701914441587856</v>
      </c>
      <c r="H93" s="29">
        <f>'DATA UTAMA'!AF93</f>
        <v>-3.4302620683277785</v>
      </c>
      <c r="I93" s="29">
        <f>'DATA UTAMA'!AG93</f>
        <v>-13.05083206113464</v>
      </c>
      <c r="J93" s="29">
        <f>'DATA UTAMA'!AH93</f>
        <v>-1.4675954104896562</v>
      </c>
      <c r="K93" s="29">
        <f>'DATA UTAMA'!AI93</f>
        <v>-5.7870370370370363</v>
      </c>
      <c r="L93" s="29">
        <f>'DATA UTAMA'!AJ93</f>
        <v>-0.59055214317221016</v>
      </c>
      <c r="M93" s="28">
        <f>'DATA UTAMA'!Y93</f>
        <v>1</v>
      </c>
      <c r="N93" s="19">
        <v>-0.21870714526916241</v>
      </c>
      <c r="O93" s="19">
        <v>3.1386009733346625</v>
      </c>
      <c r="P93" s="19">
        <v>0.27480346982987686</v>
      </c>
    </row>
    <row r="94" spans="1:16" x14ac:dyDescent="0.35">
      <c r="A94" s="30">
        <f>'DATA UTAMA'!B94</f>
        <v>2021</v>
      </c>
      <c r="B94" s="29">
        <f>'DATA UTAMA'!Z94</f>
        <v>1.4119409096211115</v>
      </c>
      <c r="C94" s="29">
        <f>'DATA UTAMA'!AA94</f>
        <v>3170.0109898567557</v>
      </c>
      <c r="D94" s="29">
        <f>'DATA UTAMA'!AB94</f>
        <v>0.77302231198462956</v>
      </c>
      <c r="E94" s="29">
        <f>'DATA UTAMA'!AC94</f>
        <v>7.9778355774537471E-2</v>
      </c>
      <c r="F94" s="29">
        <f>'DATA UTAMA'!AD94</f>
        <v>2.4795447341697479</v>
      </c>
      <c r="G94" s="29">
        <f>'DATA UTAMA'!AE94</f>
        <v>25.969030963666697</v>
      </c>
      <c r="H94" s="29">
        <f>'DATA UTAMA'!AF94</f>
        <v>-2.0936709742627797</v>
      </c>
      <c r="I94" s="29">
        <f>'DATA UTAMA'!AG94</f>
        <v>-1344.7753996352324</v>
      </c>
      <c r="J94" s="29">
        <f>'DATA UTAMA'!AH94</f>
        <v>0.19682629526656328</v>
      </c>
      <c r="K94" s="29">
        <f>'DATA UTAMA'!AI94</f>
        <v>2.7100271002710028</v>
      </c>
      <c r="L94" s="29">
        <f>'DATA UTAMA'!AJ94</f>
        <v>6.7200479027645974</v>
      </c>
      <c r="M94" s="28">
        <f>'DATA UTAMA'!Y94</f>
        <v>0</v>
      </c>
      <c r="N94" s="19">
        <v>2.0717665913393812</v>
      </c>
      <c r="O94" s="19">
        <v>0.16445686065305334</v>
      </c>
      <c r="P94" s="19">
        <v>7.1983547917850856</v>
      </c>
    </row>
    <row r="95" spans="1:16" x14ac:dyDescent="0.35">
      <c r="A95" s="30">
        <f>'DATA UTAMA'!B95</f>
        <v>2022</v>
      </c>
      <c r="B95" s="29">
        <f>'DATA UTAMA'!Z95</f>
        <v>1.0903370786005762</v>
      </c>
      <c r="C95" s="29">
        <f>'DATA UTAMA'!AA95</f>
        <v>6866.3974239139579</v>
      </c>
      <c r="D95" s="29">
        <f>'DATA UTAMA'!AB95</f>
        <v>0.53431082695111987</v>
      </c>
      <c r="E95" s="29">
        <f>'DATA UTAMA'!AC95</f>
        <v>4.0339870713933884E-2</v>
      </c>
      <c r="F95" s="29">
        <f>'DATA UTAMA'!AD95</f>
        <v>-0.24262446806628107</v>
      </c>
      <c r="G95" s="29">
        <f>'DATA UTAMA'!AE95</f>
        <v>-5.0546677230215726</v>
      </c>
      <c r="H95" s="29">
        <f>'DATA UTAMA'!AF95</f>
        <v>-1.929958039738118</v>
      </c>
      <c r="I95" s="29">
        <f>'DATA UTAMA'!AG95</f>
        <v>-611.67951797075807</v>
      </c>
      <c r="J95" s="29">
        <f>'DATA UTAMA'!AH95</f>
        <v>0.18989182959607981</v>
      </c>
      <c r="K95" s="29">
        <f>'DATA UTAMA'!AI95</f>
        <v>-34.246575342465754</v>
      </c>
      <c r="L95" s="29">
        <f>'DATA UTAMA'!AJ95</f>
        <v>8.3217778854827529</v>
      </c>
      <c r="M95" s="28">
        <f>'DATA UTAMA'!Y95</f>
        <v>0</v>
      </c>
      <c r="N95" s="19">
        <v>-0.20390464244858483</v>
      </c>
      <c r="O95" s="19">
        <v>0.15958747246843472</v>
      </c>
      <c r="P95" s="19">
        <v>7.6842980114345814</v>
      </c>
    </row>
    <row r="96" spans="1:16" x14ac:dyDescent="0.35">
      <c r="A96" s="30">
        <f>'DATA UTAMA'!B96</f>
        <v>2023</v>
      </c>
      <c r="B96" s="29">
        <f>'DATA UTAMA'!Z96</f>
        <v>0.79776184470641609</v>
      </c>
      <c r="C96" s="29">
        <f>'DATA UTAMA'!AA96</f>
        <v>4176.2607182917609</v>
      </c>
      <c r="D96" s="29">
        <f>'DATA UTAMA'!AB96</f>
        <v>1.142081682558137</v>
      </c>
      <c r="E96" s="29">
        <f>'DATA UTAMA'!AC96</f>
        <v>7.0469044587830501E-2</v>
      </c>
      <c r="F96" s="29">
        <f>'DATA UTAMA'!AD96</f>
        <v>-7.0683005570810878E-2</v>
      </c>
      <c r="G96" s="29">
        <f>'DATA UTAMA'!AE96</f>
        <v>-0.83483445595411632</v>
      </c>
      <c r="H96" s="29">
        <f>'DATA UTAMA'!AF96</f>
        <v>-0.63051190724313566</v>
      </c>
      <c r="I96" s="29">
        <f>'DATA UTAMA'!AG96</f>
        <v>-379.65618037608056</v>
      </c>
      <c r="J96" s="29">
        <f>'DATA UTAMA'!AH96</f>
        <v>0.20147920772861863</v>
      </c>
      <c r="K96" s="29">
        <f>'DATA UTAMA'!AI96</f>
        <v>-125</v>
      </c>
      <c r="L96" s="29">
        <f>'DATA UTAMA'!AJ96</f>
        <v>8.9224847708594712</v>
      </c>
      <c r="M96" s="28">
        <f>'DATA UTAMA'!Y96</f>
        <v>0</v>
      </c>
      <c r="N96" s="19">
        <v>-5.8829986500087847E-2</v>
      </c>
      <c r="O96" s="19">
        <v>0.16769262957909406</v>
      </c>
      <c r="P96" s="19">
        <v>7.5680783757438181</v>
      </c>
    </row>
    <row r="97" spans="1:16" x14ac:dyDescent="0.35">
      <c r="A97" s="30">
        <f>'DATA UTAMA'!B97</f>
        <v>2019</v>
      </c>
      <c r="B97" s="29">
        <f>'DATA UTAMA'!Z97</f>
        <v>4.1017050979833103E-2</v>
      </c>
      <c r="C97" s="29">
        <f>'DATA UTAMA'!AA97</f>
        <v>32.962857480628074</v>
      </c>
      <c r="D97" s="29">
        <f>'DATA UTAMA'!AB97</f>
        <v>0.91448014531106103</v>
      </c>
      <c r="E97" s="29">
        <f>'DATA UTAMA'!AC97</f>
        <v>0.76918335986303144</v>
      </c>
      <c r="F97" s="29">
        <f>'DATA UTAMA'!AD97</f>
        <v>8.5039432636581619E-2</v>
      </c>
      <c r="G97" s="29">
        <f>'DATA UTAMA'!AE97</f>
        <v>4.0049453302970342E-2</v>
      </c>
      <c r="H97" s="29">
        <f>'DATA UTAMA'!AF97</f>
        <v>0.14542351953552746</v>
      </c>
      <c r="I97" s="29">
        <f>'DATA UTAMA'!AG97</f>
        <v>1.9847854674454877</v>
      </c>
      <c r="J97" s="29">
        <f>'DATA UTAMA'!AH97</f>
        <v>1.7605389648203915</v>
      </c>
      <c r="K97" s="29">
        <f>'DATA UTAMA'!AI97</f>
        <v>0.63749999999999996</v>
      </c>
      <c r="L97" s="29">
        <f>'DATA UTAMA'!AJ97</f>
        <v>4.9184115041368132E-2</v>
      </c>
      <c r="M97" s="28">
        <f>'DATA UTAMA'!Y97</f>
        <v>0</v>
      </c>
      <c r="N97" s="19">
        <v>3.0805373052256311E-2</v>
      </c>
      <c r="O97" s="19">
        <v>0.63775189818229472</v>
      </c>
      <c r="P97" s="19">
        <v>0.52842356079852959</v>
      </c>
    </row>
    <row r="98" spans="1:16" x14ac:dyDescent="0.35">
      <c r="A98" s="30">
        <f>'DATA UTAMA'!B98</f>
        <v>2020</v>
      </c>
      <c r="B98" s="29">
        <f>'DATA UTAMA'!Z98</f>
        <v>0.13356919266546891</v>
      </c>
      <c r="C98" s="29">
        <f>'DATA UTAMA'!AA98</f>
        <v>26.758421006231249</v>
      </c>
      <c r="D98" s="29">
        <f>'DATA UTAMA'!AB98</f>
        <v>0.78778273729622716</v>
      </c>
      <c r="E98" s="29">
        <f>'DATA UTAMA'!AC98</f>
        <v>0.70356785438775726</v>
      </c>
      <c r="F98" s="29">
        <f>'DATA UTAMA'!AD98</f>
        <v>4.3118391008675046E-2</v>
      </c>
      <c r="G98" s="29">
        <f>'DATA UTAMA'!AE98</f>
        <v>1.934125494792226E-2</v>
      </c>
      <c r="H98" s="29">
        <f>'DATA UTAMA'!AF98</f>
        <v>0.15575759237047612</v>
      </c>
      <c r="I98" s="29">
        <f>'DATA UTAMA'!AG98</f>
        <v>1.5633400245678162</v>
      </c>
      <c r="J98" s="29">
        <f>'DATA UTAMA'!AH98</f>
        <v>2.1686327620164416</v>
      </c>
      <c r="K98" s="29">
        <f>'DATA UTAMA'!AI98</f>
        <v>1.2545454545454546</v>
      </c>
      <c r="L98" s="29">
        <f>'DATA UTAMA'!AJ98</f>
        <v>6.5016222867264828E-2</v>
      </c>
      <c r="M98" s="28">
        <f>'DATA UTAMA'!Y98</f>
        <v>0</v>
      </c>
      <c r="N98" s="19">
        <v>1.3607885244876258E-2</v>
      </c>
      <c r="O98" s="19">
        <v>0.68440646957029372</v>
      </c>
      <c r="P98" s="19">
        <v>0.45434748415481646</v>
      </c>
    </row>
    <row r="99" spans="1:16" x14ac:dyDescent="0.35">
      <c r="A99" s="30">
        <f>'DATA UTAMA'!B99</f>
        <v>2021</v>
      </c>
      <c r="B99" s="29">
        <f>'DATA UTAMA'!Z99</f>
        <v>0.6843984470358383</v>
      </c>
      <c r="C99" s="29">
        <f>'DATA UTAMA'!AA99</f>
        <v>34.583836746852825</v>
      </c>
      <c r="D99" s="29">
        <f>'DATA UTAMA'!AB99</f>
        <v>1.1568206211426573</v>
      </c>
      <c r="E99" s="29">
        <f>'DATA UTAMA'!AC99</f>
        <v>0.83180681428625369</v>
      </c>
      <c r="F99" s="29">
        <f>'DATA UTAMA'!AD99</f>
        <v>0.45239843066048441</v>
      </c>
      <c r="G99" s="29">
        <f>'DATA UTAMA'!AE99</f>
        <v>0.20698929835825874</v>
      </c>
      <c r="H99" s="29">
        <f>'DATA UTAMA'!AF99</f>
        <v>0.21689754456841537</v>
      </c>
      <c r="I99" s="29">
        <f>'DATA UTAMA'!AG99</f>
        <v>7.4358896874302003</v>
      </c>
      <c r="J99" s="29">
        <f>'DATA UTAMA'!AH99</f>
        <v>1.6275483933724588</v>
      </c>
      <c r="K99" s="29">
        <f>'DATA UTAMA'!AI99</f>
        <v>1.1229508196721312</v>
      </c>
      <c r="L99" s="29">
        <f>'DATA UTAMA'!AJ99</f>
        <v>0.50686135339321037</v>
      </c>
      <c r="M99" s="28">
        <f>'DATA UTAMA'!Y99</f>
        <v>0</v>
      </c>
      <c r="N99" s="19">
        <v>0.17217510885873008</v>
      </c>
      <c r="O99" s="19">
        <v>0.61941709521989052</v>
      </c>
      <c r="P99" s="19">
        <v>1.1417295431272509</v>
      </c>
    </row>
    <row r="100" spans="1:16" x14ac:dyDescent="0.35">
      <c r="A100" s="30">
        <f>'DATA UTAMA'!B100</f>
        <v>2022</v>
      </c>
      <c r="B100" s="29">
        <f>'DATA UTAMA'!Z100</f>
        <v>1.2776802885329541</v>
      </c>
      <c r="C100" s="29">
        <f>'DATA UTAMA'!AA100</f>
        <v>24.181205290937172</v>
      </c>
      <c r="D100" s="29">
        <f>'DATA UTAMA'!AB100</f>
        <v>1.8586002142871294</v>
      </c>
      <c r="E100" s="29">
        <f>'DATA UTAMA'!AC100</f>
        <v>1.1076473331816483</v>
      </c>
      <c r="F100" s="29">
        <f>'DATA UTAMA'!AD100</f>
        <v>0.63526792975746171</v>
      </c>
      <c r="G100" s="29">
        <f>'DATA UTAMA'!AE100</f>
        <v>0.28983998527242932</v>
      </c>
      <c r="H100" s="29">
        <f>'DATA UTAMA'!AF100</f>
        <v>0.36184599766376119</v>
      </c>
      <c r="I100" s="29">
        <f>'DATA UTAMA'!AG100</f>
        <v>13.835567604679207</v>
      </c>
      <c r="J100" s="29">
        <f>'DATA UTAMA'!AH100</f>
        <v>0.97877824138436142</v>
      </c>
      <c r="K100" s="29">
        <f>'DATA UTAMA'!AI100</f>
        <v>0.81380753138075312</v>
      </c>
      <c r="L100" s="29">
        <f>'DATA UTAMA'!AJ100</f>
        <v>0.49859750146705573</v>
      </c>
      <c r="M100" s="28">
        <f>'DATA UTAMA'!Y100</f>
        <v>0</v>
      </c>
      <c r="N100" s="19">
        <v>0.32104048673641455</v>
      </c>
      <c r="O100" s="19">
        <v>0.49463766121645047</v>
      </c>
      <c r="P100" s="19">
        <v>1.7620811290971066</v>
      </c>
    </row>
    <row r="101" spans="1:16" x14ac:dyDescent="0.35">
      <c r="A101" s="30">
        <f>'DATA UTAMA'!B101</f>
        <v>2023</v>
      </c>
      <c r="B101" s="29">
        <f>'DATA UTAMA'!Z101</f>
        <v>1.3897075831986618</v>
      </c>
      <c r="C101" s="29">
        <f>'DATA UTAMA'!AA101</f>
        <v>29.071764207498738</v>
      </c>
      <c r="D101" s="29">
        <f>'DATA UTAMA'!AB101</f>
        <v>1.6186337743362682</v>
      </c>
      <c r="E101" s="29">
        <f>'DATA UTAMA'!AC101</f>
        <v>1.0582440707192902</v>
      </c>
      <c r="F101" s="29">
        <f>'DATA UTAMA'!AD101</f>
        <v>0.31542706976729779</v>
      </c>
      <c r="G101" s="29">
        <f>'DATA UTAMA'!AE101</f>
        <v>0.1892294000209955</v>
      </c>
      <c r="H101" s="29">
        <f>'DATA UTAMA'!AF101</f>
        <v>0.25871174010912085</v>
      </c>
      <c r="I101" s="29">
        <f>'DATA UTAMA'!AG101</f>
        <v>10.722187087396954</v>
      </c>
      <c r="J101" s="29">
        <f>'DATA UTAMA'!AH101</f>
        <v>0.57515938559312196</v>
      </c>
      <c r="K101" s="29">
        <f>'DATA UTAMA'!AI101</f>
        <v>11.142857142857142</v>
      </c>
      <c r="L101" s="29">
        <f>'DATA UTAMA'!AJ101</f>
        <v>3.445560354372593</v>
      </c>
      <c r="M101" s="28">
        <f>'DATA UTAMA'!Y101</f>
        <v>0</v>
      </c>
      <c r="N101" s="19">
        <v>0.2002508905779872</v>
      </c>
      <c r="O101" s="19">
        <v>0.36514361076961571</v>
      </c>
      <c r="P101" s="19">
        <v>2.2165848147198175</v>
      </c>
    </row>
    <row r="102" spans="1:16" x14ac:dyDescent="0.35">
      <c r="A102" s="30">
        <f>'DATA UTAMA'!B102</f>
        <v>2019</v>
      </c>
      <c r="B102" s="29">
        <f>'DATA UTAMA'!Z102</f>
        <v>0.12115016560570513</v>
      </c>
      <c r="C102" s="29">
        <f>'DATA UTAMA'!AA102</f>
        <v>92.369509333961673</v>
      </c>
      <c r="D102" s="29">
        <f>'DATA UTAMA'!AB102</f>
        <v>0.60317864059659465</v>
      </c>
      <c r="E102" s="29">
        <f>'DATA UTAMA'!AC102</f>
        <v>0.50363565796026988</v>
      </c>
      <c r="F102" s="29">
        <f>'DATA UTAMA'!AD102</f>
        <v>1.2991345748623744E-2</v>
      </c>
      <c r="G102" s="29">
        <f>'DATA UTAMA'!AE102</f>
        <v>1.9035028551101153E-2</v>
      </c>
      <c r="H102" s="29">
        <f>'DATA UTAMA'!AF102</f>
        <v>0.27868369424612155</v>
      </c>
      <c r="I102" s="29">
        <f>'DATA UTAMA'!AG102</f>
        <v>2.1809027705635122</v>
      </c>
      <c r="J102" s="29">
        <f>'DATA UTAMA'!AH102</f>
        <v>0.31402979178417412</v>
      </c>
      <c r="K102" s="29">
        <f>'DATA UTAMA'!AI102</f>
        <v>46.330275229357795</v>
      </c>
      <c r="L102" s="29">
        <f>'DATA UTAMA'!AJ102</f>
        <v>0.60205775988549948</v>
      </c>
      <c r="M102" s="28">
        <f>'DATA UTAMA'!Y102</f>
        <v>0</v>
      </c>
      <c r="N102" s="19">
        <v>9.5867191286263531E-3</v>
      </c>
      <c r="O102" s="19">
        <v>0.23173237554506743</v>
      </c>
      <c r="P102" s="19">
        <v>1.131739024118591</v>
      </c>
    </row>
    <row r="103" spans="1:16" x14ac:dyDescent="0.35">
      <c r="A103" s="30">
        <f>'DATA UTAMA'!B103</f>
        <v>2020</v>
      </c>
      <c r="B103" s="29">
        <f>'DATA UTAMA'!Z103</f>
        <v>0.1046783560109622</v>
      </c>
      <c r="C103" s="29">
        <f>'DATA UTAMA'!AA103</f>
        <v>74.965694315905537</v>
      </c>
      <c r="D103" s="29">
        <f>'DATA UTAMA'!AB103</f>
        <v>0.56974364410404843</v>
      </c>
      <c r="E103" s="29">
        <f>'DATA UTAMA'!AC103</f>
        <v>0.4973176068610769</v>
      </c>
      <c r="F103" s="29">
        <f>'DATA UTAMA'!AD103</f>
        <v>-0.14556547752875479</v>
      </c>
      <c r="G103" s="29">
        <f>'DATA UTAMA'!AE103</f>
        <v>-0.21573708504184191</v>
      </c>
      <c r="H103" s="29">
        <f>'DATA UTAMA'!AF103</f>
        <v>6.1531412755188336E-2</v>
      </c>
      <c r="I103" s="29">
        <f>'DATA UTAMA'!AG103</f>
        <v>-3.8239273396688582</v>
      </c>
      <c r="J103" s="29">
        <f>'DATA UTAMA'!AH103</f>
        <v>0.35674974271467019</v>
      </c>
      <c r="K103" s="29">
        <f>'DATA UTAMA'!AI103</f>
        <v>-8.0470588235294116</v>
      </c>
      <c r="L103" s="29">
        <f>'DATA UTAMA'!AJ103</f>
        <v>1.1715786674458102</v>
      </c>
      <c r="M103" s="28">
        <f>'DATA UTAMA'!Y103</f>
        <v>0</v>
      </c>
      <c r="N103" s="19">
        <v>-0.10728985084419344</v>
      </c>
      <c r="O103" s="19">
        <v>0.26294439680590087</v>
      </c>
      <c r="P103" s="19">
        <v>0.66001825458695929</v>
      </c>
    </row>
    <row r="104" spans="1:16" x14ac:dyDescent="0.35">
      <c r="A104" s="30">
        <f>'DATA UTAMA'!B104</f>
        <v>2021</v>
      </c>
      <c r="B104" s="29">
        <f>'DATA UTAMA'!Z104</f>
        <v>8.8182776131303028E-2</v>
      </c>
      <c r="C104" s="29">
        <f>'DATA UTAMA'!AA104</f>
        <v>54.796645677963767</v>
      </c>
      <c r="D104" s="29">
        <f>'DATA UTAMA'!AB104</f>
        <v>0.57048744407531504</v>
      </c>
      <c r="E104" s="29">
        <f>'DATA UTAMA'!AC104</f>
        <v>0.51610288141348348</v>
      </c>
      <c r="F104" s="29">
        <f>'DATA UTAMA'!AD104</f>
        <v>-8.3998392502955696E-2</v>
      </c>
      <c r="G104" s="29">
        <f>'DATA UTAMA'!AE104</f>
        <v>-0.1244449650451301</v>
      </c>
      <c r="H104" s="29">
        <f>'DATA UTAMA'!AF104</f>
        <v>0.1305328031392326</v>
      </c>
      <c r="I104" s="29">
        <f>'DATA UTAMA'!AG104</f>
        <v>-1.8835588302422932</v>
      </c>
      <c r="J104" s="29">
        <f>'DATA UTAMA'!AH104</f>
        <v>0.30784826667963699</v>
      </c>
      <c r="K104" s="29">
        <f>'DATA UTAMA'!AI104</f>
        <v>-14.386584289496911</v>
      </c>
      <c r="L104" s="29">
        <f>'DATA UTAMA'!AJ104</f>
        <v>1.2083898861447477</v>
      </c>
      <c r="M104" s="28">
        <f>'DATA UTAMA'!Y104</f>
        <v>0</v>
      </c>
      <c r="N104" s="19">
        <v>-6.4226405037191875E-2</v>
      </c>
      <c r="O104" s="19">
        <v>0.23538530770178842</v>
      </c>
      <c r="P104" s="19">
        <v>0.6470720112414502</v>
      </c>
    </row>
    <row r="105" spans="1:16" x14ac:dyDescent="0.35">
      <c r="A105" s="30">
        <f>'DATA UTAMA'!B105</f>
        <v>2022</v>
      </c>
      <c r="B105" s="29">
        <f>'DATA UTAMA'!Z105</f>
        <v>8.4037935204500994E-2</v>
      </c>
      <c r="C105" s="29">
        <f>'DATA UTAMA'!AA105</f>
        <v>68.188269172201984</v>
      </c>
      <c r="D105" s="29">
        <f>'DATA UTAMA'!AB105</f>
        <v>0.62264727942275189</v>
      </c>
      <c r="E105" s="29">
        <f>'DATA UTAMA'!AC105</f>
        <v>0.54786305989319117</v>
      </c>
      <c r="F105" s="29">
        <f>'DATA UTAMA'!AD105</f>
        <v>-7.8376182632271751E-2</v>
      </c>
      <c r="G105" s="29">
        <f>'DATA UTAMA'!AE105</f>
        <v>-0.10991076543940907</v>
      </c>
      <c r="H105" s="29">
        <f>'DATA UTAMA'!AF105</f>
        <v>0.15643880362694818</v>
      </c>
      <c r="I105" s="29">
        <f>'DATA UTAMA'!AG105</f>
        <v>-4.4290035598117479</v>
      </c>
      <c r="J105" s="29">
        <f>'DATA UTAMA'!AH105</f>
        <v>0.30158296476642737</v>
      </c>
      <c r="K105" s="29">
        <f>'DATA UTAMA'!AI105</f>
        <v>-10.19367991845056</v>
      </c>
      <c r="L105" s="29">
        <f>'DATA UTAMA'!AJ105</f>
        <v>0.79914261898268357</v>
      </c>
      <c r="M105" s="28">
        <f>'DATA UTAMA'!Y105</f>
        <v>0</v>
      </c>
      <c r="N105" s="19">
        <v>-6.0216048268837453E-2</v>
      </c>
      <c r="O105" s="19">
        <v>0.23170475715356897</v>
      </c>
      <c r="P105" s="19">
        <v>0.82442226977725586</v>
      </c>
    </row>
    <row r="106" spans="1:16" x14ac:dyDescent="0.35">
      <c r="A106" s="30">
        <f>'DATA UTAMA'!B106</f>
        <v>2023</v>
      </c>
      <c r="B106" s="29">
        <f>'DATA UTAMA'!Z106</f>
        <v>0.10632876730046315</v>
      </c>
      <c r="C106" s="29">
        <f>'DATA UTAMA'!AA106</f>
        <v>64.212213107354884</v>
      </c>
      <c r="D106" s="29">
        <f>'DATA UTAMA'!AB106</f>
        <v>0.77873481158563684</v>
      </c>
      <c r="E106" s="29">
        <f>'DATA UTAMA'!AC106</f>
        <v>0.66317927091716466</v>
      </c>
      <c r="F106" s="29">
        <f>'DATA UTAMA'!AD106</f>
        <v>-6.7771384097974618E-2</v>
      </c>
      <c r="G106" s="29">
        <f>'DATA UTAMA'!AE106</f>
        <v>-7.9879497555795154E-2</v>
      </c>
      <c r="H106" s="29">
        <f>'DATA UTAMA'!AF106</f>
        <v>0.17738760007251017</v>
      </c>
      <c r="I106" s="29">
        <f>'DATA UTAMA'!AG106</f>
        <v>-4.2052308762156123</v>
      </c>
      <c r="J106" s="29">
        <f>'DATA UTAMA'!AH106</f>
        <v>0.27932264678540863</v>
      </c>
      <c r="K106" s="29">
        <f>'DATA UTAMA'!AI106</f>
        <v>-10.804020100502512</v>
      </c>
      <c r="L106" s="29">
        <f>'DATA UTAMA'!AJ106</f>
        <v>0.73176031501471983</v>
      </c>
      <c r="M106" s="28">
        <f>'DATA UTAMA'!Y106</f>
        <v>0</v>
      </c>
      <c r="N106" s="19">
        <v>-5.2974426950281664E-2</v>
      </c>
      <c r="O106" s="19">
        <v>0.21833635751486993</v>
      </c>
      <c r="P106" s="19">
        <v>1.1667529165071653</v>
      </c>
    </row>
    <row r="107" spans="1:16" x14ac:dyDescent="0.35">
      <c r="A107" s="30">
        <f>'DATA UTAMA'!B107</f>
        <v>2019</v>
      </c>
      <c r="B107" s="29">
        <f>'DATA UTAMA'!Z107</f>
        <v>0.10752625369424321</v>
      </c>
      <c r="C107" s="29">
        <f>'DATA UTAMA'!AA107</f>
        <v>160.40901242947052</v>
      </c>
      <c r="D107" s="29">
        <f>'DATA UTAMA'!AB107</f>
        <v>0.51289814684104573</v>
      </c>
      <c r="E107" s="29">
        <f>'DATA UTAMA'!AC107</f>
        <v>0.54218023815163885</v>
      </c>
      <c r="F107" s="29">
        <f>'DATA UTAMA'!AD107</f>
        <v>2.9755819109986145E-2</v>
      </c>
      <c r="G107" s="29">
        <f>'DATA UTAMA'!AE107</f>
        <v>3.0915100632692715E-2</v>
      </c>
      <c r="H107" s="29">
        <f>'DATA UTAMA'!AF107</f>
        <v>0.39364598479383411</v>
      </c>
      <c r="I107" s="29">
        <f>'DATA UTAMA'!AG107</f>
        <v>1.3310864896728041</v>
      </c>
      <c r="J107" s="29">
        <f>'DATA UTAMA'!AH107</f>
        <v>0.77524198845833581</v>
      </c>
      <c r="K107" s="29">
        <f>'DATA UTAMA'!AI107</f>
        <v>34.765000000000001</v>
      </c>
      <c r="L107" s="29">
        <f>'DATA UTAMA'!AJ107</f>
        <v>0.81165399375090219</v>
      </c>
      <c r="M107" s="28">
        <f>'DATA UTAMA'!Y107</f>
        <v>0</v>
      </c>
      <c r="N107" s="19">
        <v>1.6761556623515219E-2</v>
      </c>
      <c r="O107" s="19">
        <v>0.43669651433356149</v>
      </c>
      <c r="P107" s="19">
        <v>0.51580257878338975</v>
      </c>
    </row>
    <row r="108" spans="1:16" x14ac:dyDescent="0.35">
      <c r="A108" s="30">
        <f>'DATA UTAMA'!B108</f>
        <v>2020</v>
      </c>
      <c r="B108" s="29">
        <f>'DATA UTAMA'!Z108</f>
        <v>5.0309749015292692E-2</v>
      </c>
      <c r="C108" s="29">
        <f>'DATA UTAMA'!AA108</f>
        <v>315.75440176312145</v>
      </c>
      <c r="D108" s="29">
        <f>'DATA UTAMA'!AB108</f>
        <v>0.33654066623312573</v>
      </c>
      <c r="E108" s="29">
        <f>'DATA UTAMA'!AC108</f>
        <v>0.31923408563753775</v>
      </c>
      <c r="F108" s="29">
        <f>'DATA UTAMA'!AD108</f>
        <v>-0.28476550028909847</v>
      </c>
      <c r="G108" s="29">
        <f>'DATA UTAMA'!AE108</f>
        <v>-0.47652218263517004</v>
      </c>
      <c r="H108" s="29">
        <f>'DATA UTAMA'!AF108</f>
        <v>-2.0727371168539413E-2</v>
      </c>
      <c r="I108" s="29">
        <f>'DATA UTAMA'!AG108</f>
        <v>6.9572125724448517</v>
      </c>
      <c r="J108" s="29">
        <f>'DATA UTAMA'!AH108</f>
        <v>0.87195323196513308</v>
      </c>
      <c r="K108" s="29">
        <f>'DATA UTAMA'!AI108</f>
        <v>-1.5578947368421054</v>
      </c>
      <c r="L108" s="29">
        <f>'DATA UTAMA'!AJ108</f>
        <v>0.44471925242214405</v>
      </c>
      <c r="M108" s="28">
        <f>'DATA UTAMA'!Y108</f>
        <v>0</v>
      </c>
      <c r="N108" s="19">
        <v>-0.15212212325954227</v>
      </c>
      <c r="O108" s="19">
        <v>0.46579861989916105</v>
      </c>
      <c r="P108" s="19">
        <v>0.36850712976609712</v>
      </c>
    </row>
    <row r="109" spans="1:16" x14ac:dyDescent="0.35">
      <c r="A109" s="30">
        <f>'DATA UTAMA'!B109</f>
        <v>2021</v>
      </c>
      <c r="B109" s="29">
        <f>'DATA UTAMA'!Z109</f>
        <v>0.10991637692278897</v>
      </c>
      <c r="C109" s="29">
        <f>'DATA UTAMA'!AA109</f>
        <v>104.16453138816222</v>
      </c>
      <c r="D109" s="29">
        <f>'DATA UTAMA'!AB109</f>
        <v>0.44517394960087125</v>
      </c>
      <c r="E109" s="29">
        <f>'DATA UTAMA'!AC109</f>
        <v>0.41998086957468539</v>
      </c>
      <c r="F109" s="29">
        <f>'DATA UTAMA'!AD109</f>
        <v>-8.8687766128724504E-2</v>
      </c>
      <c r="G109" s="29">
        <f>'DATA UTAMA'!AE109</f>
        <v>-0.10298801603572272</v>
      </c>
      <c r="H109" s="29">
        <f>'DATA UTAMA'!AF109</f>
        <v>0.33490736481295952</v>
      </c>
      <c r="I109" s="29">
        <f>'DATA UTAMA'!AG109</f>
        <v>-0.64031573029070932</v>
      </c>
      <c r="J109" s="29">
        <f>'DATA UTAMA'!AH109</f>
        <v>1.0504421252358638</v>
      </c>
      <c r="K109" s="29">
        <f>'DATA UTAMA'!AI109</f>
        <v>-18.109090909090909</v>
      </c>
      <c r="L109" s="29">
        <f>'DATA UTAMA'!AJ109</f>
        <v>1.6273930282344953</v>
      </c>
      <c r="M109" s="28">
        <f>'DATA UTAMA'!Y109</f>
        <v>0</v>
      </c>
      <c r="N109" s="19">
        <v>-4.3252996530454467E-2</v>
      </c>
      <c r="O109" s="19">
        <v>0.51230030455750153</v>
      </c>
      <c r="P109" s="19">
        <v>0.42279250871935725</v>
      </c>
    </row>
    <row r="110" spans="1:16" x14ac:dyDescent="0.35">
      <c r="A110" s="30">
        <f>'DATA UTAMA'!B110</f>
        <v>2022</v>
      </c>
      <c r="B110" s="29">
        <f>'DATA UTAMA'!Z110</f>
        <v>1.0694914427572566</v>
      </c>
      <c r="C110" s="29">
        <f>'DATA UTAMA'!AA110</f>
        <v>56.19259634812235</v>
      </c>
      <c r="D110" s="29">
        <f>'DATA UTAMA'!AB110</f>
        <v>0.7466401315011385</v>
      </c>
      <c r="E110" s="29">
        <f>'DATA UTAMA'!AC110</f>
        <v>0.62903868501459148</v>
      </c>
      <c r="F110" s="29">
        <f>'DATA UTAMA'!AD110</f>
        <v>0.10134973089352103</v>
      </c>
      <c r="G110" s="29">
        <f>'DATA UTAMA'!AE110</f>
        <v>0.10869476222101943</v>
      </c>
      <c r="H110" s="29">
        <f>'DATA UTAMA'!AF110</f>
        <v>0.42581375090846346</v>
      </c>
      <c r="I110" s="29">
        <f>'DATA UTAMA'!AG110</f>
        <v>6.779264051850423</v>
      </c>
      <c r="J110" s="29">
        <f>'DATA UTAMA'!AH110</f>
        <v>0.48230177368482385</v>
      </c>
      <c r="K110" s="29">
        <f>'DATA UTAMA'!AI110</f>
        <v>6.1111111111111107</v>
      </c>
      <c r="L110" s="29">
        <f>'DATA UTAMA'!AJ110</f>
        <v>0.81665808919026306</v>
      </c>
      <c r="M110" s="28">
        <f>'DATA UTAMA'!Y110</f>
        <v>0</v>
      </c>
      <c r="N110" s="19">
        <v>6.8373210295483752E-2</v>
      </c>
      <c r="O110" s="19">
        <v>0.325373538807742</v>
      </c>
      <c r="P110" s="19">
        <v>1.5367187574256882</v>
      </c>
    </row>
    <row r="111" spans="1:16" x14ac:dyDescent="0.35">
      <c r="A111" s="30">
        <f>'DATA UTAMA'!B111</f>
        <v>2023</v>
      </c>
      <c r="B111" s="29">
        <f>'DATA UTAMA'!Z111</f>
        <v>0.87552742629275437</v>
      </c>
      <c r="C111" s="29">
        <f>'DATA UTAMA'!AA111</f>
        <v>18.088638768201285</v>
      </c>
      <c r="D111" s="29">
        <f>'DATA UTAMA'!AB111</f>
        <v>1.0761231789008818</v>
      </c>
      <c r="E111" s="29">
        <f>'DATA UTAMA'!AC111</f>
        <v>0.75939214652426301</v>
      </c>
      <c r="F111" s="29">
        <f>'DATA UTAMA'!AD111</f>
        <v>0.13911431465157931</v>
      </c>
      <c r="G111" s="29">
        <f>'DATA UTAMA'!AE111</f>
        <v>0.11879253683450075</v>
      </c>
      <c r="H111" s="29">
        <f>'DATA UTAMA'!AF111</f>
        <v>0.40320635959293216</v>
      </c>
      <c r="I111" s="29">
        <f>'DATA UTAMA'!AG111</f>
        <v>5.6752898648002477</v>
      </c>
      <c r="J111" s="29">
        <f>'DATA UTAMA'!AH111</f>
        <v>0.54211429232466146</v>
      </c>
      <c r="K111" s="29">
        <f>'DATA UTAMA'!AI111</f>
        <v>7.5909090909090908</v>
      </c>
      <c r="L111" s="29">
        <f>'DATA UTAMA'!AJ111</f>
        <v>1.0691329279438122</v>
      </c>
      <c r="M111" s="28">
        <f>'DATA UTAMA'!Y111</f>
        <v>0</v>
      </c>
      <c r="N111" s="19">
        <v>9.0210119537814104E-2</v>
      </c>
      <c r="O111" s="19">
        <v>0.35153963297198343</v>
      </c>
      <c r="P111" s="19">
        <v>2.9040843167056933</v>
      </c>
    </row>
    <row r="112" spans="1:16" x14ac:dyDescent="0.35">
      <c r="M112" s="27"/>
    </row>
    <row r="113" spans="13:13" x14ac:dyDescent="0.35">
      <c r="M113" s="27"/>
    </row>
    <row r="114" spans="13:13" x14ac:dyDescent="0.35">
      <c r="M114" s="27"/>
    </row>
    <row r="115" spans="13:13" x14ac:dyDescent="0.35">
      <c r="M115" s="27"/>
    </row>
    <row r="116" spans="13:13" x14ac:dyDescent="0.35">
      <c r="M116" s="27"/>
    </row>
    <row r="117" spans="13:13" x14ac:dyDescent="0.35">
      <c r="M117" s="27"/>
    </row>
    <row r="118" spans="13:13" x14ac:dyDescent="0.35">
      <c r="M118" s="27"/>
    </row>
    <row r="119" spans="13:13" x14ac:dyDescent="0.35">
      <c r="M119" s="27"/>
    </row>
    <row r="120" spans="13:13" x14ac:dyDescent="0.35">
      <c r="M120" s="27"/>
    </row>
    <row r="121" spans="13:13" x14ac:dyDescent="0.35">
      <c r="M121" s="27"/>
    </row>
    <row r="122" spans="13:13" x14ac:dyDescent="0.35">
      <c r="M122" s="27"/>
    </row>
    <row r="123" spans="13:13" x14ac:dyDescent="0.35">
      <c r="M123" s="27"/>
    </row>
    <row r="124" spans="13:13" x14ac:dyDescent="0.35">
      <c r="M124" s="27"/>
    </row>
    <row r="125" spans="13:13" x14ac:dyDescent="0.35">
      <c r="M125" s="2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BA5E-0CB4-4F0E-BDEC-53261B4D05D8}">
  <dimension ref="A1:AJ111"/>
  <sheetViews>
    <sheetView zoomScale="101" zoomScaleNormal="55" workbookViewId="0">
      <pane xSplit="3" ySplit="1" topLeftCell="V79" activePane="bottomRight" state="frozen"/>
      <selection pane="topRight" activeCell="H1" sqref="H1"/>
      <selection pane="bottomLeft" activeCell="A12" sqref="A12"/>
      <selection pane="bottomRight" activeCell="W49" sqref="W49"/>
    </sheetView>
  </sheetViews>
  <sheetFormatPr defaultRowHeight="14.5" x14ac:dyDescent="0.35"/>
  <cols>
    <col min="4" max="4" width="34.6328125" customWidth="1"/>
    <col min="5" max="5" width="18.54296875" style="16" bestFit="1" customWidth="1"/>
    <col min="6" max="7" width="18.453125" style="16" bestFit="1" customWidth="1"/>
    <col min="8" max="8" width="17.90625" style="16" bestFit="1" customWidth="1"/>
    <col min="9" max="9" width="18.453125" style="16" bestFit="1" customWidth="1"/>
    <col min="10" max="11" width="17.90625" style="16" bestFit="1" customWidth="1"/>
    <col min="12" max="12" width="22.08984375" style="16" bestFit="1" customWidth="1"/>
    <col min="13" max="13" width="18.453125" style="16" bestFit="1" customWidth="1"/>
    <col min="14" max="16" width="18.08984375" style="16" bestFit="1" customWidth="1"/>
    <col min="17" max="17" width="16.1796875" style="16" bestFit="1" customWidth="1"/>
    <col min="18" max="18" width="13.36328125" style="24" customWidth="1"/>
    <col min="19" max="19" width="11" style="24" bestFit="1" customWidth="1"/>
    <col min="20" max="20" width="20" style="21" bestFit="1" customWidth="1"/>
    <col min="21" max="23" width="8.7265625" style="18"/>
    <col min="24" max="24" width="8.7265625" style="19"/>
    <col min="25" max="25" width="8.7265625" style="20"/>
    <col min="26" max="26" width="9.81640625" style="18" bestFit="1" customWidth="1"/>
    <col min="27" max="31" width="8.7265625" style="18"/>
    <col min="32" max="32" width="9" style="18" customWidth="1"/>
    <col min="33" max="34" width="8.90625" style="18" bestFit="1" customWidth="1"/>
    <col min="35" max="35" width="11.36328125" style="18" bestFit="1" customWidth="1"/>
    <col min="36" max="36" width="9.36328125" style="18" bestFit="1" customWidth="1"/>
  </cols>
  <sheetData>
    <row r="1" spans="1:36" x14ac:dyDescent="0.35">
      <c r="A1" s="6" t="s">
        <v>0</v>
      </c>
      <c r="B1" s="7" t="s">
        <v>3</v>
      </c>
      <c r="C1" s="6" t="s">
        <v>1</v>
      </c>
      <c r="D1" s="6" t="s">
        <v>2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76</v>
      </c>
      <c r="J1" s="8" t="s">
        <v>53</v>
      </c>
      <c r="K1" s="8" t="s">
        <v>54</v>
      </c>
      <c r="L1" s="8" t="s">
        <v>55</v>
      </c>
      <c r="M1" s="8" t="s">
        <v>56</v>
      </c>
      <c r="N1" s="8" t="s">
        <v>57</v>
      </c>
      <c r="O1" s="8" t="s">
        <v>58</v>
      </c>
      <c r="P1" s="8" t="s">
        <v>73</v>
      </c>
      <c r="Q1" s="8" t="s">
        <v>59</v>
      </c>
      <c r="R1" s="8" t="s">
        <v>60</v>
      </c>
      <c r="S1" s="8" t="s">
        <v>61</v>
      </c>
      <c r="T1" s="8" t="s">
        <v>62</v>
      </c>
      <c r="U1" s="9" t="s">
        <v>46</v>
      </c>
      <c r="V1" s="8" t="s">
        <v>47</v>
      </c>
      <c r="W1" s="8" t="s">
        <v>48</v>
      </c>
      <c r="X1" s="13" t="s">
        <v>90</v>
      </c>
      <c r="Y1" s="14" t="s">
        <v>91</v>
      </c>
      <c r="Z1" s="8" t="s">
        <v>92</v>
      </c>
      <c r="AA1" s="8" t="s">
        <v>63</v>
      </c>
      <c r="AB1" s="8" t="s">
        <v>64</v>
      </c>
      <c r="AC1" s="8" t="s">
        <v>65</v>
      </c>
      <c r="AD1" s="8" t="s">
        <v>66</v>
      </c>
      <c r="AE1" s="8" t="s">
        <v>67</v>
      </c>
      <c r="AF1" s="8" t="s">
        <v>68</v>
      </c>
      <c r="AG1" s="8" t="s">
        <v>69</v>
      </c>
      <c r="AH1" s="8" t="s">
        <v>70</v>
      </c>
      <c r="AI1" s="8" t="s">
        <v>71</v>
      </c>
      <c r="AJ1" s="8" t="s">
        <v>72</v>
      </c>
    </row>
    <row r="2" spans="1:36" x14ac:dyDescent="0.35">
      <c r="A2" s="36">
        <v>1</v>
      </c>
      <c r="B2" s="1">
        <v>2019</v>
      </c>
      <c r="C2" s="36" t="s">
        <v>4</v>
      </c>
      <c r="D2" s="36" t="s">
        <v>5</v>
      </c>
      <c r="E2" s="10">
        <v>4177237649</v>
      </c>
      <c r="F2" s="15">
        <v>285177567739</v>
      </c>
      <c r="G2" s="15">
        <v>171206489746</v>
      </c>
      <c r="H2" s="15">
        <v>148724982545</v>
      </c>
      <c r="I2" s="15">
        <v>99631561298</v>
      </c>
      <c r="J2" s="15">
        <v>48013824335</v>
      </c>
      <c r="K2" s="15">
        <v>474271493696</v>
      </c>
      <c r="L2" s="10">
        <f>39472413580+60498269776+154121342+9612796980</f>
        <v>109737601678</v>
      </c>
      <c r="M2" s="15">
        <v>136452585194</v>
      </c>
      <c r="N2" s="15">
        <v>113971077993</v>
      </c>
      <c r="O2" s="15">
        <v>79282385083</v>
      </c>
      <c r="P2" s="15">
        <v>15565079038</v>
      </c>
      <c r="Q2" s="10">
        <v>11481045368</v>
      </c>
      <c r="R2" s="12">
        <v>1145</v>
      </c>
      <c r="S2" s="12">
        <v>5.79</v>
      </c>
      <c r="T2" s="11">
        <v>720000000</v>
      </c>
      <c r="U2" s="35">
        <f>E2/F2</f>
        <v>1.464784794301594E-2</v>
      </c>
      <c r="V2" s="35">
        <f>G2/F2</f>
        <v>0.60035048024075821</v>
      </c>
      <c r="W2" s="35">
        <f>H2/I2</f>
        <v>1.4927496930431572</v>
      </c>
      <c r="X2" s="19">
        <f>-4.336-(4.513*U2)+(5.679*V2)-(0.004*W2)</f>
        <v>-0.99868635925173799</v>
      </c>
      <c r="Y2" s="20">
        <f>IF(X2&gt;0,1,0)</f>
        <v>0</v>
      </c>
      <c r="Z2" s="19">
        <f>J2/I2</f>
        <v>0.48191380030058634</v>
      </c>
      <c r="AA2" s="19">
        <f>L2/(K2/365)</f>
        <v>84.454210604831488</v>
      </c>
      <c r="AB2" s="19">
        <f>K2/M2</f>
        <v>3.4757237689686096</v>
      </c>
      <c r="AC2" s="19">
        <f>K2/F2</f>
        <v>1.6630743345495618</v>
      </c>
      <c r="AD2" s="17">
        <f>E2/N2</f>
        <v>3.6651734129044232E-2</v>
      </c>
      <c r="AE2" s="17">
        <f>E2/K2</f>
        <v>8.8076928605739443E-3</v>
      </c>
      <c r="AF2" s="19">
        <f>O2/K2</f>
        <v>0.16716666748227266</v>
      </c>
      <c r="AG2" s="19">
        <f>P2/Q2</f>
        <v>1.3557196700383249</v>
      </c>
      <c r="AH2" s="19">
        <f>G2/N2</f>
        <v>1.5021924225066587</v>
      </c>
      <c r="AI2" s="19">
        <f>R2/(S2)</f>
        <v>197.75474956822106</v>
      </c>
      <c r="AJ2" s="19">
        <f>R2/(N2/T2)</f>
        <v>7.2334140776542792</v>
      </c>
    </row>
    <row r="3" spans="1:36" x14ac:dyDescent="0.35">
      <c r="A3" s="36"/>
      <c r="B3" s="2">
        <v>2020</v>
      </c>
      <c r="C3" s="36"/>
      <c r="D3" s="36"/>
      <c r="E3" s="16">
        <v>3036178470</v>
      </c>
      <c r="F3" s="15">
        <v>298261244290</v>
      </c>
      <c r="G3" s="15">
        <v>191770130645</v>
      </c>
      <c r="H3" s="15">
        <v>165109516135</v>
      </c>
      <c r="I3" s="15">
        <v>114959432645</v>
      </c>
      <c r="J3" s="15">
        <v>69209954230</v>
      </c>
      <c r="K3" s="15">
        <v>521617491481</v>
      </c>
      <c r="L3" s="10">
        <f>43431437353+50831059375+281434730+11575675075</f>
        <v>106119606533</v>
      </c>
      <c r="M3" s="15">
        <v>133151728155</v>
      </c>
      <c r="N3" s="15">
        <v>106491113645</v>
      </c>
      <c r="O3" s="15">
        <v>56938428486</v>
      </c>
      <c r="P3" s="15">
        <v>6342659779</v>
      </c>
      <c r="Q3" s="10">
        <v>10054000388</v>
      </c>
      <c r="R3" s="12">
        <v>414</v>
      </c>
      <c r="S3" s="12">
        <v>4.1900000000000004</v>
      </c>
      <c r="T3" s="11">
        <v>720000000</v>
      </c>
      <c r="U3" s="35">
        <f t="shared" ref="U3:U66" si="0">E3/F3</f>
        <v>1.0179594325865272E-2</v>
      </c>
      <c r="V3" s="35">
        <f t="shared" ref="V3:V66" si="1">G3/F3</f>
        <v>0.64296027162865832</v>
      </c>
      <c r="W3" s="35">
        <f t="shared" ref="W3:W66" si="2">H3/I3</f>
        <v>1.4362415709275964</v>
      </c>
      <c r="X3" s="19">
        <f t="shared" ref="X3:X66" si="3">-4.336-(4.513*U3)+(5.679*V3)-(0.004*W3)</f>
        <v>-0.73631409289719008</v>
      </c>
      <c r="Y3" s="20">
        <f t="shared" ref="Y3:Y66" si="4">IF(X3&gt;0,1,0)</f>
        <v>0</v>
      </c>
      <c r="Z3" s="19">
        <f t="shared" ref="Z3:Z66" si="5">J3/I3</f>
        <v>0.60203806366828128</v>
      </c>
      <c r="AA3" s="19">
        <f t="shared" ref="AA3:AA66" si="6">L3/(K3/365)</f>
        <v>74.256820404106179</v>
      </c>
      <c r="AB3" s="19">
        <f t="shared" ref="AB3:AB66" si="7">K3/M3</f>
        <v>3.9174669282083414</v>
      </c>
      <c r="AC3" s="19">
        <f t="shared" ref="AC3:AC66" si="8">K3/F3</f>
        <v>1.7488611124207283</v>
      </c>
      <c r="AD3" s="17">
        <f t="shared" ref="AD3:AD66" si="9">E3/N3</f>
        <v>2.8511096992763541E-2</v>
      </c>
      <c r="AE3" s="17">
        <f t="shared" ref="AE3:AE66" si="10">E3/K3</f>
        <v>5.8206991130215829E-3</v>
      </c>
      <c r="AF3" s="19">
        <f t="shared" ref="AF3:AF66" si="11">O3/K3</f>
        <v>0.109157437041342</v>
      </c>
      <c r="AG3" s="19">
        <f t="shared" ref="AG3:AG66" si="12">P3/Q3</f>
        <v>0.63085931313174726</v>
      </c>
      <c r="AH3" s="19">
        <f t="shared" ref="AH3:AH66" si="13">G3/N3</f>
        <v>1.8008087631075689</v>
      </c>
      <c r="AI3" s="19">
        <f t="shared" ref="AI3:AI66" si="14">R3/(S3)</f>
        <v>98.806682577565624</v>
      </c>
      <c r="AJ3" s="19">
        <f t="shared" ref="AJ3:AJ66" si="15">R3/(N3/T3)</f>
        <v>2.799106796776329</v>
      </c>
    </row>
    <row r="4" spans="1:36" x14ac:dyDescent="0.35">
      <c r="A4" s="36"/>
      <c r="B4" s="3">
        <v>2021</v>
      </c>
      <c r="C4" s="36"/>
      <c r="D4" s="36"/>
      <c r="E4" s="10">
        <v>24226913508</v>
      </c>
      <c r="F4" s="10">
        <v>275990708661</v>
      </c>
      <c r="G4" s="10">
        <v>145261996537</v>
      </c>
      <c r="H4" s="10">
        <v>150043015990</v>
      </c>
      <c r="I4" s="10">
        <v>83977625835</v>
      </c>
      <c r="J4" s="10">
        <v>87666978826</v>
      </c>
      <c r="K4" s="10">
        <v>479636030718</v>
      </c>
      <c r="L4" s="16">
        <f>28263459753+30921202245+189815822+10547148879</f>
        <v>69921626699</v>
      </c>
      <c r="M4" s="10">
        <v>125947692671</v>
      </c>
      <c r="N4" s="10">
        <v>130728712124</v>
      </c>
      <c r="O4" s="10">
        <v>88280189810</v>
      </c>
      <c r="P4" s="10">
        <v>50466633248</v>
      </c>
      <c r="Q4" s="10">
        <v>8688921218</v>
      </c>
      <c r="R4" s="12">
        <v>885</v>
      </c>
      <c r="S4" s="12">
        <v>33.56</v>
      </c>
      <c r="T4" s="11">
        <v>720000000</v>
      </c>
      <c r="U4" s="35">
        <f t="shared" si="0"/>
        <v>8.7781627234987725E-2</v>
      </c>
      <c r="V4" s="35">
        <f t="shared" si="1"/>
        <v>0.52632930014838153</v>
      </c>
      <c r="W4" s="35">
        <f t="shared" si="2"/>
        <v>1.7867022852587651</v>
      </c>
      <c r="X4" s="19">
        <f t="shared" si="3"/>
        <v>-1.7502811973098766</v>
      </c>
      <c r="Y4" s="20">
        <f t="shared" si="4"/>
        <v>0</v>
      </c>
      <c r="Z4" s="19">
        <f t="shared" si="5"/>
        <v>1.0439325707808038</v>
      </c>
      <c r="AA4" s="19">
        <f t="shared" si="6"/>
        <v>53.209917751446405</v>
      </c>
      <c r="AB4" s="19">
        <f t="shared" si="7"/>
        <v>3.8082160978597925</v>
      </c>
      <c r="AC4" s="19">
        <f t="shared" si="8"/>
        <v>1.7378702096349845</v>
      </c>
      <c r="AD4" s="17">
        <f t="shared" si="9"/>
        <v>0.18532205446206848</v>
      </c>
      <c r="AE4" s="17">
        <f t="shared" si="10"/>
        <v>5.051103744590054E-2</v>
      </c>
      <c r="AF4" s="19">
        <f t="shared" si="11"/>
        <v>0.1840566266004815</v>
      </c>
      <c r="AG4" s="19">
        <f t="shared" si="12"/>
        <v>5.8081586864262436</v>
      </c>
      <c r="AH4" s="19">
        <f t="shared" si="13"/>
        <v>1.1111713270701753</v>
      </c>
      <c r="AI4" s="19">
        <f t="shared" si="14"/>
        <v>26.37067938021454</v>
      </c>
      <c r="AJ4" s="19">
        <f t="shared" si="15"/>
        <v>4.8742161507381576</v>
      </c>
    </row>
    <row r="5" spans="1:36" x14ac:dyDescent="0.35">
      <c r="A5" s="36"/>
      <c r="B5" s="4">
        <v>2022</v>
      </c>
      <c r="C5" s="36"/>
      <c r="D5" s="36"/>
      <c r="E5" s="10">
        <v>46968832530</v>
      </c>
      <c r="F5" s="10">
        <v>366151031018</v>
      </c>
      <c r="G5" s="10">
        <v>188462418370</v>
      </c>
      <c r="H5" s="10">
        <v>178893247612</v>
      </c>
      <c r="I5" s="10">
        <v>118788125755</v>
      </c>
      <c r="J5" s="10">
        <v>86093203758</v>
      </c>
      <c r="K5" s="10">
        <v>484127494223</v>
      </c>
      <c r="L5" s="10">
        <f>23992085978+64852118775+731175691+693534612+11493786498</f>
        <v>101762701554</v>
      </c>
      <c r="M5" s="10">
        <v>187257783406</v>
      </c>
      <c r="N5" s="10">
        <v>177688612648</v>
      </c>
      <c r="O5" s="10">
        <v>109777025497</v>
      </c>
      <c r="P5" s="10">
        <v>58460771091</v>
      </c>
      <c r="Q5" s="10">
        <v>8622726777</v>
      </c>
      <c r="R5" s="12">
        <v>290</v>
      </c>
      <c r="S5" s="12">
        <v>65.010000000000005</v>
      </c>
      <c r="T5" s="11">
        <v>720000000</v>
      </c>
      <c r="U5" s="35">
        <f t="shared" si="0"/>
        <v>0.12827720954223126</v>
      </c>
      <c r="V5" s="35">
        <f t="shared" si="1"/>
        <v>0.51471224277594663</v>
      </c>
      <c r="W5" s="35">
        <f t="shared" si="2"/>
        <v>1.5059859432496356</v>
      </c>
      <c r="X5" s="19">
        <f t="shared" si="3"/>
        <v>-1.9978881637124875</v>
      </c>
      <c r="Y5" s="20">
        <f t="shared" si="4"/>
        <v>0</v>
      </c>
      <c r="Z5" s="19">
        <f t="shared" si="5"/>
        <v>0.72476270848457414</v>
      </c>
      <c r="AA5" s="19">
        <f t="shared" si="6"/>
        <v>76.722323169898132</v>
      </c>
      <c r="AB5" s="19">
        <f t="shared" si="7"/>
        <v>2.5853531181309917</v>
      </c>
      <c r="AC5" s="19">
        <f t="shared" si="8"/>
        <v>1.3222071036560874</v>
      </c>
      <c r="AD5" s="17">
        <f t="shared" si="9"/>
        <v>0.26433225984517622</v>
      </c>
      <c r="AE5" s="17">
        <f t="shared" si="10"/>
        <v>9.701748628299367E-2</v>
      </c>
      <c r="AF5" s="19">
        <f t="shared" si="11"/>
        <v>0.2267523055536983</v>
      </c>
      <c r="AG5" s="19">
        <f t="shared" si="12"/>
        <v>6.7798473270585919</v>
      </c>
      <c r="AH5" s="19">
        <f t="shared" si="13"/>
        <v>1.0606330679352134</v>
      </c>
      <c r="AI5" s="19">
        <f t="shared" si="14"/>
        <v>4.460852176588217</v>
      </c>
      <c r="AJ5" s="19">
        <f t="shared" si="15"/>
        <v>1.1750893706037959</v>
      </c>
    </row>
    <row r="6" spans="1:36" x14ac:dyDescent="0.35">
      <c r="A6" s="36"/>
      <c r="B6" s="5">
        <v>2023</v>
      </c>
      <c r="C6" s="36"/>
      <c r="D6" s="36"/>
      <c r="E6" s="10">
        <v>11769675458</v>
      </c>
      <c r="F6" s="10">
        <v>321354170526</v>
      </c>
      <c r="G6" s="10">
        <v>132883054676</v>
      </c>
      <c r="H6" s="10">
        <v>132678865175</v>
      </c>
      <c r="I6" s="10">
        <v>82521507639</v>
      </c>
      <c r="J6" s="10">
        <v>63299660285</v>
      </c>
      <c r="K6" s="10">
        <v>431489505362</v>
      </c>
      <c r="L6" s="10">
        <f>32605002033+32563152230+467004750+603161563+23383220075</f>
        <v>89621540651</v>
      </c>
      <c r="M6" s="10">
        <v>188675305351</v>
      </c>
      <c r="N6" s="10">
        <v>188471115850</v>
      </c>
      <c r="O6" s="10">
        <v>58299106532</v>
      </c>
      <c r="P6" s="10">
        <v>825138100</v>
      </c>
      <c r="Q6" s="10">
        <v>6534413671</v>
      </c>
      <c r="R6" s="12">
        <v>141</v>
      </c>
      <c r="S6" s="12">
        <v>16.3</v>
      </c>
      <c r="T6" s="11">
        <v>720000000</v>
      </c>
      <c r="U6" s="35">
        <f t="shared" si="0"/>
        <v>3.6625245717941422E-2</v>
      </c>
      <c r="V6" s="35">
        <f t="shared" si="1"/>
        <v>0.41350966274529416</v>
      </c>
      <c r="W6" s="35">
        <f t="shared" si="2"/>
        <v>1.6078095150105502</v>
      </c>
      <c r="X6" s="19">
        <f t="shared" si="3"/>
        <v>-2.1593995972545867</v>
      </c>
      <c r="Y6" s="20">
        <f t="shared" si="4"/>
        <v>0</v>
      </c>
      <c r="Z6" s="19">
        <f t="shared" si="5"/>
        <v>0.76706863575386641</v>
      </c>
      <c r="AA6" s="19">
        <f t="shared" si="6"/>
        <v>75.811490038839381</v>
      </c>
      <c r="AB6" s="19">
        <f t="shared" si="7"/>
        <v>2.2869421335202471</v>
      </c>
      <c r="AC6" s="19">
        <f t="shared" si="8"/>
        <v>1.3427225937529546</v>
      </c>
      <c r="AD6" s="17">
        <f t="shared" si="9"/>
        <v>6.2448165624313622E-2</v>
      </c>
      <c r="AE6" s="17">
        <f t="shared" si="10"/>
        <v>2.727685218699764E-2</v>
      </c>
      <c r="AF6" s="19">
        <f t="shared" si="11"/>
        <v>0.13511129658435078</v>
      </c>
      <c r="AG6" s="19">
        <f t="shared" si="12"/>
        <v>0.12627576727534059</v>
      </c>
      <c r="AH6" s="19">
        <f t="shared" si="13"/>
        <v>0.70505792931028588</v>
      </c>
      <c r="AI6" s="19">
        <f t="shared" si="14"/>
        <v>8.6503067484662566</v>
      </c>
      <c r="AJ6" s="19">
        <f t="shared" si="15"/>
        <v>0.53865017746696808</v>
      </c>
    </row>
    <row r="7" spans="1:36" x14ac:dyDescent="0.35">
      <c r="A7" s="36">
        <v>2</v>
      </c>
      <c r="B7" s="1">
        <v>2019</v>
      </c>
      <c r="C7" s="36" t="s">
        <v>6</v>
      </c>
      <c r="D7" s="36" t="s">
        <v>7</v>
      </c>
      <c r="E7" s="10">
        <v>91614940880</v>
      </c>
      <c r="F7" s="10">
        <v>4849223630042</v>
      </c>
      <c r="G7" s="10">
        <v>3511071376393</v>
      </c>
      <c r="H7" s="10">
        <v>652506417924</v>
      </c>
      <c r="I7" s="10">
        <v>1240237695433</v>
      </c>
      <c r="J7" s="10">
        <v>254557421382</v>
      </c>
      <c r="K7" s="10">
        <v>2334222192085</v>
      </c>
      <c r="L7" s="10">
        <f>286181149731+85162620+12601740176+10000000+22037099464</f>
        <v>320915151991</v>
      </c>
      <c r="M7" s="10">
        <v>4196717212118</v>
      </c>
      <c r="N7" s="10">
        <v>1338152253649</v>
      </c>
      <c r="O7" s="10">
        <v>744485589741</v>
      </c>
      <c r="P7" s="10">
        <v>349468567650</v>
      </c>
      <c r="Q7" s="10">
        <v>244118069213</v>
      </c>
      <c r="R7" s="12">
        <v>682.89</v>
      </c>
      <c r="S7" s="12">
        <v>32.5</v>
      </c>
      <c r="T7" s="11">
        <v>3397500000</v>
      </c>
      <c r="U7" s="35">
        <f t="shared" si="0"/>
        <v>1.8892702805543019E-2</v>
      </c>
      <c r="V7" s="35">
        <f t="shared" si="1"/>
        <v>0.72404814548892849</v>
      </c>
      <c r="W7" s="35">
        <f t="shared" si="2"/>
        <v>0.5261140024422436</v>
      </c>
      <c r="X7" s="19">
        <f t="shared" si="3"/>
        <v>-0.31149780553955991</v>
      </c>
      <c r="Y7" s="20">
        <f t="shared" si="4"/>
        <v>0</v>
      </c>
      <c r="Z7" s="19">
        <f t="shared" si="5"/>
        <v>0.20524889891620915</v>
      </c>
      <c r="AA7" s="19">
        <f t="shared" si="6"/>
        <v>50.181182782812641</v>
      </c>
      <c r="AB7" s="19">
        <f t="shared" si="7"/>
        <v>0.55620192500579857</v>
      </c>
      <c r="AC7" s="19">
        <f t="shared" si="8"/>
        <v>0.48135998051811502</v>
      </c>
      <c r="AD7" s="17">
        <f t="shared" si="9"/>
        <v>6.8463764590446063E-2</v>
      </c>
      <c r="AE7" s="17">
        <f t="shared" si="10"/>
        <v>3.9248594752741457E-2</v>
      </c>
      <c r="AF7" s="19">
        <f t="shared" si="11"/>
        <v>0.31894375448294504</v>
      </c>
      <c r="AG7" s="19">
        <f t="shared" si="12"/>
        <v>1.4315555123659391</v>
      </c>
      <c r="AH7" s="19">
        <f t="shared" si="13"/>
        <v>2.623820545695513</v>
      </c>
      <c r="AI7" s="19">
        <f t="shared" si="14"/>
        <v>21.012</v>
      </c>
      <c r="AJ7" s="19">
        <f t="shared" si="15"/>
        <v>1.7338227161171538</v>
      </c>
    </row>
    <row r="8" spans="1:36" x14ac:dyDescent="0.35">
      <c r="A8" s="36"/>
      <c r="B8" s="2">
        <v>2020</v>
      </c>
      <c r="C8" s="36"/>
      <c r="D8" s="36"/>
      <c r="E8" s="10">
        <v>63896421980</v>
      </c>
      <c r="F8" s="10">
        <v>5170895098267</v>
      </c>
      <c r="G8" s="10">
        <v>3731575182568</v>
      </c>
      <c r="H8" s="10">
        <v>627688164688</v>
      </c>
      <c r="I8" s="10">
        <v>1436932364028</v>
      </c>
      <c r="J8" s="10">
        <v>191818184928</v>
      </c>
      <c r="K8" s="10">
        <v>3037359367967</v>
      </c>
      <c r="L8" s="10">
        <f>338051666008+72945003+10520703127+6766132570+39179748927</f>
        <v>394591195635</v>
      </c>
      <c r="M8" s="10">
        <v>4543206933579</v>
      </c>
      <c r="N8" s="10">
        <v>1439319915699</v>
      </c>
      <c r="O8" s="10">
        <v>790110461593</v>
      </c>
      <c r="P8" s="10">
        <v>312548180015</v>
      </c>
      <c r="Q8" s="10">
        <v>253554304418</v>
      </c>
      <c r="R8" s="12">
        <v>585.99</v>
      </c>
      <c r="S8" s="12">
        <v>25.65</v>
      </c>
      <c r="T8" s="11">
        <v>3397500000</v>
      </c>
      <c r="U8" s="35">
        <f t="shared" si="0"/>
        <v>1.235693642313776E-2</v>
      </c>
      <c r="V8" s="35">
        <f t="shared" si="1"/>
        <v>0.72164975534286491</v>
      </c>
      <c r="W8" s="35">
        <f t="shared" si="2"/>
        <v>0.43682512858745026</v>
      </c>
      <c r="X8" s="19">
        <f t="shared" si="3"/>
        <v>-0.2952651939998403</v>
      </c>
      <c r="Y8" s="20">
        <f t="shared" si="4"/>
        <v>0</v>
      </c>
      <c r="Z8" s="19">
        <f t="shared" si="5"/>
        <v>0.13349145007096677</v>
      </c>
      <c r="AA8" s="19">
        <f t="shared" si="6"/>
        <v>47.418092151267558</v>
      </c>
      <c r="AB8" s="19">
        <f t="shared" si="7"/>
        <v>0.66854964177787535</v>
      </c>
      <c r="AC8" s="19">
        <f>K8/F8</f>
        <v>0.58739527881448528</v>
      </c>
      <c r="AD8" s="17">
        <f t="shared" si="9"/>
        <v>4.4393481451251202E-2</v>
      </c>
      <c r="AE8" s="17">
        <f t="shared" si="10"/>
        <v>2.1036833064231014E-2</v>
      </c>
      <c r="AF8" s="19">
        <f t="shared" si="11"/>
        <v>0.26013071417421568</v>
      </c>
      <c r="AG8" s="19">
        <f t="shared" si="12"/>
        <v>1.2326676162426529</v>
      </c>
      <c r="AH8" s="19">
        <f t="shared" si="13"/>
        <v>2.5925960878237242</v>
      </c>
      <c r="AI8" s="19">
        <f t="shared" si="14"/>
        <v>22.845614035087721</v>
      </c>
      <c r="AJ8" s="19">
        <f t="shared" si="15"/>
        <v>1.3832234260672527</v>
      </c>
    </row>
    <row r="9" spans="1:36" x14ac:dyDescent="0.35">
      <c r="A9" s="36"/>
      <c r="B9" s="3">
        <v>2021</v>
      </c>
      <c r="C9" s="36"/>
      <c r="D9" s="36"/>
      <c r="E9" s="10">
        <v>159581031996</v>
      </c>
      <c r="F9" s="10">
        <v>6031946733670</v>
      </c>
      <c r="G9" s="10">
        <v>4266438743626</v>
      </c>
      <c r="H9" s="10">
        <v>1061788861867</v>
      </c>
      <c r="I9" s="10">
        <v>1182732810012</v>
      </c>
      <c r="J9" s="10">
        <v>446907759076</v>
      </c>
      <c r="K9" s="10">
        <v>5088094179374</v>
      </c>
      <c r="L9" s="10">
        <f>330486721651+150242235+4788327555+1502634485+204361896300</f>
        <v>541289822226</v>
      </c>
      <c r="M9" s="10">
        <v>4970157871803</v>
      </c>
      <c r="N9" s="10">
        <v>1765507990044</v>
      </c>
      <c r="O9" s="10">
        <v>1056701625742</v>
      </c>
      <c r="P9" s="10">
        <v>466220069594</v>
      </c>
      <c r="Q9" s="10">
        <v>238893008385</v>
      </c>
      <c r="R9" s="12">
        <v>3320</v>
      </c>
      <c r="S9" s="12">
        <v>41.21</v>
      </c>
      <c r="T9" s="11">
        <v>3561731720</v>
      </c>
      <c r="U9" s="35">
        <f t="shared" si="0"/>
        <v>2.6455975001441461E-2</v>
      </c>
      <c r="V9" s="35">
        <f t="shared" si="1"/>
        <v>0.70730709868689157</v>
      </c>
      <c r="W9" s="35">
        <f t="shared" si="2"/>
        <v>0.89774195226411879</v>
      </c>
      <c r="X9" s="19">
        <f t="shared" si="3"/>
        <v>-0.44218976954770511</v>
      </c>
      <c r="Y9" s="20">
        <f t="shared" si="4"/>
        <v>0</v>
      </c>
      <c r="Z9" s="19">
        <f t="shared" si="5"/>
        <v>0.37786028703428431</v>
      </c>
      <c r="AA9" s="19">
        <f t="shared" si="6"/>
        <v>38.830017320315712</v>
      </c>
      <c r="AB9" s="19">
        <f t="shared" si="7"/>
        <v>1.0237288856034299</v>
      </c>
      <c r="AC9" s="19">
        <f t="shared" si="8"/>
        <v>0.84352438839894484</v>
      </c>
      <c r="AD9" s="17">
        <f t="shared" si="9"/>
        <v>9.0388167539260419E-2</v>
      </c>
      <c r="AE9" s="17">
        <f t="shared" si="10"/>
        <v>3.1363615996517116E-2</v>
      </c>
      <c r="AF9" s="19">
        <f t="shared" si="11"/>
        <v>0.20768122375282141</v>
      </c>
      <c r="AG9" s="19">
        <f t="shared" si="12"/>
        <v>1.9515852420537971</v>
      </c>
      <c r="AH9" s="19">
        <f t="shared" si="13"/>
        <v>2.4165502323893033</v>
      </c>
      <c r="AI9" s="19">
        <f t="shared" si="14"/>
        <v>80.562970152875508</v>
      </c>
      <c r="AJ9" s="19">
        <f t="shared" si="15"/>
        <v>6.6977602917023891</v>
      </c>
    </row>
    <row r="10" spans="1:36" x14ac:dyDescent="0.35">
      <c r="A10" s="36"/>
      <c r="B10" s="4">
        <v>2022</v>
      </c>
      <c r="C10" s="36"/>
      <c r="D10" s="36"/>
      <c r="E10" s="10">
        <v>3704328643</v>
      </c>
      <c r="F10" s="10">
        <v>7268436910723</v>
      </c>
      <c r="G10" s="10">
        <v>4797579648309</v>
      </c>
      <c r="H10" s="10">
        <v>1545235102845</v>
      </c>
      <c r="I10" s="10">
        <v>1792267563348</v>
      </c>
      <c r="J10" s="10">
        <v>932179305327</v>
      </c>
      <c r="K10" s="10">
        <v>5870093882006</v>
      </c>
      <c r="L10" s="10">
        <f>301535033582+3660166072+24613447382+169746730059</f>
        <v>499555377095</v>
      </c>
      <c r="M10" s="10">
        <v>5723201807878</v>
      </c>
      <c r="N10" s="10">
        <v>2470857262414</v>
      </c>
      <c r="O10" s="10">
        <v>1081950085375</v>
      </c>
      <c r="P10" s="10">
        <v>267788674425</v>
      </c>
      <c r="Q10" s="10">
        <v>264307146703</v>
      </c>
      <c r="R10" s="12">
        <v>775</v>
      </c>
      <c r="S10" s="12">
        <v>28.89</v>
      </c>
      <c r="T10" s="11">
        <v>3566394560</v>
      </c>
      <c r="U10" s="35">
        <f t="shared" si="0"/>
        <v>5.0964584112095238E-4</v>
      </c>
      <c r="V10" s="35">
        <f t="shared" si="1"/>
        <v>0.66005658537549017</v>
      </c>
      <c r="W10" s="35">
        <f t="shared" si="2"/>
        <v>0.86216764418726788</v>
      </c>
      <c r="X10" s="19">
        <f t="shared" si="3"/>
        <v>-0.59328735391031906</v>
      </c>
      <c r="Y10" s="20">
        <f t="shared" si="4"/>
        <v>0</v>
      </c>
      <c r="Z10" s="19">
        <f t="shared" si="5"/>
        <v>0.52011168666449892</v>
      </c>
      <c r="AA10" s="19">
        <f t="shared" si="6"/>
        <v>31.062145905128919</v>
      </c>
      <c r="AB10" s="19">
        <f t="shared" si="7"/>
        <v>1.0256660657895731</v>
      </c>
      <c r="AC10" s="19">
        <f t="shared" si="8"/>
        <v>0.80761434048439651</v>
      </c>
      <c r="AD10" s="17">
        <f t="shared" si="9"/>
        <v>1.4992078657675727E-3</v>
      </c>
      <c r="AE10" s="17">
        <f t="shared" si="10"/>
        <v>6.3105100488343663E-4</v>
      </c>
      <c r="AF10" s="19">
        <f t="shared" si="11"/>
        <v>0.18431563568200768</v>
      </c>
      <c r="AG10" s="19">
        <f t="shared" si="12"/>
        <v>1.0131722799229192</v>
      </c>
      <c r="AH10" s="19">
        <f t="shared" si="13"/>
        <v>1.9416660449344687</v>
      </c>
      <c r="AI10" s="19">
        <f t="shared" si="14"/>
        <v>26.825891311872621</v>
      </c>
      <c r="AJ10" s="19">
        <f t="shared" si="15"/>
        <v>1.1186221988799327</v>
      </c>
    </row>
    <row r="11" spans="1:36" x14ac:dyDescent="0.35">
      <c r="A11" s="36"/>
      <c r="B11" s="5">
        <v>2023</v>
      </c>
      <c r="C11" s="36"/>
      <c r="D11" s="36"/>
      <c r="E11" s="10">
        <v>19430173976</v>
      </c>
      <c r="F11" s="10">
        <v>7335797636072</v>
      </c>
      <c r="G11" s="10">
        <v>4733321354845</v>
      </c>
      <c r="H11" s="10">
        <v>1466081219253</v>
      </c>
      <c r="I11" s="10">
        <v>1663304123364</v>
      </c>
      <c r="J11" s="10">
        <v>760177608533</v>
      </c>
      <c r="K11" s="10">
        <v>4438522306494</v>
      </c>
      <c r="L11" s="10">
        <f>307774801535+2939616999+25247287734+125288900411</f>
        <v>461250606679</v>
      </c>
      <c r="M11" s="10">
        <v>5869716416819</v>
      </c>
      <c r="N11" s="10">
        <v>2602476281227</v>
      </c>
      <c r="O11" s="10">
        <v>1112147898899</v>
      </c>
      <c r="P11" s="10">
        <v>326081060288</v>
      </c>
      <c r="Q11" s="10">
        <v>272430716453</v>
      </c>
      <c r="R11" s="12">
        <v>790</v>
      </c>
      <c r="S11" s="12">
        <v>28.68</v>
      </c>
      <c r="T11" s="11">
        <v>3691137517</v>
      </c>
      <c r="U11" s="35">
        <f t="shared" si="0"/>
        <v>2.6486791130192642E-3</v>
      </c>
      <c r="V11" s="35">
        <f t="shared" si="1"/>
        <v>0.64523608606241312</v>
      </c>
      <c r="W11" s="35">
        <f t="shared" si="2"/>
        <v>0.8814270334927562</v>
      </c>
      <c r="X11" s="19">
        <f t="shared" si="3"/>
        <v>-0.68718346422258336</v>
      </c>
      <c r="Y11" s="20">
        <f t="shared" si="4"/>
        <v>0</v>
      </c>
      <c r="Z11" s="19">
        <f t="shared" si="5"/>
        <v>0.45702863225971907</v>
      </c>
      <c r="AA11" s="19">
        <f t="shared" si="6"/>
        <v>37.930748076113694</v>
      </c>
      <c r="AB11" s="19">
        <f t="shared" si="7"/>
        <v>0.75617321030636553</v>
      </c>
      <c r="AC11" s="19">
        <f t="shared" si="8"/>
        <v>0.60504972011068658</v>
      </c>
      <c r="AD11" s="17">
        <f t="shared" si="9"/>
        <v>7.4660330686430604E-3</v>
      </c>
      <c r="AE11" s="17">
        <f t="shared" si="10"/>
        <v>4.3776222432343574E-3</v>
      </c>
      <c r="AF11" s="19">
        <f t="shared" si="11"/>
        <v>0.25056715323291651</v>
      </c>
      <c r="AG11" s="19">
        <f t="shared" si="12"/>
        <v>1.1969320660075267</v>
      </c>
      <c r="AH11" s="19">
        <f t="shared" si="13"/>
        <v>1.8187759823168732</v>
      </c>
      <c r="AI11" s="19">
        <f t="shared" si="14"/>
        <v>27.545327754532774</v>
      </c>
      <c r="AJ11" s="19">
        <f t="shared" si="15"/>
        <v>1.1204707837164927</v>
      </c>
    </row>
    <row r="12" spans="1:36" x14ac:dyDescent="0.35">
      <c r="A12" s="36">
        <v>3</v>
      </c>
      <c r="B12" s="1">
        <v>2019</v>
      </c>
      <c r="C12" s="36" t="s">
        <v>8</v>
      </c>
      <c r="D12" s="36" t="s">
        <v>9</v>
      </c>
      <c r="E12" s="10">
        <v>315622000000</v>
      </c>
      <c r="F12" s="10">
        <v>7424304000000</v>
      </c>
      <c r="G12" s="10">
        <v>2016202000000</v>
      </c>
      <c r="H12" s="10">
        <v>938785000000</v>
      </c>
      <c r="I12" s="10">
        <v>753515000000</v>
      </c>
      <c r="J12" s="10">
        <v>462947000000</v>
      </c>
      <c r="K12" s="10">
        <v>4047691000000</v>
      </c>
      <c r="L12" s="10">
        <f>179927000000+7278000000+114385000000+5224000000</f>
        <v>306814000000</v>
      </c>
      <c r="M12" s="10">
        <v>6485519000000</v>
      </c>
      <c r="N12" s="10">
        <v>5408102000000</v>
      </c>
      <c r="O12" s="10">
        <v>1095464000000</v>
      </c>
      <c r="P12" s="10">
        <v>371949000000</v>
      </c>
      <c r="Q12" s="10">
        <v>80696000000</v>
      </c>
      <c r="R12" s="12">
        <v>2490</v>
      </c>
      <c r="S12" s="12">
        <v>126</v>
      </c>
      <c r="T12" s="11">
        <v>2502100000</v>
      </c>
      <c r="U12" s="35">
        <f t="shared" si="0"/>
        <v>4.2511998431098728E-2</v>
      </c>
      <c r="V12" s="35">
        <f t="shared" si="1"/>
        <v>0.27156781295593502</v>
      </c>
      <c r="W12" s="35">
        <f t="shared" si="2"/>
        <v>1.2458743356137569</v>
      </c>
      <c r="X12" s="19">
        <f t="shared" si="3"/>
        <v>-2.9906065364852492</v>
      </c>
      <c r="Y12" s="20">
        <f t="shared" si="4"/>
        <v>0</v>
      </c>
      <c r="Z12" s="19">
        <f t="shared" si="5"/>
        <v>0.6143832571348945</v>
      </c>
      <c r="AA12" s="19">
        <f t="shared" si="6"/>
        <v>27.666911827014463</v>
      </c>
      <c r="AB12" s="19">
        <f t="shared" si="7"/>
        <v>0.62411211808954692</v>
      </c>
      <c r="AC12" s="19">
        <f t="shared" si="8"/>
        <v>0.5451946741404986</v>
      </c>
      <c r="AD12" s="17">
        <f t="shared" si="9"/>
        <v>5.836095547014461E-2</v>
      </c>
      <c r="AE12" s="17">
        <f t="shared" si="10"/>
        <v>7.7975813865238233E-2</v>
      </c>
      <c r="AF12" s="19">
        <f t="shared" si="11"/>
        <v>0.2706392360484039</v>
      </c>
      <c r="AG12" s="19">
        <f t="shared" si="12"/>
        <v>4.6092619212848218</v>
      </c>
      <c r="AH12" s="19">
        <f t="shared" si="13"/>
        <v>0.37281138558407367</v>
      </c>
      <c r="AI12" s="19">
        <f t="shared" si="14"/>
        <v>19.761904761904763</v>
      </c>
      <c r="AJ12" s="19">
        <f t="shared" si="15"/>
        <v>1.152017657950978</v>
      </c>
    </row>
    <row r="13" spans="1:36" x14ac:dyDescent="0.35">
      <c r="A13" s="36"/>
      <c r="B13" s="2">
        <v>2020</v>
      </c>
      <c r="C13" s="36"/>
      <c r="D13" s="36"/>
      <c r="E13" s="10">
        <v>-163183000000</v>
      </c>
      <c r="F13" s="10">
        <v>7253114000000</v>
      </c>
      <c r="G13" s="10">
        <v>2017591000000</v>
      </c>
      <c r="H13" s="10">
        <v>1241604000000</v>
      </c>
      <c r="I13" s="10">
        <v>639864000000</v>
      </c>
      <c r="J13" s="10">
        <v>798850000000</v>
      </c>
      <c r="K13" s="10">
        <v>2046660000000</v>
      </c>
      <c r="L13" s="10">
        <f>117918000000+5773000000+112036000000+15330000000</f>
        <v>251057000000</v>
      </c>
      <c r="M13" s="10">
        <v>6011510000000</v>
      </c>
      <c r="N13" s="10">
        <v>5235523000000</v>
      </c>
      <c r="O13" s="10">
        <v>334511000000</v>
      </c>
      <c r="P13" s="10">
        <v>-227036000000</v>
      </c>
      <c r="Q13" s="10">
        <v>104667000000</v>
      </c>
      <c r="R13" s="12">
        <v>1300</v>
      </c>
      <c r="S13" s="12">
        <v>-64</v>
      </c>
      <c r="T13" s="11">
        <v>2502100000</v>
      </c>
      <c r="U13" s="35">
        <f t="shared" si="0"/>
        <v>-2.2498336576538023E-2</v>
      </c>
      <c r="V13" s="35">
        <f t="shared" si="1"/>
        <v>0.27816893543931615</v>
      </c>
      <c r="W13" s="35">
        <f t="shared" si="2"/>
        <v>1.940418588950152</v>
      </c>
      <c r="X13" s="19">
        <f t="shared" si="3"/>
        <v>-2.6625052970260081</v>
      </c>
      <c r="Y13" s="20">
        <f t="shared" si="4"/>
        <v>0</v>
      </c>
      <c r="Z13" s="19">
        <f t="shared" si="5"/>
        <v>1.2484684245402149</v>
      </c>
      <c r="AA13" s="19">
        <f t="shared" si="6"/>
        <v>44.773340466907058</v>
      </c>
      <c r="AB13" s="19">
        <f t="shared" si="7"/>
        <v>0.3404568901989683</v>
      </c>
      <c r="AC13" s="19">
        <f t="shared" si="8"/>
        <v>0.28217673126328913</v>
      </c>
      <c r="AD13" s="17">
        <f t="shared" si="9"/>
        <v>-3.1168423861379274E-2</v>
      </c>
      <c r="AE13" s="17">
        <f t="shared" si="10"/>
        <v>-7.9731367203150494E-2</v>
      </c>
      <c r="AF13" s="19">
        <f t="shared" si="11"/>
        <v>0.16344238906315656</v>
      </c>
      <c r="AG13" s="19">
        <f t="shared" si="12"/>
        <v>-2.1691268499144907</v>
      </c>
      <c r="AH13" s="19">
        <f t="shared" si="13"/>
        <v>0.38536570271967097</v>
      </c>
      <c r="AI13" s="19">
        <f t="shared" si="14"/>
        <v>-20.3125</v>
      </c>
      <c r="AJ13" s="19">
        <f t="shared" si="15"/>
        <v>0.62128081568928262</v>
      </c>
    </row>
    <row r="14" spans="1:36" x14ac:dyDescent="0.35">
      <c r="A14" s="36"/>
      <c r="B14" s="3">
        <v>2021</v>
      </c>
      <c r="C14" s="36"/>
      <c r="D14" s="36"/>
      <c r="E14" s="10">
        <v>8720000000</v>
      </c>
      <c r="F14" s="10">
        <v>6598137000000</v>
      </c>
      <c r="G14" s="10">
        <v>1450558000000</v>
      </c>
      <c r="H14" s="10">
        <v>1366505000000</v>
      </c>
      <c r="I14" s="10">
        <v>565041000000</v>
      </c>
      <c r="J14" s="10">
        <v>945637000000</v>
      </c>
      <c r="K14" s="10">
        <v>2220841000000</v>
      </c>
      <c r="L14" s="10">
        <f>185096000000+6020000000+111461000000+5326000000</f>
        <v>307903000000</v>
      </c>
      <c r="M14" s="10">
        <v>5231632000000</v>
      </c>
      <c r="N14" s="10">
        <v>5147579000000</v>
      </c>
      <c r="O14" s="10">
        <v>493967000000</v>
      </c>
      <c r="P14" s="10">
        <v>-16148000000</v>
      </c>
      <c r="Q14" s="10">
        <f>76075000000+557000000</f>
        <v>76632000000</v>
      </c>
      <c r="R14" s="12">
        <v>1380</v>
      </c>
      <c r="S14" s="12">
        <v>3</v>
      </c>
      <c r="T14" s="11">
        <v>2502100000</v>
      </c>
      <c r="U14" s="35">
        <f t="shared" si="0"/>
        <v>1.3215851686620027E-3</v>
      </c>
      <c r="V14" s="35">
        <f t="shared" si="1"/>
        <v>0.21984357099587354</v>
      </c>
      <c r="W14" s="35">
        <f t="shared" si="2"/>
        <v>2.4184174245762695</v>
      </c>
      <c r="X14" s="19">
        <f t="shared" si="3"/>
        <v>-3.1031463438789113</v>
      </c>
      <c r="Y14" s="20">
        <f t="shared" si="4"/>
        <v>0</v>
      </c>
      <c r="Z14" s="19">
        <f t="shared" si="5"/>
        <v>1.6735723602358059</v>
      </c>
      <c r="AA14" s="19">
        <f t="shared" si="6"/>
        <v>50.604520990021342</v>
      </c>
      <c r="AB14" s="19">
        <f t="shared" si="7"/>
        <v>0.42450252617156559</v>
      </c>
      <c r="AC14" s="19">
        <f t="shared" si="8"/>
        <v>0.33658606967390947</v>
      </c>
      <c r="AD14" s="17">
        <f t="shared" si="9"/>
        <v>1.6940002280683793E-3</v>
      </c>
      <c r="AE14" s="17">
        <f t="shared" si="10"/>
        <v>3.9264404790797722E-3</v>
      </c>
      <c r="AF14" s="19">
        <f t="shared" si="11"/>
        <v>0.22242339726256855</v>
      </c>
      <c r="AG14" s="19">
        <f t="shared" si="12"/>
        <v>-0.21072136966280405</v>
      </c>
      <c r="AH14" s="19">
        <f t="shared" si="13"/>
        <v>0.28179421821403811</v>
      </c>
      <c r="AI14" s="19">
        <f t="shared" si="14"/>
        <v>460</v>
      </c>
      <c r="AJ14" s="19">
        <f t="shared" si="15"/>
        <v>0.67078096324505165</v>
      </c>
    </row>
    <row r="15" spans="1:36" x14ac:dyDescent="0.35">
      <c r="A15" s="36"/>
      <c r="B15" s="4">
        <v>2022</v>
      </c>
      <c r="C15" s="36"/>
      <c r="D15" s="36"/>
      <c r="E15" s="10">
        <v>364027000000</v>
      </c>
      <c r="F15" s="10">
        <v>6893160000000</v>
      </c>
      <c r="G15" s="10">
        <v>1542469000000</v>
      </c>
      <c r="H15" s="10">
        <v>1379949000000</v>
      </c>
      <c r="I15" s="10">
        <v>908381000000</v>
      </c>
      <c r="J15" s="10">
        <v>890975000000</v>
      </c>
      <c r="K15" s="10">
        <v>3590100000000</v>
      </c>
      <c r="L15" s="10">
        <f>271699000000+10187000000+102393000000+8787000000</f>
        <v>393066000000</v>
      </c>
      <c r="M15" s="10">
        <v>5513211000000</v>
      </c>
      <c r="N15" s="10">
        <v>5350691000000</v>
      </c>
      <c r="O15" s="10">
        <v>1072429000000</v>
      </c>
      <c r="P15" s="10">
        <v>419912000000</v>
      </c>
      <c r="Q15" s="10">
        <f>47035000000+406000000</f>
        <v>47441000000</v>
      </c>
      <c r="R15" s="12">
        <v>1410</v>
      </c>
      <c r="S15" s="12">
        <v>143</v>
      </c>
      <c r="T15" s="11">
        <v>2502100000</v>
      </c>
      <c r="U15" s="35">
        <f t="shared" si="0"/>
        <v>5.2809886902378589E-2</v>
      </c>
      <c r="V15" s="35">
        <f t="shared" si="1"/>
        <v>0.22376805412902065</v>
      </c>
      <c r="W15" s="35">
        <f t="shared" si="2"/>
        <v>1.5191301887644062</v>
      </c>
      <c r="X15" s="19">
        <f t="shared" si="3"/>
        <v>-3.3096287609467843</v>
      </c>
      <c r="Y15" s="20">
        <f t="shared" si="4"/>
        <v>0</v>
      </c>
      <c r="Z15" s="19">
        <f t="shared" si="5"/>
        <v>0.98083843673524651</v>
      </c>
      <c r="AA15" s="19">
        <f t="shared" si="6"/>
        <v>39.962421659563802</v>
      </c>
      <c r="AB15" s="19">
        <f t="shared" si="7"/>
        <v>0.6511813170219678</v>
      </c>
      <c r="AC15" s="19">
        <f t="shared" si="8"/>
        <v>0.52082063959055058</v>
      </c>
      <c r="AD15" s="17">
        <f t="shared" si="9"/>
        <v>6.8033642757542909E-2</v>
      </c>
      <c r="AE15" s="17">
        <f t="shared" si="10"/>
        <v>0.10139745410991337</v>
      </c>
      <c r="AF15" s="19">
        <f t="shared" si="11"/>
        <v>0.29871842009971866</v>
      </c>
      <c r="AG15" s="19">
        <f t="shared" si="12"/>
        <v>8.8512468118294301</v>
      </c>
      <c r="AH15" s="19">
        <f t="shared" si="13"/>
        <v>0.28827472937607496</v>
      </c>
      <c r="AI15" s="19">
        <f t="shared" si="14"/>
        <v>9.86013986013986</v>
      </c>
      <c r="AJ15" s="19">
        <f t="shared" si="15"/>
        <v>0.65934680212331453</v>
      </c>
    </row>
    <row r="16" spans="1:36" x14ac:dyDescent="0.35">
      <c r="A16" s="36"/>
      <c r="B16" s="5">
        <v>2023</v>
      </c>
      <c r="C16" s="36"/>
      <c r="D16" s="36"/>
      <c r="E16" s="16">
        <v>463068000000</v>
      </c>
      <c r="F16" s="10">
        <v>7580224000000</v>
      </c>
      <c r="G16" s="10">
        <v>1948786000000</v>
      </c>
      <c r="H16" s="10">
        <v>1497037000000</v>
      </c>
      <c r="I16" s="10">
        <v>875701000000</v>
      </c>
      <c r="J16" s="10">
        <v>983434000000</v>
      </c>
      <c r="K16" s="10">
        <v>4422472000000</v>
      </c>
      <c r="L16" s="10">
        <f>234489000000+9335000000+88951000000+4001000000</f>
        <v>336776000000</v>
      </c>
      <c r="M16" s="10">
        <v>6083187000000</v>
      </c>
      <c r="N16" s="10">
        <v>5631438000000</v>
      </c>
      <c r="O16" s="10">
        <v>1404134000000</v>
      </c>
      <c r="P16" s="10">
        <v>540956000000</v>
      </c>
      <c r="Q16" s="10">
        <f>55913000000+688000000</f>
        <v>56601000000</v>
      </c>
      <c r="R16" s="12">
        <v>1790</v>
      </c>
      <c r="S16" s="12">
        <v>181</v>
      </c>
      <c r="T16" s="11">
        <v>2502100000</v>
      </c>
      <c r="U16" s="35">
        <f t="shared" si="0"/>
        <v>6.1088959904087269E-2</v>
      </c>
      <c r="V16" s="35">
        <f t="shared" si="1"/>
        <v>0.25708818103528341</v>
      </c>
      <c r="W16" s="35">
        <f t="shared" si="2"/>
        <v>1.7095298509422736</v>
      </c>
      <c r="X16" s="19">
        <f t="shared" si="3"/>
        <v>-3.158528815351541</v>
      </c>
      <c r="Y16" s="20">
        <f t="shared" si="4"/>
        <v>0</v>
      </c>
      <c r="Z16" s="19">
        <f t="shared" si="5"/>
        <v>1.1230248680771175</v>
      </c>
      <c r="AA16" s="19">
        <f t="shared" si="6"/>
        <v>27.795142626114984</v>
      </c>
      <c r="AB16" s="19">
        <f t="shared" si="7"/>
        <v>0.72699918644618355</v>
      </c>
      <c r="AC16" s="19">
        <f t="shared" si="8"/>
        <v>0.58342233685970235</v>
      </c>
      <c r="AD16" s="17">
        <f t="shared" si="9"/>
        <v>8.2229086070023327E-2</v>
      </c>
      <c r="AE16" s="17">
        <f t="shared" si="10"/>
        <v>0.10470795518886269</v>
      </c>
      <c r="AF16" s="19">
        <f t="shared" si="11"/>
        <v>0.31749980553862184</v>
      </c>
      <c r="AG16" s="19">
        <f t="shared" si="12"/>
        <v>9.5573576438578822</v>
      </c>
      <c r="AH16" s="19">
        <f t="shared" si="13"/>
        <v>0.34605477322133354</v>
      </c>
      <c r="AI16" s="19">
        <f t="shared" si="14"/>
        <v>9.88950276243094</v>
      </c>
      <c r="AJ16" s="19">
        <f t="shared" si="15"/>
        <v>0.79531355934310211</v>
      </c>
    </row>
    <row r="17" spans="1:36" x14ac:dyDescent="0.35">
      <c r="A17" s="36">
        <v>4</v>
      </c>
      <c r="B17" s="1">
        <v>2019</v>
      </c>
      <c r="C17" s="36" t="s">
        <v>74</v>
      </c>
      <c r="D17" s="36" t="s">
        <v>10</v>
      </c>
      <c r="E17" s="10">
        <v>-872403</v>
      </c>
      <c r="F17" s="10">
        <v>67412629</v>
      </c>
      <c r="G17" s="10">
        <v>36760187</v>
      </c>
      <c r="H17" s="10">
        <v>5220693</v>
      </c>
      <c r="I17" s="10">
        <v>9568042</v>
      </c>
      <c r="J17" s="10">
        <v>578189</v>
      </c>
      <c r="K17" s="10">
        <v>20051894</v>
      </c>
      <c r="L17" s="10">
        <f>1936865+64920+749780</f>
        <v>2751565</v>
      </c>
      <c r="M17" s="10">
        <v>62191936</v>
      </c>
      <c r="N17" s="10">
        <v>20652442</v>
      </c>
      <c r="O17" s="10">
        <v>2343547</v>
      </c>
      <c r="P17" s="10">
        <v>1678612</v>
      </c>
      <c r="Q17" s="10">
        <v>1626834</v>
      </c>
      <c r="R17" s="22">
        <f>50/'Kurs Dollar'!B1</f>
        <v>3.6016567621105708E-3</v>
      </c>
      <c r="S17" s="22">
        <v>3.4999999999999997E-5</v>
      </c>
      <c r="T17" s="11">
        <f>23483317538+2456869565</f>
        <v>25940187103</v>
      </c>
      <c r="U17" s="35">
        <f t="shared" si="0"/>
        <v>-1.2941239838013142E-2</v>
      </c>
      <c r="V17" s="35">
        <f t="shared" si="1"/>
        <v>0.54530119274832023</v>
      </c>
      <c r="W17" s="35">
        <f t="shared" si="2"/>
        <v>0.5456385956499773</v>
      </c>
      <c r="X17" s="19">
        <f t="shared" si="3"/>
        <v>-1.1830132653759364</v>
      </c>
      <c r="Y17" s="20">
        <f t="shared" si="4"/>
        <v>0</v>
      </c>
      <c r="Z17" s="19">
        <f t="shared" si="5"/>
        <v>6.042918707923732E-2</v>
      </c>
      <c r="AA17" s="19">
        <f t="shared" si="6"/>
        <v>50.086102838963747</v>
      </c>
      <c r="AB17" s="19">
        <f t="shared" si="7"/>
        <v>0.32241951754002318</v>
      </c>
      <c r="AC17" s="19">
        <f t="shared" si="8"/>
        <v>0.29745011131371246</v>
      </c>
      <c r="AD17" s="17">
        <f t="shared" si="9"/>
        <v>-4.2242123231722425E-2</v>
      </c>
      <c r="AE17" s="17">
        <f t="shared" si="10"/>
        <v>-4.3507261708046134E-2</v>
      </c>
      <c r="AF17" s="19">
        <f t="shared" si="11"/>
        <v>0.11687409678108213</v>
      </c>
      <c r="AG17" s="19">
        <f t="shared" si="12"/>
        <v>1.0318274636502556</v>
      </c>
      <c r="AH17" s="19">
        <f t="shared" si="13"/>
        <v>1.779943843928965</v>
      </c>
      <c r="AI17" s="19">
        <f t="shared" si="14"/>
        <v>102.90447891744489</v>
      </c>
      <c r="AJ17" s="19">
        <f t="shared" si="15"/>
        <v>4.5238064481640166</v>
      </c>
    </row>
    <row r="18" spans="1:36" x14ac:dyDescent="0.35">
      <c r="A18" s="36"/>
      <c r="B18" s="2">
        <v>2020</v>
      </c>
      <c r="C18" s="36"/>
      <c r="D18" s="36"/>
      <c r="E18" s="10">
        <v>-817144</v>
      </c>
      <c r="F18" s="10">
        <v>66073093</v>
      </c>
      <c r="G18" s="10">
        <v>38158141</v>
      </c>
      <c r="H18" s="10">
        <v>6065792</v>
      </c>
      <c r="I18" s="10">
        <v>12633148</v>
      </c>
      <c r="J18" s="10">
        <v>949649</v>
      </c>
      <c r="K18" s="10">
        <v>18364836</v>
      </c>
      <c r="L18" s="10">
        <f>2528369+38753+570009</f>
        <v>3137131</v>
      </c>
      <c r="M18" s="10">
        <v>59681199</v>
      </c>
      <c r="N18" s="10">
        <v>27914952</v>
      </c>
      <c r="O18" s="10">
        <v>4939666</v>
      </c>
      <c r="P18" s="10">
        <v>353485</v>
      </c>
      <c r="Q18" s="10">
        <v>1003393</v>
      </c>
      <c r="R18" s="22">
        <f>50/'Kurs Dollar'!B2</f>
        <v>3.5612535612535613E-3</v>
      </c>
      <c r="S18" s="22">
        <v>3.1999999999999999E-5</v>
      </c>
      <c r="T18" s="11">
        <f>23483317538+2456869565</f>
        <v>25940187103</v>
      </c>
      <c r="U18" s="35">
        <f t="shared" si="0"/>
        <v>-1.236727331653749E-2</v>
      </c>
      <c r="V18" s="35">
        <f t="shared" si="1"/>
        <v>0.57751407218063788</v>
      </c>
      <c r="W18" s="35">
        <f t="shared" si="2"/>
        <v>0.48014889083860968</v>
      </c>
      <c r="X18" s="19">
        <f t="shared" si="3"/>
        <v>-1.0024046751719777</v>
      </c>
      <c r="Y18" s="20">
        <f t="shared" si="4"/>
        <v>0</v>
      </c>
      <c r="Z18" s="19">
        <f t="shared" si="5"/>
        <v>7.5171208316406959E-2</v>
      </c>
      <c r="AA18" s="19">
        <f t="shared" si="6"/>
        <v>62.350288072270288</v>
      </c>
      <c r="AB18" s="19">
        <f t="shared" si="7"/>
        <v>0.30771560068690978</v>
      </c>
      <c r="AC18" s="19">
        <f t="shared" si="8"/>
        <v>0.27794727272719016</v>
      </c>
      <c r="AD18" s="17">
        <f t="shared" si="9"/>
        <v>-2.9272627801760147E-2</v>
      </c>
      <c r="AE18" s="17">
        <f t="shared" si="10"/>
        <v>-4.4495033878875913E-2</v>
      </c>
      <c r="AF18" s="19">
        <f t="shared" si="11"/>
        <v>0.26897414166943828</v>
      </c>
      <c r="AG18" s="19">
        <f t="shared" si="12"/>
        <v>0.35228968111198705</v>
      </c>
      <c r="AH18" s="19">
        <f t="shared" si="13"/>
        <v>1.3669427409368284</v>
      </c>
      <c r="AI18" s="19">
        <f t="shared" si="14"/>
        <v>111.2891737891738</v>
      </c>
      <c r="AJ18" s="19">
        <f t="shared" si="15"/>
        <v>3.3093226776869415</v>
      </c>
    </row>
    <row r="19" spans="1:36" x14ac:dyDescent="0.35">
      <c r="A19" s="36"/>
      <c r="B19" s="3">
        <v>2021</v>
      </c>
      <c r="C19" s="36"/>
      <c r="D19" s="36"/>
      <c r="E19" s="10">
        <v>5895387</v>
      </c>
      <c r="F19" s="10">
        <v>70328736</v>
      </c>
      <c r="G19" s="10">
        <v>38257687</v>
      </c>
      <c r="H19" s="10">
        <v>14198826</v>
      </c>
      <c r="I19" s="10">
        <v>10709803</v>
      </c>
      <c r="J19" s="10">
        <v>4074386</v>
      </c>
      <c r="K19" s="10">
        <v>1966677</v>
      </c>
      <c r="L19" s="10">
        <f>1726825+117361+846489</f>
        <v>2690675</v>
      </c>
      <c r="M19" s="10">
        <v>56129910</v>
      </c>
      <c r="N19" s="10">
        <v>32071049</v>
      </c>
      <c r="O19" s="10">
        <v>4692236</v>
      </c>
      <c r="P19" s="10">
        <v>7889179</v>
      </c>
      <c r="Q19" s="10">
        <v>1774211</v>
      </c>
      <c r="R19" s="22">
        <f>50/'Kurs Dollar'!B3</f>
        <v>3.5087719298245615E-3</v>
      </c>
      <c r="S19" s="22">
        <v>2.2800000000000001E-4</v>
      </c>
      <c r="T19" s="11">
        <f t="shared" ref="T19:T21" si="16">23483317538+2456869565</f>
        <v>25940187103</v>
      </c>
      <c r="U19" s="35">
        <f t="shared" si="0"/>
        <v>8.382614753662003E-2</v>
      </c>
      <c r="V19" s="35">
        <f t="shared" si="1"/>
        <v>0.54398371385488853</v>
      </c>
      <c r="W19" s="35">
        <f t="shared" si="2"/>
        <v>1.3257784480256078</v>
      </c>
      <c r="X19" s="19">
        <f t="shared" si="3"/>
        <v>-1.6303270066429567</v>
      </c>
      <c r="Y19" s="20">
        <f t="shared" si="4"/>
        <v>0</v>
      </c>
      <c r="Z19" s="19">
        <f t="shared" si="5"/>
        <v>0.38043519568006995</v>
      </c>
      <c r="AA19" s="19">
        <f t="shared" si="6"/>
        <v>499.36841433545015</v>
      </c>
      <c r="AB19" s="19">
        <f t="shared" si="7"/>
        <v>3.5037950354810832E-2</v>
      </c>
      <c r="AC19" s="19">
        <f t="shared" si="8"/>
        <v>2.7964060096288379E-2</v>
      </c>
      <c r="AD19" s="17">
        <f t="shared" si="9"/>
        <v>0.18382270564333583</v>
      </c>
      <c r="AE19" s="17">
        <f t="shared" si="10"/>
        <v>2.9976386564748556</v>
      </c>
      <c r="AF19" s="19">
        <f t="shared" si="11"/>
        <v>2.3858701759363639</v>
      </c>
      <c r="AG19" s="19">
        <f t="shared" si="12"/>
        <v>4.4465844254150158</v>
      </c>
      <c r="AH19" s="19">
        <f t="shared" si="13"/>
        <v>1.1929041360636505</v>
      </c>
      <c r="AI19" s="19">
        <f t="shared" si="14"/>
        <v>15.38935056940597</v>
      </c>
      <c r="AJ19" s="19">
        <f t="shared" si="15"/>
        <v>2.8380175641090979</v>
      </c>
    </row>
    <row r="20" spans="1:36" x14ac:dyDescent="0.35">
      <c r="A20" s="36"/>
      <c r="B20" s="4">
        <v>2022</v>
      </c>
      <c r="C20" s="36"/>
      <c r="D20" s="36"/>
      <c r="E20" s="10">
        <v>9038164</v>
      </c>
      <c r="F20" s="10">
        <v>76589160</v>
      </c>
      <c r="G20" s="10">
        <v>37048121</v>
      </c>
      <c r="H20" s="10">
        <v>12622267</v>
      </c>
      <c r="I20" s="10">
        <v>10971014</v>
      </c>
      <c r="J20" s="10">
        <v>1855755</v>
      </c>
      <c r="K20" s="10">
        <v>23560712</v>
      </c>
      <c r="L20" s="10">
        <f>236472+2608162+84196+1245947+510733</f>
        <v>4685510</v>
      </c>
      <c r="M20" s="10">
        <v>63966893</v>
      </c>
      <c r="N20" s="10">
        <v>39541039</v>
      </c>
      <c r="O20" s="10">
        <v>6774016</v>
      </c>
      <c r="P20" s="10">
        <v>10947701</v>
      </c>
      <c r="Q20" s="10">
        <v>1711120</v>
      </c>
      <c r="R20" s="22">
        <f>50/'Kurs Dollar'!B4</f>
        <v>3.2123353678123997E-3</v>
      </c>
      <c r="S20" s="22">
        <v>3.4900000000000003E-4</v>
      </c>
      <c r="T20" s="11">
        <f t="shared" si="16"/>
        <v>25940187103</v>
      </c>
      <c r="U20" s="35">
        <f t="shared" si="0"/>
        <v>0.11800839701075191</v>
      </c>
      <c r="V20" s="35">
        <f t="shared" si="1"/>
        <v>0.48372538620347838</v>
      </c>
      <c r="W20" s="35">
        <f t="shared" si="2"/>
        <v>1.1505105179885833</v>
      </c>
      <c r="X20" s="19">
        <f t="shared" si="3"/>
        <v>-2.1260974695319241</v>
      </c>
      <c r="Y20" s="20">
        <f t="shared" si="4"/>
        <v>0</v>
      </c>
      <c r="Z20" s="19">
        <f t="shared" si="5"/>
        <v>0.1691507275444184</v>
      </c>
      <c r="AA20" s="19">
        <f t="shared" si="6"/>
        <v>72.587413741995576</v>
      </c>
      <c r="AB20" s="19">
        <f t="shared" si="7"/>
        <v>0.36832665922979879</v>
      </c>
      <c r="AC20" s="19">
        <f t="shared" si="8"/>
        <v>0.30762462990846223</v>
      </c>
      <c r="AD20" s="17">
        <f t="shared" si="9"/>
        <v>0.22857679587023497</v>
      </c>
      <c r="AE20" s="17">
        <f t="shared" si="10"/>
        <v>0.38361166674419689</v>
      </c>
      <c r="AF20" s="19">
        <f t="shared" si="11"/>
        <v>0.28751321267370866</v>
      </c>
      <c r="AG20" s="19">
        <f t="shared" si="12"/>
        <v>6.3979738416943288</v>
      </c>
      <c r="AH20" s="19">
        <f t="shared" si="13"/>
        <v>0.93695365465738012</v>
      </c>
      <c r="AI20" s="19">
        <f t="shared" si="14"/>
        <v>9.2043993347060162</v>
      </c>
      <c r="AJ20" s="19">
        <f t="shared" si="15"/>
        <v>2.107394812732108</v>
      </c>
    </row>
    <row r="21" spans="1:36" x14ac:dyDescent="0.35">
      <c r="A21" s="36"/>
      <c r="B21" s="5">
        <v>2023</v>
      </c>
      <c r="C21" s="36"/>
      <c r="D21" s="36"/>
      <c r="E21" s="10">
        <v>15616876</v>
      </c>
      <c r="F21" s="10">
        <v>93000230</v>
      </c>
      <c r="G21" s="10">
        <v>35379853</v>
      </c>
      <c r="H21" s="10">
        <v>19884724</v>
      </c>
      <c r="I21" s="10">
        <v>7900415</v>
      </c>
      <c r="J21" s="10">
        <v>10440844</v>
      </c>
      <c r="K21" s="10">
        <v>39025697</v>
      </c>
      <c r="L21" s="10">
        <f>221581+2118808+272759+2885000+795902</f>
        <v>6294050</v>
      </c>
      <c r="M21" s="10">
        <v>73115506</v>
      </c>
      <c r="N21" s="10">
        <v>57620377</v>
      </c>
      <c r="O21" s="10">
        <v>13954719</v>
      </c>
      <c r="P21" s="10">
        <v>17408641</v>
      </c>
      <c r="Q21" s="10">
        <v>1412032</v>
      </c>
      <c r="R21" s="22">
        <f>50/'Kurs Dollar'!B5</f>
        <v>3.247807729782397E-3</v>
      </c>
      <c r="S21" s="22">
        <v>6.0300000000000002E-4</v>
      </c>
      <c r="T21" s="11">
        <f t="shared" si="16"/>
        <v>25940187103</v>
      </c>
      <c r="U21" s="35">
        <f t="shared" si="0"/>
        <v>0.16792298255606464</v>
      </c>
      <c r="V21" s="35">
        <f t="shared" si="1"/>
        <v>0.38042758603930332</v>
      </c>
      <c r="W21" s="35">
        <f t="shared" si="2"/>
        <v>2.5169214528603878</v>
      </c>
      <c r="X21" s="19">
        <f t="shared" si="3"/>
        <v>-2.9434558449697579</v>
      </c>
      <c r="Y21" s="20">
        <f t="shared" si="4"/>
        <v>0</v>
      </c>
      <c r="Z21" s="19">
        <f t="shared" si="5"/>
        <v>1.3215563992524444</v>
      </c>
      <c r="AA21" s="19">
        <f t="shared" si="6"/>
        <v>58.867065205779667</v>
      </c>
      <c r="AB21" s="19">
        <f t="shared" si="7"/>
        <v>0.5337540439096462</v>
      </c>
      <c r="AC21" s="19">
        <f t="shared" si="8"/>
        <v>0.41963011274273193</v>
      </c>
      <c r="AD21" s="17">
        <f t="shared" si="9"/>
        <v>0.27103043772171087</v>
      </c>
      <c r="AE21" s="17">
        <f t="shared" si="10"/>
        <v>0.4001690475893358</v>
      </c>
      <c r="AF21" s="19">
        <f t="shared" si="11"/>
        <v>0.35757770066220729</v>
      </c>
      <c r="AG21" s="19">
        <f t="shared" si="12"/>
        <v>12.328786458097268</v>
      </c>
      <c r="AH21" s="19">
        <f t="shared" si="13"/>
        <v>0.61401634008746597</v>
      </c>
      <c r="AI21" s="19">
        <f t="shared" si="14"/>
        <v>5.3860824706175734</v>
      </c>
      <c r="AJ21" s="19">
        <f t="shared" si="15"/>
        <v>1.4621344838671404</v>
      </c>
    </row>
    <row r="22" spans="1:36" x14ac:dyDescent="0.35">
      <c r="A22" s="36">
        <v>5</v>
      </c>
      <c r="B22" s="1">
        <v>2019</v>
      </c>
      <c r="C22" s="36" t="s">
        <v>11</v>
      </c>
      <c r="D22" s="36" t="s">
        <v>12</v>
      </c>
      <c r="E22" s="10">
        <v>8108255688</v>
      </c>
      <c r="F22" s="10">
        <v>536133980207</v>
      </c>
      <c r="G22" s="10">
        <v>317641249208</v>
      </c>
      <c r="H22" s="10">
        <v>40277548078</v>
      </c>
      <c r="I22" s="10">
        <v>165747918407</v>
      </c>
      <c r="J22" s="10">
        <v>912096011</v>
      </c>
      <c r="K22" s="10">
        <v>162596163771</v>
      </c>
      <c r="L22" s="10">
        <f>20997415175+1019933117+644645702+982015524</f>
        <v>23644009518</v>
      </c>
      <c r="M22" s="10">
        <v>495856432129</v>
      </c>
      <c r="N22" s="10">
        <v>218492750999</v>
      </c>
      <c r="O22" s="10">
        <v>66555414533</v>
      </c>
      <c r="P22" s="10">
        <v>46107007530</v>
      </c>
      <c r="Q22" s="10">
        <v>34027205287</v>
      </c>
      <c r="R22" s="12">
        <v>54.36</v>
      </c>
      <c r="S22" s="12">
        <v>5.23</v>
      </c>
      <c r="T22" s="11">
        <v>1550000000</v>
      </c>
      <c r="U22" s="35">
        <f t="shared" si="0"/>
        <v>1.5123562369371594E-2</v>
      </c>
      <c r="V22" s="35">
        <f t="shared" si="1"/>
        <v>0.59246617624452658</v>
      </c>
      <c r="W22" s="35">
        <f t="shared" si="2"/>
        <v>0.24300485016708945</v>
      </c>
      <c r="X22" s="19">
        <f t="shared" si="3"/>
        <v>-1.0406092414809762</v>
      </c>
      <c r="Y22" s="20">
        <f t="shared" si="4"/>
        <v>0</v>
      </c>
      <c r="Z22" s="19">
        <f t="shared" si="5"/>
        <v>5.5029108043475718E-3</v>
      </c>
      <c r="AA22" s="19">
        <f t="shared" si="6"/>
        <v>53.076673360046541</v>
      </c>
      <c r="AB22" s="19">
        <f t="shared" si="7"/>
        <v>0.32790976023620411</v>
      </c>
      <c r="AC22" s="19">
        <f t="shared" si="8"/>
        <v>0.30327524419963464</v>
      </c>
      <c r="AD22" s="17">
        <f t="shared" si="9"/>
        <v>3.7109952851649114E-2</v>
      </c>
      <c r="AE22" s="17">
        <f t="shared" si="10"/>
        <v>4.9867447668812445E-2</v>
      </c>
      <c r="AF22" s="19">
        <f t="shared" si="11"/>
        <v>0.40932954990707204</v>
      </c>
      <c r="AG22" s="19">
        <f t="shared" si="12"/>
        <v>1.3550042426674123</v>
      </c>
      <c r="AH22" s="19">
        <f t="shared" si="13"/>
        <v>1.4537839253507032</v>
      </c>
      <c r="AI22" s="19">
        <f t="shared" si="14"/>
        <v>10.393881453154874</v>
      </c>
      <c r="AJ22" s="19">
        <f t="shared" si="15"/>
        <v>0.38563293113731556</v>
      </c>
    </row>
    <row r="23" spans="1:36" x14ac:dyDescent="0.35">
      <c r="A23" s="36"/>
      <c r="B23" s="2">
        <v>2020</v>
      </c>
      <c r="C23" s="36"/>
      <c r="D23" s="36"/>
      <c r="E23" s="10">
        <v>3116278755</v>
      </c>
      <c r="F23" s="10">
        <v>536303219831</v>
      </c>
      <c r="G23" s="10">
        <v>311837466207</v>
      </c>
      <c r="H23" s="10">
        <v>32947871930</v>
      </c>
      <c r="I23" s="10">
        <v>150765896036</v>
      </c>
      <c r="J23" s="10">
        <v>1018547283</v>
      </c>
      <c r="K23" s="10">
        <v>162257365449</v>
      </c>
      <c r="L23" s="10">
        <f>18249460108+263565000+939185314+763082885</f>
        <v>20215293307</v>
      </c>
      <c r="M23" s="10">
        <v>503355347901</v>
      </c>
      <c r="N23" s="10">
        <v>224465753624</v>
      </c>
      <c r="O23" s="10">
        <v>58872150251</v>
      </c>
      <c r="P23" s="10">
        <v>36874609612</v>
      </c>
      <c r="Q23" s="10">
        <v>26977274558</v>
      </c>
      <c r="R23" s="12">
        <v>49.48</v>
      </c>
      <c r="S23" s="12">
        <v>2.0099999999999998</v>
      </c>
      <c r="T23" s="11">
        <v>1550000000</v>
      </c>
      <c r="U23" s="35">
        <f t="shared" si="0"/>
        <v>5.8106657572967813E-3</v>
      </c>
      <c r="V23" s="35">
        <f t="shared" si="1"/>
        <v>0.58145738208557896</v>
      </c>
      <c r="W23" s="35">
        <f t="shared" si="2"/>
        <v>0.21853663723878694</v>
      </c>
      <c r="X23" s="19">
        <f t="shared" si="3"/>
        <v>-1.0610012082476326</v>
      </c>
      <c r="Y23" s="20">
        <f t="shared" si="4"/>
        <v>0</v>
      </c>
      <c r="Z23" s="19">
        <f t="shared" si="5"/>
        <v>6.755820180691199E-3</v>
      </c>
      <c r="AA23" s="19">
        <f t="shared" si="6"/>
        <v>45.474558499313254</v>
      </c>
      <c r="AB23" s="19">
        <f t="shared" si="7"/>
        <v>0.32235152785326682</v>
      </c>
      <c r="AC23" s="19">
        <f t="shared" si="8"/>
        <v>0.30254781147898119</v>
      </c>
      <c r="AD23" s="17">
        <f t="shared" si="9"/>
        <v>1.3883092207553597E-2</v>
      </c>
      <c r="AE23" s="17">
        <f t="shared" si="10"/>
        <v>1.9205776861818298E-2</v>
      </c>
      <c r="AF23" s="19">
        <f t="shared" si="11"/>
        <v>0.36283191267212106</v>
      </c>
      <c r="AG23" s="19">
        <f t="shared" si="12"/>
        <v>1.3668767589076187</v>
      </c>
      <c r="AH23" s="19">
        <f t="shared" si="13"/>
        <v>1.3892429520868264</v>
      </c>
      <c r="AI23" s="19">
        <f t="shared" si="14"/>
        <v>24.616915422885572</v>
      </c>
      <c r="AJ23" s="19">
        <f t="shared" si="15"/>
        <v>0.34167350146637171</v>
      </c>
    </row>
    <row r="24" spans="1:36" x14ac:dyDescent="0.35">
      <c r="A24" s="36"/>
      <c r="B24" s="3">
        <v>2021</v>
      </c>
      <c r="C24" s="36"/>
      <c r="D24" s="36"/>
      <c r="E24" s="10">
        <v>11394308741</v>
      </c>
      <c r="F24" s="10">
        <v>816739145113</v>
      </c>
      <c r="G24" s="10">
        <v>572021955910</v>
      </c>
      <c r="H24" s="10">
        <v>51176784882</v>
      </c>
      <c r="I24" s="10">
        <v>159848739818</v>
      </c>
      <c r="J24" s="10">
        <v>1253478102</v>
      </c>
      <c r="K24" s="10">
        <v>212042439331</v>
      </c>
      <c r="L24" s="10">
        <f>26123057623+204496700+537565726+2143364428</f>
        <v>29008484477</v>
      </c>
      <c r="M24" s="10">
        <v>765562360231</v>
      </c>
      <c r="N24" s="10">
        <v>244717189203</v>
      </c>
      <c r="O24" s="10">
        <v>81640020475</v>
      </c>
      <c r="P24" s="10">
        <v>54800828001</v>
      </c>
      <c r="Q24" s="10">
        <v>37912737482</v>
      </c>
      <c r="R24" s="12">
        <v>304.18</v>
      </c>
      <c r="S24" s="12">
        <v>7.35</v>
      </c>
      <c r="T24" s="11">
        <v>1550000000</v>
      </c>
      <c r="U24" s="35">
        <f t="shared" si="0"/>
        <v>1.3950976648025777E-2</v>
      </c>
      <c r="V24" s="35">
        <f t="shared" si="1"/>
        <v>0.70037289057677998</v>
      </c>
      <c r="W24" s="35">
        <f t="shared" si="2"/>
        <v>0.32015757484399737</v>
      </c>
      <c r="X24" s="19">
        <f t="shared" si="3"/>
        <v>-0.42282374232638253</v>
      </c>
      <c r="Y24" s="20">
        <f t="shared" si="4"/>
        <v>0</v>
      </c>
      <c r="Z24" s="19">
        <f t="shared" si="5"/>
        <v>7.841651447657208E-3</v>
      </c>
      <c r="AA24" s="19">
        <f t="shared" si="6"/>
        <v>49.933856955762018</v>
      </c>
      <c r="AB24" s="19">
        <f t="shared" si="7"/>
        <v>0.27697605099997147</v>
      </c>
      <c r="AC24" s="19">
        <f t="shared" si="8"/>
        <v>0.25962076214880436</v>
      </c>
      <c r="AD24" s="17">
        <f t="shared" si="9"/>
        <v>4.6561129514887042E-2</v>
      </c>
      <c r="AE24" s="17">
        <f t="shared" si="10"/>
        <v>5.3735982178611849E-2</v>
      </c>
      <c r="AF24" s="19">
        <f t="shared" si="11"/>
        <v>0.38501736130076891</v>
      </c>
      <c r="AG24" s="19">
        <f t="shared" si="12"/>
        <v>1.4454463497134185</v>
      </c>
      <c r="AH24" s="19">
        <f t="shared" si="13"/>
        <v>2.3374817182764027</v>
      </c>
      <c r="AI24" s="19">
        <f t="shared" si="14"/>
        <v>41.385034013605448</v>
      </c>
      <c r="AJ24" s="19">
        <f t="shared" si="15"/>
        <v>1.9266280457679437</v>
      </c>
    </row>
    <row r="25" spans="1:36" x14ac:dyDescent="0.35">
      <c r="A25" s="36"/>
      <c r="B25" s="4">
        <v>2022</v>
      </c>
      <c r="C25" s="36"/>
      <c r="D25" s="36"/>
      <c r="E25" s="10">
        <v>18111128222</v>
      </c>
      <c r="F25" s="10">
        <v>1243649808964</v>
      </c>
      <c r="G25" s="10">
        <v>976752484348</v>
      </c>
      <c r="H25" s="10">
        <v>93436162188</v>
      </c>
      <c r="I25" s="10">
        <v>239880153930</v>
      </c>
      <c r="J25" s="10">
        <v>26812736807</v>
      </c>
      <c r="K25" s="10">
        <v>333909938076</v>
      </c>
      <c r="L25" s="10">
        <f>35433135838+158452409+2143448993+5177036025</f>
        <v>42912073265</v>
      </c>
      <c r="M25" s="10">
        <v>1150259646776</v>
      </c>
      <c r="N25" s="10">
        <v>266943324616</v>
      </c>
      <c r="O25" s="10">
        <v>127801201539</v>
      </c>
      <c r="P25" s="10">
        <v>92601479845</v>
      </c>
      <c r="Q25" s="10">
        <v>63285118910</v>
      </c>
      <c r="R25" s="12">
        <v>117.89</v>
      </c>
      <c r="S25" s="12">
        <v>11.68</v>
      </c>
      <c r="T25" s="11">
        <v>1550000000</v>
      </c>
      <c r="U25" s="35">
        <f t="shared" si="0"/>
        <v>1.4562884255244768E-2</v>
      </c>
      <c r="V25" s="35">
        <f t="shared" si="1"/>
        <v>0.7853918983525322</v>
      </c>
      <c r="W25" s="35">
        <f t="shared" si="2"/>
        <v>0.3895118485511137</v>
      </c>
      <c r="X25" s="19">
        <f t="shared" si="3"/>
        <v>5.6960246705906326E-2</v>
      </c>
      <c r="Y25" s="20">
        <f t="shared" si="4"/>
        <v>1</v>
      </c>
      <c r="Z25" s="19">
        <f t="shared" si="5"/>
        <v>0.11177555278217925</v>
      </c>
      <c r="AA25" s="19">
        <f t="shared" si="6"/>
        <v>46.90757882791744</v>
      </c>
      <c r="AB25" s="19">
        <f t="shared" si="7"/>
        <v>0.29029092606343093</v>
      </c>
      <c r="AC25" s="19">
        <f t="shared" si="8"/>
        <v>0.26849193050104486</v>
      </c>
      <c r="AD25" s="17">
        <f t="shared" si="9"/>
        <v>6.7846342470084225E-2</v>
      </c>
      <c r="AE25" s="17">
        <f t="shared" si="10"/>
        <v>5.4239560302867633E-2</v>
      </c>
      <c r="AF25" s="19">
        <f t="shared" si="11"/>
        <v>0.38274153286779877</v>
      </c>
      <c r="AG25" s="19">
        <f t="shared" si="12"/>
        <v>1.4632425669720528</v>
      </c>
      <c r="AH25" s="19">
        <f t="shared" si="13"/>
        <v>3.6590256967581634</v>
      </c>
      <c r="AI25" s="19">
        <f t="shared" si="14"/>
        <v>10.09332191780822</v>
      </c>
      <c r="AJ25" s="19">
        <f t="shared" si="15"/>
        <v>0.68452545222045824</v>
      </c>
    </row>
    <row r="26" spans="1:36" x14ac:dyDescent="0.35">
      <c r="A26" s="36"/>
      <c r="B26" s="5">
        <v>2023</v>
      </c>
      <c r="C26" s="36"/>
      <c r="D26" s="36"/>
      <c r="E26" s="10">
        <v>27186116723</v>
      </c>
      <c r="F26" s="10">
        <v>1528539670473</v>
      </c>
      <c r="G26" s="10">
        <v>1027609201943</v>
      </c>
      <c r="H26" s="10">
        <v>211719868122</v>
      </c>
      <c r="I26" s="10">
        <v>314744991723</v>
      </c>
      <c r="J26" s="10">
        <v>142229455873</v>
      </c>
      <c r="K26" s="10">
        <v>441461405484</v>
      </c>
      <c r="L26" s="10">
        <f>31366353712+180218959+1638568169+13102843847</f>
        <v>46287984687</v>
      </c>
      <c r="M26" s="10">
        <v>1316819802351</v>
      </c>
      <c r="N26" s="10">
        <v>500930468530</v>
      </c>
      <c r="O26" s="10">
        <v>153008348244</v>
      </c>
      <c r="P26" s="10">
        <v>112892614096</v>
      </c>
      <c r="Q26" s="10">
        <v>67590651331</v>
      </c>
      <c r="R26" s="12">
        <v>88</v>
      </c>
      <c r="S26" s="12">
        <v>7.81</v>
      </c>
      <c r="T26" s="11">
        <v>3534000000</v>
      </c>
      <c r="U26" s="35">
        <f t="shared" si="0"/>
        <v>1.7785679526778245E-2</v>
      </c>
      <c r="V26" s="35">
        <f t="shared" si="1"/>
        <v>0.6722816697488857</v>
      </c>
      <c r="W26" s="35">
        <f t="shared" si="2"/>
        <v>0.67267112643472937</v>
      </c>
      <c r="X26" s="19">
        <f t="shared" si="3"/>
        <v>-0.60106985370616728</v>
      </c>
      <c r="Y26" s="20">
        <f t="shared" si="4"/>
        <v>0</v>
      </c>
      <c r="Z26" s="19">
        <f t="shared" si="5"/>
        <v>0.45188790803118783</v>
      </c>
      <c r="AA26" s="19">
        <f t="shared" si="6"/>
        <v>38.270875326534821</v>
      </c>
      <c r="AB26" s="19">
        <f t="shared" si="7"/>
        <v>0.33524815217376863</v>
      </c>
      <c r="AC26" s="19">
        <f t="shared" si="8"/>
        <v>0.28881252741539359</v>
      </c>
      <c r="AD26" s="17">
        <f t="shared" si="9"/>
        <v>5.4271238087750424E-2</v>
      </c>
      <c r="AE26" s="17">
        <f t="shared" si="10"/>
        <v>6.1582091628585897E-2</v>
      </c>
      <c r="AF26" s="19">
        <f t="shared" si="11"/>
        <v>0.3465950734158697</v>
      </c>
      <c r="AG26" s="19">
        <f t="shared" si="12"/>
        <v>1.6702400683069398</v>
      </c>
      <c r="AH26" s="19">
        <f t="shared" si="13"/>
        <v>2.0514008759709892</v>
      </c>
      <c r="AI26" s="19">
        <f t="shared" si="14"/>
        <v>11.267605633802818</v>
      </c>
      <c r="AJ26" s="19">
        <f t="shared" si="15"/>
        <v>0.62082867690723254</v>
      </c>
    </row>
    <row r="27" spans="1:36" x14ac:dyDescent="0.35">
      <c r="A27" s="36">
        <v>6</v>
      </c>
      <c r="B27" s="1">
        <v>2019</v>
      </c>
      <c r="C27" s="36" t="s">
        <v>13</v>
      </c>
      <c r="D27" s="36" t="s">
        <v>14</v>
      </c>
      <c r="E27" s="10">
        <v>-157368618806</v>
      </c>
      <c r="F27" s="10">
        <v>2613070074932</v>
      </c>
      <c r="G27" s="10">
        <v>2410942815607</v>
      </c>
      <c r="H27" s="10">
        <v>945905221392</v>
      </c>
      <c r="I27" s="10">
        <v>1986534474236</v>
      </c>
      <c r="J27" s="10">
        <v>311873503513</v>
      </c>
      <c r="K27" s="10">
        <v>6708800607590</v>
      </c>
      <c r="L27" s="10">
        <f>31977114618+304507228603+8550558220</f>
        <v>345034901441</v>
      </c>
      <c r="M27" s="10">
        <v>1667164853540</v>
      </c>
      <c r="N27" s="10">
        <v>202127259325</v>
      </c>
      <c r="O27" s="10">
        <v>113942790</v>
      </c>
      <c r="P27" s="10">
        <f>-61806971146+65293914766</f>
        <v>3486943620</v>
      </c>
      <c r="Q27" s="10">
        <v>65293914766</v>
      </c>
      <c r="R27" s="12">
        <v>184</v>
      </c>
      <c r="S27" s="12">
        <v>-14.74</v>
      </c>
      <c r="T27" s="11">
        <v>10685124441</v>
      </c>
      <c r="U27" s="35">
        <f t="shared" si="0"/>
        <v>-6.0223650454569309E-2</v>
      </c>
      <c r="V27" s="35">
        <f t="shared" si="1"/>
        <v>0.92264759324134848</v>
      </c>
      <c r="W27" s="35">
        <f t="shared" si="2"/>
        <v>0.4761584727875337</v>
      </c>
      <c r="X27" s="19">
        <f t="shared" si="3"/>
        <v>1.1736003826279393</v>
      </c>
      <c r="Y27" s="20">
        <f t="shared" si="4"/>
        <v>1</v>
      </c>
      <c r="Z27" s="19">
        <f t="shared" si="5"/>
        <v>0.1569937534725861</v>
      </c>
      <c r="AA27" s="19">
        <f t="shared" si="6"/>
        <v>18.772019976787711</v>
      </c>
      <c r="AB27" s="19">
        <f t="shared" si="7"/>
        <v>4.0240775189956564</v>
      </c>
      <c r="AC27" s="19">
        <f t="shared" si="8"/>
        <v>2.5674017210443862</v>
      </c>
      <c r="AD27" s="17">
        <f t="shared" si="9"/>
        <v>-0.77856207683975631</v>
      </c>
      <c r="AE27" s="17">
        <f t="shared" si="10"/>
        <v>-2.345704217650485E-2</v>
      </c>
      <c r="AF27" s="19">
        <f>O27/K27</f>
        <v>1.6984077581779798E-5</v>
      </c>
      <c r="AG27" s="19">
        <f t="shared" si="12"/>
        <v>5.3403806962662462E-2</v>
      </c>
      <c r="AH27" s="19">
        <f t="shared" si="13"/>
        <v>11.927845970198657</v>
      </c>
      <c r="AI27" s="19">
        <f t="shared" si="14"/>
        <v>-12.483039348710991</v>
      </c>
      <c r="AJ27" s="19">
        <f t="shared" si="15"/>
        <v>9.726856752076035</v>
      </c>
    </row>
    <row r="28" spans="1:36" x14ac:dyDescent="0.35">
      <c r="A28" s="36"/>
      <c r="B28" s="2">
        <v>2020</v>
      </c>
      <c r="C28" s="36"/>
      <c r="D28" s="36"/>
      <c r="E28" s="10">
        <v>-2754589873561</v>
      </c>
      <c r="F28" s="10">
        <v>6080516085752</v>
      </c>
      <c r="G28" s="10">
        <v>8990927886117</v>
      </c>
      <c r="H28" s="10">
        <v>172660668664</v>
      </c>
      <c r="I28" s="10">
        <v>4957130972939</v>
      </c>
      <c r="J28" s="10">
        <v>18722028051</v>
      </c>
      <c r="K28" s="10">
        <v>1610973387045</v>
      </c>
      <c r="L28" s="10">
        <f>5831144397+27908257424+4750844749</f>
        <v>38490246570</v>
      </c>
      <c r="M28" s="10">
        <v>5907855417088</v>
      </c>
      <c r="N28" s="10">
        <v>-2910411800365</v>
      </c>
      <c r="O28" s="10">
        <v>-2803061345665</v>
      </c>
      <c r="P28" s="10">
        <f>-3069607805197+267246207693</f>
        <v>-2802361597504</v>
      </c>
      <c r="Q28" s="10">
        <v>267246207693</v>
      </c>
      <c r="R28" s="12">
        <v>184</v>
      </c>
      <c r="S28" s="12">
        <v>-257.81</v>
      </c>
      <c r="T28" s="11">
        <v>10685124441</v>
      </c>
      <c r="U28" s="35">
        <f t="shared" si="0"/>
        <v>-0.45301909158921821</v>
      </c>
      <c r="V28" s="35">
        <f t="shared" si="1"/>
        <v>1.4786455227352726</v>
      </c>
      <c r="W28" s="35">
        <f t="shared" si="2"/>
        <v>3.4830765942347568E-2</v>
      </c>
      <c r="X28" s="19">
        <f t="shared" si="3"/>
        <v>6.105563760891985</v>
      </c>
      <c r="Y28" s="20">
        <f t="shared" si="4"/>
        <v>1</v>
      </c>
      <c r="Z28" s="19">
        <f t="shared" si="5"/>
        <v>3.7767870474279645E-3</v>
      </c>
      <c r="AA28" s="19">
        <f t="shared" si="6"/>
        <v>8.7207772090015059</v>
      </c>
      <c r="AB28" s="19">
        <f t="shared" si="7"/>
        <v>0.27268327900939959</v>
      </c>
      <c r="AC28" s="19">
        <f t="shared" si="8"/>
        <v>0.26494023933591238</v>
      </c>
      <c r="AD28" s="17">
        <f t="shared" si="9"/>
        <v>0.94646052260217672</v>
      </c>
      <c r="AE28" s="17">
        <f t="shared" si="10"/>
        <v>-1.7098916069704477</v>
      </c>
      <c r="AF28" s="19">
        <f t="shared" si="11"/>
        <v>-1.7399799203428437</v>
      </c>
      <c r="AG28" s="19">
        <f t="shared" si="12"/>
        <v>-10.486066843362741</v>
      </c>
      <c r="AH28" s="19">
        <f t="shared" si="13"/>
        <v>-3.0892287768313169</v>
      </c>
      <c r="AI28" s="19">
        <f t="shared" si="14"/>
        <v>-0.71370389046196814</v>
      </c>
      <c r="AJ28" s="19">
        <f t="shared" si="15"/>
        <v>-0.675527393373485</v>
      </c>
    </row>
    <row r="29" spans="1:36" x14ac:dyDescent="0.35">
      <c r="A29" s="36"/>
      <c r="B29" s="3">
        <v>2021</v>
      </c>
      <c r="C29" s="36"/>
      <c r="D29" s="36"/>
      <c r="E29" s="10">
        <v>-2345394201170</v>
      </c>
      <c r="F29" s="10">
        <v>5136948816783</v>
      </c>
      <c r="G29" s="10">
        <v>10330589763360</v>
      </c>
      <c r="H29" s="10">
        <v>165547101103</v>
      </c>
      <c r="I29" s="10">
        <v>6601734213455</v>
      </c>
      <c r="J29" s="10">
        <v>21134302906</v>
      </c>
      <c r="K29" s="10">
        <v>626001737959</v>
      </c>
      <c r="L29" s="10">
        <f>548065076+26017262529+6294696636</f>
        <v>32860024241</v>
      </c>
      <c r="M29" s="10">
        <v>4971401715680</v>
      </c>
      <c r="N29" s="10">
        <v>-5193640946577</v>
      </c>
      <c r="O29" s="10">
        <v>-1676348751146</v>
      </c>
      <c r="P29" s="10">
        <f>1938838760933-Q29</f>
        <v>1676231555997</v>
      </c>
      <c r="Q29" s="10">
        <v>262607204936</v>
      </c>
      <c r="R29" s="12">
        <v>184</v>
      </c>
      <c r="S29" s="12">
        <v>-219.29</v>
      </c>
      <c r="T29" s="11">
        <v>10685124441</v>
      </c>
      <c r="U29" s="35">
        <f t="shared" si="0"/>
        <v>-0.4565734027770198</v>
      </c>
      <c r="V29" s="35">
        <f t="shared" si="1"/>
        <v>2.0110361484640027</v>
      </c>
      <c r="W29" s="35">
        <f t="shared" si="2"/>
        <v>2.5076305066265514E-2</v>
      </c>
      <c r="X29" s="19">
        <f t="shared" si="3"/>
        <v>9.1450897486394975</v>
      </c>
      <c r="Y29" s="20">
        <f t="shared" si="4"/>
        <v>1</v>
      </c>
      <c r="Z29" s="19">
        <f t="shared" si="5"/>
        <v>3.2013259278033581E-3</v>
      </c>
      <c r="AA29" s="19">
        <f t="shared" si="6"/>
        <v>19.159545606166578</v>
      </c>
      <c r="AB29" s="19">
        <f t="shared" si="7"/>
        <v>0.12592057004457424</v>
      </c>
      <c r="AC29" s="19">
        <f t="shared" si="8"/>
        <v>0.12186256088707378</v>
      </c>
      <c r="AD29" s="17">
        <f t="shared" si="9"/>
        <v>0.45158959298404933</v>
      </c>
      <c r="AE29" s="17">
        <f t="shared" si="10"/>
        <v>-3.746625702377222</v>
      </c>
      <c r="AF29" s="19">
        <f t="shared" si="11"/>
        <v>-2.6778659698478227</v>
      </c>
      <c r="AG29" s="19">
        <f t="shared" si="12"/>
        <v>6.3830371920127416</v>
      </c>
      <c r="AH29" s="19">
        <f t="shared" si="13"/>
        <v>-1.9890843186163332</v>
      </c>
      <c r="AI29" s="19">
        <f t="shared" si="14"/>
        <v>-0.83907154909024584</v>
      </c>
      <c r="AJ29" s="19">
        <f t="shared" si="15"/>
        <v>-0.37855194792389013</v>
      </c>
    </row>
    <row r="30" spans="1:36" x14ac:dyDescent="0.35">
      <c r="A30" s="36"/>
      <c r="B30" s="4">
        <v>2022</v>
      </c>
      <c r="C30" s="36"/>
      <c r="D30" s="36"/>
      <c r="E30" s="10">
        <v>-1646936950638</v>
      </c>
      <c r="F30" s="10">
        <v>5356962889162</v>
      </c>
      <c r="G30" s="10">
        <v>12172269741814</v>
      </c>
      <c r="H30" s="10">
        <v>287482120575</v>
      </c>
      <c r="I30" s="10">
        <v>7454518137308</v>
      </c>
      <c r="J30" s="10">
        <v>26734281919</v>
      </c>
      <c r="K30" s="10">
        <v>3780525920680</v>
      </c>
      <c r="L30" s="10">
        <f>26727897271+57563858307+5434752392</f>
        <v>89726507970</v>
      </c>
      <c r="M30" s="10">
        <v>5069480768587</v>
      </c>
      <c r="N30" s="10">
        <v>-6815306852652</v>
      </c>
      <c r="O30" s="10">
        <v>-1315662969114</v>
      </c>
      <c r="P30" s="10">
        <f>1643423868491-Q30</f>
        <v>1314863965189</v>
      </c>
      <c r="Q30" s="10">
        <v>328559903302</v>
      </c>
      <c r="R30" s="12">
        <v>192</v>
      </c>
      <c r="S30" s="12">
        <v>-154.41</v>
      </c>
      <c r="T30" s="11">
        <v>10685124441</v>
      </c>
      <c r="U30" s="35">
        <f t="shared" si="0"/>
        <v>-0.30743855888380694</v>
      </c>
      <c r="V30" s="35">
        <f t="shared" si="1"/>
        <v>2.2722333519316451</v>
      </c>
      <c r="W30" s="35">
        <f t="shared" si="2"/>
        <v>3.8564816032336663E-2</v>
      </c>
      <c r="X30" s="19">
        <f t="shared" si="3"/>
        <v>9.9553291625983054</v>
      </c>
      <c r="Y30" s="20">
        <f t="shared" si="4"/>
        <v>1</v>
      </c>
      <c r="Z30" s="19">
        <f t="shared" si="5"/>
        <v>3.5863192531790352E-3</v>
      </c>
      <c r="AA30" s="19">
        <f t="shared" si="6"/>
        <v>8.6628622832347233</v>
      </c>
      <c r="AB30" s="19">
        <f t="shared" si="7"/>
        <v>0.74574223539933338</v>
      </c>
      <c r="AC30" s="19">
        <f t="shared" si="8"/>
        <v>0.70572187989739743</v>
      </c>
      <c r="AD30" s="17">
        <f t="shared" si="9"/>
        <v>0.24165264840527864</v>
      </c>
      <c r="AE30" s="17">
        <f t="shared" si="10"/>
        <v>-0.43563699474430978</v>
      </c>
      <c r="AF30" s="19">
        <f t="shared" si="11"/>
        <v>-0.34801056697353705</v>
      </c>
      <c r="AG30" s="19">
        <f t="shared" si="12"/>
        <v>4.0019002683368399</v>
      </c>
      <c r="AH30" s="19">
        <f t="shared" si="13"/>
        <v>-1.7860193245851399</v>
      </c>
      <c r="AI30" s="19">
        <f t="shared" si="14"/>
        <v>-1.2434427822032252</v>
      </c>
      <c r="AJ30" s="19">
        <f t="shared" si="15"/>
        <v>-0.30102003285056705</v>
      </c>
    </row>
    <row r="31" spans="1:36" x14ac:dyDescent="0.35">
      <c r="A31" s="36"/>
      <c r="B31" s="5">
        <v>2023</v>
      </c>
      <c r="C31" s="36"/>
      <c r="D31" s="36"/>
      <c r="E31" s="10">
        <v>-1080715703453</v>
      </c>
      <c r="F31" s="10">
        <v>6116294571351</v>
      </c>
      <c r="G31" s="10">
        <v>14018410448757</v>
      </c>
      <c r="H31" s="10">
        <v>332000477335</v>
      </c>
      <c r="I31" s="10">
        <v>8578183745370</v>
      </c>
      <c r="J31" s="10">
        <v>56254020061</v>
      </c>
      <c r="K31" s="10">
        <v>6625320826182</v>
      </c>
      <c r="L31" s="10">
        <f>25787918720+50379326346+50483752643</f>
        <v>126650997709</v>
      </c>
      <c r="M31" s="10">
        <v>5784294094016</v>
      </c>
      <c r="N31" s="10">
        <v>-7902115877406</v>
      </c>
      <c r="O31" s="10">
        <v>-702619444119</v>
      </c>
      <c r="P31" s="10">
        <f>1064063337577-Q31</f>
        <v>701928214247</v>
      </c>
      <c r="Q31" s="10">
        <v>362135123330</v>
      </c>
      <c r="R31" s="12">
        <v>125</v>
      </c>
      <c r="S31" s="12">
        <v>-101.2</v>
      </c>
      <c r="T31" s="11">
        <v>10685124441</v>
      </c>
      <c r="U31" s="35">
        <f t="shared" si="0"/>
        <v>-0.17669451509335754</v>
      </c>
      <c r="V31" s="35">
        <f t="shared" si="1"/>
        <v>2.2919776484311054</v>
      </c>
      <c r="W31" s="35">
        <f t="shared" si="2"/>
        <v>3.8702887136708206E-2</v>
      </c>
      <c r="X31" s="19">
        <f t="shared" si="3"/>
        <v>9.4774086005080225</v>
      </c>
      <c r="Y31" s="20">
        <f t="shared" si="4"/>
        <v>1</v>
      </c>
      <c r="Z31" s="19">
        <f t="shared" si="5"/>
        <v>6.5578007805396589E-3</v>
      </c>
      <c r="AA31" s="19">
        <f t="shared" si="6"/>
        <v>6.9774151888769387</v>
      </c>
      <c r="AB31" s="19">
        <f t="shared" si="7"/>
        <v>1.1453983353018069</v>
      </c>
      <c r="AC31" s="19">
        <f t="shared" si="8"/>
        <v>1.0832246140032729</v>
      </c>
      <c r="AD31" s="17">
        <f t="shared" si="9"/>
        <v>0.13676282659218139</v>
      </c>
      <c r="AE31" s="17">
        <f t="shared" si="10"/>
        <v>-0.16311899933694055</v>
      </c>
      <c r="AF31" s="19">
        <f t="shared" si="11"/>
        <v>-0.10605062947931253</v>
      </c>
      <c r="AG31" s="19">
        <f t="shared" si="12"/>
        <v>1.9383047073491391</v>
      </c>
      <c r="AH31" s="19">
        <f t="shared" si="13"/>
        <v>-1.7740071983554326</v>
      </c>
      <c r="AI31" s="19">
        <f t="shared" si="14"/>
        <v>-1.2351778656126482</v>
      </c>
      <c r="AJ31" s="19">
        <f t="shared" si="15"/>
        <v>-0.16902315479122612</v>
      </c>
    </row>
    <row r="32" spans="1:36" x14ac:dyDescent="0.35">
      <c r="A32" s="36">
        <v>7</v>
      </c>
      <c r="B32" s="1">
        <v>2019</v>
      </c>
      <c r="C32" s="36" t="s">
        <v>15</v>
      </c>
      <c r="D32" s="36" t="s">
        <v>16</v>
      </c>
      <c r="E32" s="10">
        <v>-44567515</v>
      </c>
      <c r="F32" s="10">
        <v>4455675774</v>
      </c>
      <c r="G32" s="10">
        <v>3873097505</v>
      </c>
      <c r="H32" s="10">
        <v>1133892533</v>
      </c>
      <c r="I32" s="10">
        <v>3395880889</v>
      </c>
      <c r="J32" s="10">
        <v>299348853</v>
      </c>
      <c r="K32" s="10">
        <v>4572638083</v>
      </c>
      <c r="L32" s="10">
        <f>13884667+235971750+98633447+37666598</f>
        <v>386156462</v>
      </c>
      <c r="M32" s="10">
        <v>3321783241</v>
      </c>
      <c r="N32" s="10">
        <v>582578269</v>
      </c>
      <c r="O32" s="10">
        <v>95989390</v>
      </c>
      <c r="P32" s="10">
        <f>1235153+139990076</f>
        <v>141225229</v>
      </c>
      <c r="Q32" s="10">
        <v>139990076</v>
      </c>
      <c r="R32" s="23">
        <f>456.62/'Kurs Dollar'!B1</f>
        <v>3.289177021429858E-2</v>
      </c>
      <c r="S32" s="23">
        <v>-1.5E-3</v>
      </c>
      <c r="T32" s="11">
        <f>1+25886576253</f>
        <v>25886576254</v>
      </c>
      <c r="U32" s="35">
        <f t="shared" si="0"/>
        <v>-1.0002414282489488E-2</v>
      </c>
      <c r="V32" s="35">
        <f t="shared" si="1"/>
        <v>0.86925030039225648</v>
      </c>
      <c r="W32" s="35">
        <f t="shared" si="2"/>
        <v>0.33390232757365712</v>
      </c>
      <c r="X32" s="19">
        <f t="shared" si="3"/>
        <v>0.64427774227420465</v>
      </c>
      <c r="Y32" s="20">
        <f t="shared" si="4"/>
        <v>1</v>
      </c>
      <c r="Z32" s="19">
        <f t="shared" si="5"/>
        <v>8.8150575000924297E-2</v>
      </c>
      <c r="AA32" s="19">
        <f t="shared" si="6"/>
        <v>30.82402457216293</v>
      </c>
      <c r="AB32" s="19">
        <f t="shared" si="7"/>
        <v>1.3765612477542148</v>
      </c>
      <c r="AC32" s="19">
        <f t="shared" si="8"/>
        <v>1.0262501840197855</v>
      </c>
      <c r="AD32" s="17">
        <f t="shared" si="9"/>
        <v>-7.650047619610062E-2</v>
      </c>
      <c r="AE32" s="17">
        <f t="shared" si="10"/>
        <v>-9.7465651536454648E-3</v>
      </c>
      <c r="AF32" s="19">
        <f t="shared" si="11"/>
        <v>2.0992124952304039E-2</v>
      </c>
      <c r="AG32" s="19">
        <f t="shared" si="12"/>
        <v>1.0088231468636391</v>
      </c>
      <c r="AH32" s="19">
        <f t="shared" si="13"/>
        <v>6.6482011278041684</v>
      </c>
      <c r="AI32" s="19">
        <f t="shared" si="14"/>
        <v>-21.927846809532387</v>
      </c>
      <c r="AJ32" s="19">
        <f t="shared" si="15"/>
        <v>1.4615294855453769</v>
      </c>
    </row>
    <row r="33" spans="1:36" x14ac:dyDescent="0.35">
      <c r="A33" s="36"/>
      <c r="B33" s="2">
        <v>2020</v>
      </c>
      <c r="C33" s="36"/>
      <c r="D33" s="36"/>
      <c r="E33" s="10">
        <v>-2476633349</v>
      </c>
      <c r="F33" s="10">
        <v>10789980407</v>
      </c>
      <c r="G33" s="10">
        <v>12733004654</v>
      </c>
      <c r="H33" s="10">
        <v>536547176</v>
      </c>
      <c r="I33" s="10">
        <v>4294797755</v>
      </c>
      <c r="J33" s="10">
        <v>200979909</v>
      </c>
      <c r="K33" s="10">
        <v>1492331099</v>
      </c>
      <c r="L33" s="10">
        <f>10323841+100583150+10383010+5992422</f>
        <v>127282423</v>
      </c>
      <c r="M33" s="10">
        <v>10253433231</v>
      </c>
      <c r="N33" s="10">
        <v>-1943024247</v>
      </c>
      <c r="O33" s="10">
        <v>-2203059625</v>
      </c>
      <c r="P33" s="10">
        <f>2592583535+553669995</f>
        <v>3146253530</v>
      </c>
      <c r="Q33" s="10">
        <v>553669995</v>
      </c>
      <c r="R33" s="23">
        <f>368.6/'Kurs Dollar'!B2</f>
        <v>2.6253561253561254E-2</v>
      </c>
      <c r="S33" s="23">
        <v>-9.4369999999999996E-2</v>
      </c>
      <c r="T33" s="11">
        <f>1+25886576253</f>
        <v>25886576254</v>
      </c>
      <c r="U33" s="35">
        <f t="shared" si="0"/>
        <v>-0.22953084765504153</v>
      </c>
      <c r="V33" s="35">
        <f t="shared" si="1"/>
        <v>1.1800767168900013</v>
      </c>
      <c r="W33" s="35">
        <f t="shared" si="2"/>
        <v>0.12492955585052921</v>
      </c>
      <c r="X33" s="19">
        <f t="shared" si="3"/>
        <v>3.4010286724621173</v>
      </c>
      <c r="Y33" s="20">
        <f t="shared" si="4"/>
        <v>1</v>
      </c>
      <c r="Z33" s="19">
        <f t="shared" si="5"/>
        <v>4.6796128820273168E-2</v>
      </c>
      <c r="AA33" s="19">
        <f t="shared" si="6"/>
        <v>31.131217747945623</v>
      </c>
      <c r="AB33" s="19">
        <f t="shared" si="7"/>
        <v>0.14554452790389463</v>
      </c>
      <c r="AC33" s="19">
        <f t="shared" si="8"/>
        <v>0.13830711852190669</v>
      </c>
      <c r="AD33" s="17">
        <f t="shared" si="9"/>
        <v>1.2746281230529595</v>
      </c>
      <c r="AE33" s="17">
        <f t="shared" si="10"/>
        <v>-1.6595736366142699</v>
      </c>
      <c r="AF33" s="19">
        <f t="shared" si="11"/>
        <v>-1.4762539134085284</v>
      </c>
      <c r="AG33" s="19">
        <f t="shared" si="12"/>
        <v>5.6825429559353315</v>
      </c>
      <c r="AH33" s="19">
        <f t="shared" si="13"/>
        <v>-6.5531887590489752</v>
      </c>
      <c r="AI33" s="19">
        <f t="shared" si="14"/>
        <v>-0.27819816947717763</v>
      </c>
      <c r="AJ33" s="19">
        <f t="shared" si="15"/>
        <v>-0.34977165950383182</v>
      </c>
    </row>
    <row r="34" spans="1:36" x14ac:dyDescent="0.35">
      <c r="A34" s="36"/>
      <c r="B34" s="3">
        <v>2021</v>
      </c>
      <c r="C34" s="36"/>
      <c r="D34" s="36"/>
      <c r="E34" s="10">
        <v>-4174004768</v>
      </c>
      <c r="F34" s="10">
        <v>7192745360</v>
      </c>
      <c r="G34" s="10">
        <v>13302805075</v>
      </c>
      <c r="H34" s="10">
        <v>305725029</v>
      </c>
      <c r="I34" s="10">
        <v>5771313185</v>
      </c>
      <c r="J34" s="10">
        <v>54442439</v>
      </c>
      <c r="K34" s="10">
        <v>1336678470</v>
      </c>
      <c r="L34" s="10">
        <f>9996478+84742853+1799100+7347430</f>
        <v>103885861</v>
      </c>
      <c r="M34" s="10">
        <v>6887020331</v>
      </c>
      <c r="N34" s="10">
        <v>-6110059715</v>
      </c>
      <c r="O34" s="10">
        <v>-4532553806</v>
      </c>
      <c r="P34" s="10">
        <f>-4532553816+Q34</f>
        <v>-3960812341</v>
      </c>
      <c r="Q34" s="10">
        <v>571741475</v>
      </c>
      <c r="R34" s="23">
        <f>203.55/'Kurs Dollar'!B3</f>
        <v>1.428421052631579E-2</v>
      </c>
      <c r="S34" s="23">
        <v>-0.16067999999999999</v>
      </c>
      <c r="T34" s="11">
        <f>1+25886576253+65594207583</f>
        <v>91480783837</v>
      </c>
      <c r="U34" s="35">
        <f t="shared" si="0"/>
        <v>-0.58030759593024162</v>
      </c>
      <c r="V34" s="35">
        <f t="shared" si="1"/>
        <v>1.8494753267617414</v>
      </c>
      <c r="W34" s="35">
        <f t="shared" si="2"/>
        <v>5.2973217567640979E-2</v>
      </c>
      <c r="X34" s="19">
        <f t="shared" si="3"/>
        <v>8.7858866682428385</v>
      </c>
      <c r="Y34" s="20">
        <f t="shared" si="4"/>
        <v>1</v>
      </c>
      <c r="Z34" s="19">
        <f t="shared" si="5"/>
        <v>9.4332844631442401E-3</v>
      </c>
      <c r="AA34" s="19">
        <f t="shared" si="6"/>
        <v>28.367584363799917</v>
      </c>
      <c r="AB34" s="19">
        <f t="shared" si="7"/>
        <v>0.19408661594671281</v>
      </c>
      <c r="AC34" s="19">
        <f t="shared" si="8"/>
        <v>0.18583703483144021</v>
      </c>
      <c r="AD34" s="17">
        <f t="shared" si="9"/>
        <v>0.68313649337222559</v>
      </c>
      <c r="AE34" s="17">
        <f t="shared" si="10"/>
        <v>-3.1226692594218264</v>
      </c>
      <c r="AF34" s="19">
        <f t="shared" si="11"/>
        <v>-3.3909080663205415</v>
      </c>
      <c r="AG34" s="19">
        <f t="shared" si="12"/>
        <v>-6.9276281574640004</v>
      </c>
      <c r="AH34" s="19">
        <f t="shared" si="13"/>
        <v>-2.177197228096158</v>
      </c>
      <c r="AI34" s="19">
        <f t="shared" si="14"/>
        <v>-8.8898497176473676E-2</v>
      </c>
      <c r="AJ34" s="19">
        <f t="shared" si="15"/>
        <v>-0.21386546717900526</v>
      </c>
    </row>
    <row r="35" spans="1:36" x14ac:dyDescent="0.35">
      <c r="A35" s="36"/>
      <c r="B35" s="4">
        <v>2022</v>
      </c>
      <c r="C35" s="36"/>
      <c r="D35" s="36"/>
      <c r="E35" s="10">
        <v>3736670304</v>
      </c>
      <c r="F35" s="10">
        <v>6235010979</v>
      </c>
      <c r="G35" s="10">
        <v>7770110129</v>
      </c>
      <c r="H35" s="10">
        <v>801153825</v>
      </c>
      <c r="I35" s="10">
        <v>1681029672</v>
      </c>
      <c r="J35" s="10">
        <v>521682689</v>
      </c>
      <c r="K35" s="10">
        <v>2100079558</v>
      </c>
      <c r="L35" s="10">
        <f>16591272+86289993+11429851+11698529</f>
        <v>126009645</v>
      </c>
      <c r="M35" s="10">
        <v>5433857154</v>
      </c>
      <c r="N35" s="10">
        <v>-1535099150</v>
      </c>
      <c r="O35" s="10">
        <v>3935160004</v>
      </c>
      <c r="P35" s="10">
        <f>3935160004+Q35</f>
        <v>4347814069</v>
      </c>
      <c r="Q35" s="10">
        <v>412654065</v>
      </c>
      <c r="R35" s="23">
        <f>203.55/'Kurs Dollar'!B4</f>
        <v>1.3077417282364279E-2</v>
      </c>
      <c r="S35" s="23">
        <v>0.14144999999999999</v>
      </c>
      <c r="T35" s="11">
        <f>1+25886576253+65594207583</f>
        <v>91480783837</v>
      </c>
      <c r="U35" s="35">
        <f t="shared" si="0"/>
        <v>0.59930452674187662</v>
      </c>
      <c r="V35" s="35">
        <f t="shared" si="1"/>
        <v>1.24620632668817</v>
      </c>
      <c r="W35" s="35">
        <f t="shared" si="2"/>
        <v>0.47658517773028342</v>
      </c>
      <c r="X35" s="19">
        <f t="shared" si="3"/>
        <v>3.4638059365106416E-2</v>
      </c>
      <c r="Y35" s="20">
        <f t="shared" si="4"/>
        <v>1</v>
      </c>
      <c r="Z35" s="19">
        <f t="shared" si="5"/>
        <v>0.31033520567149159</v>
      </c>
      <c r="AA35" s="19">
        <f t="shared" si="6"/>
        <v>21.90084668449499</v>
      </c>
      <c r="AB35" s="19">
        <f t="shared" si="7"/>
        <v>0.38648044997908682</v>
      </c>
      <c r="AC35" s="19">
        <f t="shared" si="8"/>
        <v>0.3368205068240025</v>
      </c>
      <c r="AD35" s="17">
        <f t="shared" si="9"/>
        <v>-2.4341556726156743</v>
      </c>
      <c r="AE35" s="17">
        <f t="shared" si="10"/>
        <v>1.7792994030943279</v>
      </c>
      <c r="AF35" s="19">
        <f t="shared" si="11"/>
        <v>1.873814727165684</v>
      </c>
      <c r="AG35" s="19">
        <f t="shared" si="12"/>
        <v>10.536220136350771</v>
      </c>
      <c r="AH35" s="19">
        <f t="shared" si="13"/>
        <v>-5.0616340508038196</v>
      </c>
      <c r="AI35" s="19">
        <f t="shared" si="14"/>
        <v>9.2452578878503208E-2</v>
      </c>
      <c r="AJ35" s="19">
        <f t="shared" si="15"/>
        <v>-0.77931929253834487</v>
      </c>
    </row>
    <row r="36" spans="1:36" x14ac:dyDescent="0.35">
      <c r="A36" s="36"/>
      <c r="B36" s="5">
        <v>2023</v>
      </c>
      <c r="C36" s="36"/>
      <c r="D36" s="36"/>
      <c r="E36" s="10">
        <v>251996580</v>
      </c>
      <c r="F36" s="10">
        <v>6727645053</v>
      </c>
      <c r="G36" s="10">
        <v>1165155552</v>
      </c>
      <c r="H36" s="10">
        <v>653772901</v>
      </c>
      <c r="I36" s="10">
        <v>1165155552</v>
      </c>
      <c r="J36" s="10">
        <v>289846369</v>
      </c>
      <c r="K36" s="10">
        <v>2936631094</v>
      </c>
      <c r="L36" s="10">
        <f>24600917+113469359+11449080+13716445</f>
        <v>163235801</v>
      </c>
      <c r="M36" s="10">
        <v>6073872152</v>
      </c>
      <c r="N36" s="10">
        <v>-1282727174</v>
      </c>
      <c r="O36" s="10">
        <v>234589145</v>
      </c>
      <c r="P36" s="10">
        <f>O36+Q36</f>
        <v>691371785</v>
      </c>
      <c r="Q36" s="10">
        <v>456782640</v>
      </c>
      <c r="R36" s="23">
        <f>69/'Kurs Dollar'!B5</f>
        <v>4.4819746670997076E-3</v>
      </c>
      <c r="S36" s="23">
        <v>2.7299999999999998E-3</v>
      </c>
      <c r="T36" s="11">
        <f>1+25886576253+65594207583</f>
        <v>91480783837</v>
      </c>
      <c r="U36" s="35">
        <f t="shared" si="0"/>
        <v>3.7456878003340764E-2</v>
      </c>
      <c r="V36" s="35">
        <f t="shared" si="1"/>
        <v>0.17318921298923645</v>
      </c>
      <c r="W36" s="35">
        <f t="shared" si="2"/>
        <v>0.56110353667181423</v>
      </c>
      <c r="X36" s="19">
        <f t="shared" si="3"/>
        <v>-3.5237457640098913</v>
      </c>
      <c r="Y36" s="20">
        <f t="shared" si="4"/>
        <v>0</v>
      </c>
      <c r="Z36" s="19">
        <f t="shared" si="5"/>
        <v>0.24876195157159584</v>
      </c>
      <c r="AA36" s="19">
        <f t="shared" si="6"/>
        <v>20.288917966827192</v>
      </c>
      <c r="AB36" s="19">
        <f t="shared" si="7"/>
        <v>0.48348582592951489</v>
      </c>
      <c r="AC36" s="19">
        <f t="shared" si="8"/>
        <v>0.43650208518216843</v>
      </c>
      <c r="AD36" s="17">
        <f t="shared" si="9"/>
        <v>-0.19645376281706495</v>
      </c>
      <c r="AE36" s="17">
        <f t="shared" si="10"/>
        <v>8.5811452625039863E-2</v>
      </c>
      <c r="AF36" s="19">
        <f t="shared" si="11"/>
        <v>7.9883763908685221E-2</v>
      </c>
      <c r="AG36" s="19">
        <f t="shared" si="12"/>
        <v>1.5135684337741031</v>
      </c>
      <c r="AH36" s="19">
        <f t="shared" si="13"/>
        <v>-0.90834245630474186</v>
      </c>
      <c r="AI36" s="19">
        <f t="shared" si="14"/>
        <v>1.6417489623075854</v>
      </c>
      <c r="AJ36" s="19">
        <f t="shared" si="15"/>
        <v>-0.3196428390967091</v>
      </c>
    </row>
    <row r="37" spans="1:36" x14ac:dyDescent="0.35">
      <c r="A37" s="36">
        <v>8</v>
      </c>
      <c r="B37" s="1">
        <v>2019</v>
      </c>
      <c r="C37" s="36" t="s">
        <v>17</v>
      </c>
      <c r="D37" s="36" t="s">
        <v>18</v>
      </c>
      <c r="E37" s="10">
        <v>22186982539</v>
      </c>
      <c r="F37" s="10">
        <v>193198983272</v>
      </c>
      <c r="G37" s="10">
        <v>67743589307</v>
      </c>
      <c r="H37" s="10">
        <v>83695056368</v>
      </c>
      <c r="I37" s="10">
        <v>18365324219</v>
      </c>
      <c r="J37" s="10">
        <v>67285073629</v>
      </c>
      <c r="K37" s="10">
        <v>318024503004</v>
      </c>
      <c r="L37" s="10">
        <v>4317861720</v>
      </c>
      <c r="M37" s="10">
        <v>109503926904</v>
      </c>
      <c r="N37" s="10">
        <v>125455393965</v>
      </c>
      <c r="O37" s="10">
        <v>54937061483</v>
      </c>
      <c r="P37" s="10">
        <v>40793725937</v>
      </c>
      <c r="Q37" s="10">
        <v>12662495396</v>
      </c>
      <c r="R37" s="12">
        <v>210</v>
      </c>
      <c r="S37" s="12">
        <v>27</v>
      </c>
      <c r="T37" s="11">
        <v>819000000</v>
      </c>
      <c r="U37" s="35">
        <f t="shared" si="0"/>
        <v>0.1148400584891459</v>
      </c>
      <c r="V37" s="35">
        <f t="shared" si="1"/>
        <v>0.35064154148071008</v>
      </c>
      <c r="W37" s="35">
        <f t="shared" si="2"/>
        <v>4.5572327158489569</v>
      </c>
      <c r="X37" s="19">
        <f t="shared" si="3"/>
        <v>-2.8812088007559584</v>
      </c>
      <c r="Y37" s="20">
        <f t="shared" si="4"/>
        <v>0</v>
      </c>
      <c r="Z37" s="19">
        <f t="shared" si="5"/>
        <v>3.6637019214389728</v>
      </c>
      <c r="AA37" s="19">
        <f t="shared" si="6"/>
        <v>4.9556544005672967</v>
      </c>
      <c r="AB37" s="19">
        <f t="shared" si="7"/>
        <v>2.9042292089013939</v>
      </c>
      <c r="AC37" s="19">
        <f t="shared" si="8"/>
        <v>1.6460982227647714</v>
      </c>
      <c r="AD37" s="17">
        <f t="shared" si="9"/>
        <v>0.17685156323521495</v>
      </c>
      <c r="AE37" s="17">
        <f t="shared" si="10"/>
        <v>6.976500970656635E-2</v>
      </c>
      <c r="AF37" s="19">
        <f t="shared" si="11"/>
        <v>0.17274474439571413</v>
      </c>
      <c r="AG37" s="19">
        <f t="shared" si="12"/>
        <v>3.2216182246262828</v>
      </c>
      <c r="AH37" s="19">
        <f t="shared" si="13"/>
        <v>0.53998147999837576</v>
      </c>
      <c r="AI37" s="19">
        <f t="shared" si="14"/>
        <v>7.7777777777777777</v>
      </c>
      <c r="AJ37" s="19">
        <f t="shared" si="15"/>
        <v>1.3709255103689078</v>
      </c>
    </row>
    <row r="38" spans="1:36" x14ac:dyDescent="0.35">
      <c r="A38" s="36"/>
      <c r="B38" s="2">
        <v>2020</v>
      </c>
      <c r="C38" s="36"/>
      <c r="D38" s="36"/>
      <c r="E38" s="10">
        <v>6618117086</v>
      </c>
      <c r="F38" s="10">
        <v>335775952688</v>
      </c>
      <c r="G38" s="10">
        <v>203647281067</v>
      </c>
      <c r="H38" s="10">
        <v>147384406503</v>
      </c>
      <c r="I38" s="10">
        <v>69924395314</v>
      </c>
      <c r="J38" s="10">
        <v>3323649943</v>
      </c>
      <c r="K38" s="10">
        <v>143838437841</v>
      </c>
      <c r="L38" s="10">
        <v>115430620087</v>
      </c>
      <c r="M38" s="10">
        <v>188391546185</v>
      </c>
      <c r="N38" s="10">
        <v>132128671621</v>
      </c>
      <c r="O38" s="10">
        <v>32432194832</v>
      </c>
      <c r="P38" s="10">
        <v>15045691977</v>
      </c>
      <c r="Q38" s="10">
        <v>7323644253</v>
      </c>
      <c r="R38" s="12">
        <v>216</v>
      </c>
      <c r="S38" s="12">
        <v>8</v>
      </c>
      <c r="T38" s="11">
        <v>819000005</v>
      </c>
      <c r="U38" s="35">
        <f t="shared" si="0"/>
        <v>1.9709919763520097E-2</v>
      </c>
      <c r="V38" s="35">
        <f t="shared" si="1"/>
        <v>0.60649751549131103</v>
      </c>
      <c r="W38" s="35">
        <f t="shared" si="2"/>
        <v>2.1077680520676774</v>
      </c>
      <c r="X38" s="19">
        <f t="shared" si="3"/>
        <v>-0.98908254962588182</v>
      </c>
      <c r="Y38" s="20">
        <f t="shared" si="4"/>
        <v>0</v>
      </c>
      <c r="Z38" s="19">
        <f t="shared" si="5"/>
        <v>4.753205126873012E-2</v>
      </c>
      <c r="AA38" s="19">
        <f t="shared" si="6"/>
        <v>292.91319458243976</v>
      </c>
      <c r="AB38" s="19">
        <f t="shared" si="7"/>
        <v>0.76350792142101231</v>
      </c>
      <c r="AC38" s="19">
        <f t="shared" si="8"/>
        <v>0.42837623328747843</v>
      </c>
      <c r="AD38" s="17">
        <f t="shared" si="9"/>
        <v>5.0088425205571684E-2</v>
      </c>
      <c r="AE38" s="17">
        <f t="shared" si="10"/>
        <v>4.6010768646665312E-2</v>
      </c>
      <c r="AF38" s="19">
        <f t="shared" si="11"/>
        <v>0.22547655076628942</v>
      </c>
      <c r="AG38" s="19">
        <f t="shared" si="12"/>
        <v>2.0543996209041424</v>
      </c>
      <c r="AH38" s="19">
        <f t="shared" si="13"/>
        <v>1.5412800156740025</v>
      </c>
      <c r="AI38" s="19">
        <f t="shared" si="14"/>
        <v>27</v>
      </c>
      <c r="AJ38" s="19">
        <f t="shared" si="15"/>
        <v>1.3388767094203009</v>
      </c>
    </row>
    <row r="39" spans="1:36" x14ac:dyDescent="0.35">
      <c r="A39" s="36"/>
      <c r="B39" s="3">
        <v>2021</v>
      </c>
      <c r="C39" s="36"/>
      <c r="D39" s="36"/>
      <c r="E39" s="10">
        <v>3450833932</v>
      </c>
      <c r="F39" s="10">
        <v>301477751273</v>
      </c>
      <c r="G39" s="10">
        <v>160316617953</v>
      </c>
      <c r="H39" s="10">
        <v>107007105513</v>
      </c>
      <c r="I39" s="10">
        <v>104231114388</v>
      </c>
      <c r="J39" s="10">
        <v>13107447427</v>
      </c>
      <c r="K39" s="10">
        <v>63398642323</v>
      </c>
      <c r="L39" s="10">
        <v>70787107830</v>
      </c>
      <c r="M39" s="10">
        <v>194470645760</v>
      </c>
      <c r="N39" s="10">
        <v>141161133320</v>
      </c>
      <c r="O39" s="10">
        <v>21293781190</v>
      </c>
      <c r="P39" s="10">
        <v>19023398913</v>
      </c>
      <c r="Q39" s="10">
        <v>14797849358</v>
      </c>
      <c r="R39" s="12">
        <v>326</v>
      </c>
      <c r="S39" s="12">
        <v>4</v>
      </c>
      <c r="T39" s="11">
        <v>832862387</v>
      </c>
      <c r="U39" s="35">
        <f t="shared" si="0"/>
        <v>1.144639668243755E-2</v>
      </c>
      <c r="V39" s="35">
        <f t="shared" si="1"/>
        <v>0.53176931722509424</v>
      </c>
      <c r="W39" s="35">
        <f t="shared" si="2"/>
        <v>1.0266330369899566</v>
      </c>
      <c r="X39" s="19">
        <f t="shared" si="3"/>
        <v>-1.3718461678544902</v>
      </c>
      <c r="Y39" s="20">
        <f t="shared" si="4"/>
        <v>0</v>
      </c>
      <c r="Z39" s="19">
        <f t="shared" si="5"/>
        <v>0.12575369172594247</v>
      </c>
      <c r="AA39" s="19">
        <f t="shared" si="6"/>
        <v>407.53702936279836</v>
      </c>
      <c r="AB39" s="19">
        <f t="shared" si="7"/>
        <v>0.32600623130156875</v>
      </c>
      <c r="AC39" s="19">
        <f t="shared" si="8"/>
        <v>0.2102929388828764</v>
      </c>
      <c r="AD39" s="17">
        <f t="shared" si="9"/>
        <v>2.4446062813743921E-2</v>
      </c>
      <c r="AE39" s="17">
        <f t="shared" si="10"/>
        <v>5.4430722891806997E-2</v>
      </c>
      <c r="AF39" s="19">
        <f t="shared" si="11"/>
        <v>0.3358712491272855</v>
      </c>
      <c r="AG39" s="19">
        <f t="shared" si="12"/>
        <v>1.2855515996123847</v>
      </c>
      <c r="AH39" s="19">
        <f t="shared" si="13"/>
        <v>1.1356994250646613</v>
      </c>
      <c r="AI39" s="19">
        <f t="shared" si="14"/>
        <v>81.5</v>
      </c>
      <c r="AJ39" s="19">
        <f t="shared" si="15"/>
        <v>1.9234270211369255</v>
      </c>
    </row>
    <row r="40" spans="1:36" x14ac:dyDescent="0.35">
      <c r="A40" s="36"/>
      <c r="B40" s="4">
        <v>2022</v>
      </c>
      <c r="C40" s="36"/>
      <c r="D40" s="36"/>
      <c r="E40" s="10">
        <v>-86113836298</v>
      </c>
      <c r="F40" s="10">
        <v>226862555471</v>
      </c>
      <c r="G40" s="10">
        <v>171960549752</v>
      </c>
      <c r="H40" s="10">
        <v>57865831534</v>
      </c>
      <c r="I40" s="10">
        <v>117564570959</v>
      </c>
      <c r="J40" s="10">
        <v>32751966659</v>
      </c>
      <c r="K40" s="10">
        <v>44557817161</v>
      </c>
      <c r="L40" s="10">
        <v>2540119998</v>
      </c>
      <c r="M40" s="10">
        <v>168996723937</v>
      </c>
      <c r="N40" s="10">
        <v>54902005719</v>
      </c>
      <c r="O40" s="10">
        <v>7921893480</v>
      </c>
      <c r="P40" s="10">
        <f>-73288238062</f>
        <v>-73288238062</v>
      </c>
      <c r="Q40" s="10">
        <v>12942869514</v>
      </c>
      <c r="R40" s="12">
        <v>280</v>
      </c>
      <c r="S40" s="12">
        <v>-103</v>
      </c>
      <c r="T40" s="11">
        <v>832862387</v>
      </c>
      <c r="U40" s="35">
        <f t="shared" si="0"/>
        <v>-0.37958593968588172</v>
      </c>
      <c r="V40" s="35">
        <f t="shared" si="1"/>
        <v>0.7579944138202297</v>
      </c>
      <c r="W40" s="35">
        <f t="shared" si="2"/>
        <v>0.49220467579625149</v>
      </c>
      <c r="X40" s="19">
        <f t="shared" si="3"/>
        <v>1.6797528031842832</v>
      </c>
      <c r="Y40" s="20">
        <f t="shared" si="4"/>
        <v>1</v>
      </c>
      <c r="Z40" s="19">
        <f t="shared" si="5"/>
        <v>0.27858704703155912</v>
      </c>
      <c r="AA40" s="19">
        <f t="shared" si="6"/>
        <v>20.807657518768639</v>
      </c>
      <c r="AB40" s="19">
        <f t="shared" si="7"/>
        <v>0.26366083390829892</v>
      </c>
      <c r="AC40" s="19">
        <f t="shared" si="8"/>
        <v>0.19640886557277565</v>
      </c>
      <c r="AD40" s="17">
        <f t="shared" si="9"/>
        <v>-1.5685007345405322</v>
      </c>
      <c r="AE40" s="17">
        <f t="shared" si="10"/>
        <v>-1.9326313941018778</v>
      </c>
      <c r="AF40" s="19">
        <f t="shared" si="11"/>
        <v>0.17778908359392825</v>
      </c>
      <c r="AG40" s="19">
        <f t="shared" si="12"/>
        <v>-5.6624412370630655</v>
      </c>
      <c r="AH40" s="19">
        <f t="shared" si="13"/>
        <v>3.1321360212617773</v>
      </c>
      <c r="AI40" s="19">
        <f t="shared" si="14"/>
        <v>-2.7184466019417477</v>
      </c>
      <c r="AJ40" s="19">
        <f t="shared" si="15"/>
        <v>4.2475946972424667</v>
      </c>
    </row>
    <row r="41" spans="1:36" x14ac:dyDescent="0.35">
      <c r="A41" s="36"/>
      <c r="B41" s="5">
        <v>2023</v>
      </c>
      <c r="C41" s="36"/>
      <c r="D41" s="36"/>
      <c r="E41" s="10">
        <v>663731135</v>
      </c>
      <c r="F41" s="10">
        <v>204597530054</v>
      </c>
      <c r="G41" s="10">
        <v>149026095629</v>
      </c>
      <c r="H41" s="10">
        <v>45125618315</v>
      </c>
      <c r="I41" s="10">
        <v>147237670193</v>
      </c>
      <c r="J41" s="10">
        <v>16463507097</v>
      </c>
      <c r="K41" s="10">
        <v>69081868276</v>
      </c>
      <c r="L41" s="10">
        <v>28089482297</v>
      </c>
      <c r="M41" s="10">
        <v>159471911739</v>
      </c>
      <c r="N41" s="10">
        <v>55571434425</v>
      </c>
      <c r="O41" s="10">
        <v>4927055596</v>
      </c>
      <c r="P41" s="10">
        <v>8527351955</v>
      </c>
      <c r="Q41" s="10">
        <v>9219693486</v>
      </c>
      <c r="R41" s="12">
        <v>404</v>
      </c>
      <c r="S41" s="12">
        <v>0.79</v>
      </c>
      <c r="T41" s="11">
        <v>832862387</v>
      </c>
      <c r="U41" s="35">
        <f t="shared" si="0"/>
        <v>3.2440818558504571E-3</v>
      </c>
      <c r="V41" s="35">
        <f t="shared" si="1"/>
        <v>0.72838658213355323</v>
      </c>
      <c r="W41" s="35">
        <f t="shared" si="2"/>
        <v>0.30648147485523969</v>
      </c>
      <c r="X41" s="19">
        <f t="shared" si="3"/>
        <v>-0.21535906737842495</v>
      </c>
      <c r="Y41" s="20">
        <f t="shared" si="4"/>
        <v>0</v>
      </c>
      <c r="Z41" s="19">
        <f t="shared" si="5"/>
        <v>0.11181586258068019</v>
      </c>
      <c r="AA41" s="19">
        <f t="shared" si="6"/>
        <v>148.41319863329343</v>
      </c>
      <c r="AB41" s="19">
        <f t="shared" si="7"/>
        <v>0.43319144746356941</v>
      </c>
      <c r="AC41" s="19">
        <f t="shared" si="8"/>
        <v>0.33764761606734467</v>
      </c>
      <c r="AD41" s="17">
        <f t="shared" si="9"/>
        <v>1.1943746672506375E-2</v>
      </c>
      <c r="AE41" s="17">
        <f t="shared" si="10"/>
        <v>9.6078920788335055E-3</v>
      </c>
      <c r="AF41" s="19">
        <f t="shared" si="11"/>
        <v>7.1321979543389494E-2</v>
      </c>
      <c r="AG41" s="19">
        <f t="shared" si="12"/>
        <v>0.92490623120483206</v>
      </c>
      <c r="AH41" s="19">
        <f t="shared" si="13"/>
        <v>2.6817032378411563</v>
      </c>
      <c r="AI41" s="19">
        <f t="shared" si="14"/>
        <v>511.39240506329111</v>
      </c>
      <c r="AJ41" s="19">
        <f t="shared" si="15"/>
        <v>6.0548446846754214</v>
      </c>
    </row>
    <row r="42" spans="1:36" x14ac:dyDescent="0.35">
      <c r="A42" s="36">
        <v>9</v>
      </c>
      <c r="B42" s="1">
        <v>2019</v>
      </c>
      <c r="C42" s="36" t="s">
        <v>19</v>
      </c>
      <c r="D42" s="36" t="s">
        <v>20</v>
      </c>
      <c r="E42" s="10">
        <v>43567249807</v>
      </c>
      <c r="F42" s="10">
        <v>24296140332728</v>
      </c>
      <c r="G42" s="10">
        <v>21014232022229</v>
      </c>
      <c r="H42" s="10">
        <v>7588263288283</v>
      </c>
      <c r="I42" s="10">
        <v>8994809317527</v>
      </c>
      <c r="J42" s="10">
        <v>605990459567</v>
      </c>
      <c r="K42" s="10">
        <v>3966048396263</v>
      </c>
      <c r="L42" s="10">
        <f>82017170389+184284257337+6188618783517+35893537373+316760261992+17941348284+8392712251935+20897875356+10387628714</f>
        <v>15249513114897</v>
      </c>
      <c r="M42" s="10">
        <v>16707877044445</v>
      </c>
      <c r="N42" s="10">
        <v>3281908310499</v>
      </c>
      <c r="O42" s="10">
        <v>1668976092021</v>
      </c>
      <c r="P42" s="10">
        <v>570042940155</v>
      </c>
      <c r="Q42" s="10">
        <v>548198374672</v>
      </c>
      <c r="R42" s="12">
        <v>291.16000000000003</v>
      </c>
      <c r="S42" s="12">
        <v>13.41</v>
      </c>
      <c r="T42" s="11">
        <v>5769550000</v>
      </c>
      <c r="U42" s="35">
        <f t="shared" si="0"/>
        <v>1.7931757559167924E-3</v>
      </c>
      <c r="V42" s="35">
        <f t="shared" si="1"/>
        <v>0.86492058962640572</v>
      </c>
      <c r="W42" s="35">
        <f t="shared" si="2"/>
        <v>0.84362692086165192</v>
      </c>
      <c r="X42" s="19">
        <f t="shared" si="3"/>
        <v>0.56441691861845888</v>
      </c>
      <c r="Y42" s="20">
        <f t="shared" si="4"/>
        <v>1</v>
      </c>
      <c r="Z42" s="19">
        <f t="shared" si="5"/>
        <v>6.7371129078432623E-2</v>
      </c>
      <c r="AA42" s="19">
        <f t="shared" si="6"/>
        <v>1403.430248653048</v>
      </c>
      <c r="AB42" s="19">
        <f t="shared" si="7"/>
        <v>0.23737596259014987</v>
      </c>
      <c r="AC42" s="19">
        <f t="shared" si="8"/>
        <v>0.163237795878243</v>
      </c>
      <c r="AD42" s="17">
        <f t="shared" si="9"/>
        <v>1.3274974705303632E-2</v>
      </c>
      <c r="AE42" s="17">
        <f t="shared" si="10"/>
        <v>1.0985052489034461E-2</v>
      </c>
      <c r="AF42" s="19">
        <f t="shared" si="11"/>
        <v>0.42081586639073515</v>
      </c>
      <c r="AG42" s="19">
        <f t="shared" si="12"/>
        <v>1.0398479209210902</v>
      </c>
      <c r="AH42" s="19">
        <f t="shared" si="13"/>
        <v>6.4030527467825191</v>
      </c>
      <c r="AI42" s="19">
        <f t="shared" si="14"/>
        <v>21.712155108128265</v>
      </c>
      <c r="AJ42" s="19">
        <f t="shared" si="15"/>
        <v>0.51185530461836215</v>
      </c>
    </row>
    <row r="43" spans="1:36" x14ac:dyDescent="0.35">
      <c r="A43" s="36"/>
      <c r="B43" s="2">
        <v>2020</v>
      </c>
      <c r="C43" s="36"/>
      <c r="D43" s="36"/>
      <c r="E43" s="10">
        <v>-111658261516</v>
      </c>
      <c r="F43" s="10">
        <v>23639879332158</v>
      </c>
      <c r="G43" s="10">
        <v>20035511464172</v>
      </c>
      <c r="H43" s="10">
        <v>8268647779762</v>
      </c>
      <c r="I43" s="10">
        <v>9619428981410</v>
      </c>
      <c r="J43" s="10">
        <v>1464744192381</v>
      </c>
      <c r="K43" s="10">
        <v>4142750788802</v>
      </c>
      <c r="L43" s="10">
        <f>113917978380+183303480325+5932226419406+8889006853+402832472040+5872454650405+24120208422</f>
        <v>12537744215831</v>
      </c>
      <c r="M43" s="10">
        <v>15371231552396</v>
      </c>
      <c r="N43" s="10">
        <v>3604367867986</v>
      </c>
      <c r="O43" s="10">
        <v>1584132936814</v>
      </c>
      <c r="P43" s="10">
        <v>462304539476</v>
      </c>
      <c r="Q43" s="10">
        <v>633856675417</v>
      </c>
      <c r="R43" s="12">
        <v>410</v>
      </c>
      <c r="S43" s="12">
        <v>-8.52</v>
      </c>
      <c r="T43" s="11">
        <v>8654325000</v>
      </c>
      <c r="U43" s="35">
        <f t="shared" si="0"/>
        <v>-4.7233008234567461E-3</v>
      </c>
      <c r="V43" s="35">
        <f t="shared" si="1"/>
        <v>0.84753019178558686</v>
      </c>
      <c r="W43" s="35">
        <f t="shared" si="2"/>
        <v>0.85957781857338433</v>
      </c>
      <c r="X43" s="19">
        <f t="shared" si="3"/>
        <v>0.49500190449231413</v>
      </c>
      <c r="Y43" s="20">
        <f t="shared" si="4"/>
        <v>1</v>
      </c>
      <c r="Z43" s="19">
        <f t="shared" si="5"/>
        <v>0.15226934937735775</v>
      </c>
      <c r="AA43" s="19">
        <f t="shared" si="6"/>
        <v>1104.6468571433625</v>
      </c>
      <c r="AB43" s="19">
        <f t="shared" si="7"/>
        <v>0.26951326409211801</v>
      </c>
      <c r="AC43" s="19">
        <f t="shared" si="8"/>
        <v>0.17524415969274845</v>
      </c>
      <c r="AD43" s="17">
        <f t="shared" si="9"/>
        <v>-3.0978597525449281E-2</v>
      </c>
      <c r="AE43" s="17">
        <f t="shared" si="10"/>
        <v>-2.6952686079456233E-2</v>
      </c>
      <c r="AF43" s="19">
        <f t="shared" si="11"/>
        <v>0.38238673228811315</v>
      </c>
      <c r="AG43" s="19">
        <f t="shared" si="12"/>
        <v>0.72935185098722877</v>
      </c>
      <c r="AH43" s="19">
        <f t="shared" si="13"/>
        <v>5.5586755286904639</v>
      </c>
      <c r="AI43" s="19">
        <f t="shared" si="14"/>
        <v>-48.122065727699535</v>
      </c>
      <c r="AJ43" s="19">
        <f t="shared" si="15"/>
        <v>0.98443704415294764</v>
      </c>
    </row>
    <row r="44" spans="1:36" x14ac:dyDescent="0.35">
      <c r="A44" s="36"/>
      <c r="B44" s="3">
        <v>2021</v>
      </c>
      <c r="C44" s="36"/>
      <c r="D44" s="36"/>
      <c r="E44" s="10">
        <v>-80559251631</v>
      </c>
      <c r="F44" s="10">
        <v>24675527915691</v>
      </c>
      <c r="G44" s="10">
        <v>20865410787960</v>
      </c>
      <c r="H44" s="10">
        <v>8582589020958</v>
      </c>
      <c r="I44" s="10">
        <v>10385907628004</v>
      </c>
      <c r="J44" s="10">
        <v>1582013234112</v>
      </c>
      <c r="K44" s="10">
        <v>4039420527843</v>
      </c>
      <c r="L44" s="10">
        <f>128001479535+176525859531+6368078264146+2602609089+146941895092+969883347+6070411288888+107802154685+7666898272</f>
        <v>13009000332585</v>
      </c>
      <c r="M44" s="10">
        <v>16092938894733</v>
      </c>
      <c r="N44" s="10">
        <v>3810117127731</v>
      </c>
      <c r="O44" s="10">
        <v>1403043468675</v>
      </c>
      <c r="P44" s="10">
        <v>569472690586</v>
      </c>
      <c r="Q44" s="10">
        <v>681979272930</v>
      </c>
      <c r="R44" s="12">
        <v>420</v>
      </c>
      <c r="S44" s="12">
        <v>-0.71</v>
      </c>
      <c r="T44" s="11">
        <v>8654325000</v>
      </c>
      <c r="U44" s="35">
        <f t="shared" si="0"/>
        <v>-3.2647427810358182E-3</v>
      </c>
      <c r="V44" s="35">
        <f t="shared" si="1"/>
        <v>0.84559126188711964</v>
      </c>
      <c r="W44" s="35">
        <f t="shared" si="2"/>
        <v>0.82636870347434743</v>
      </c>
      <c r="X44" s="19">
        <f t="shared" si="3"/>
        <v>0.47754108561387049</v>
      </c>
      <c r="Y44" s="20">
        <f t="shared" si="4"/>
        <v>1</v>
      </c>
      <c r="Z44" s="19">
        <f t="shared" si="5"/>
        <v>0.15232306032130932</v>
      </c>
      <c r="AA44" s="19">
        <f t="shared" si="6"/>
        <v>1175.4867037646734</v>
      </c>
      <c r="AB44" s="19">
        <f t="shared" si="7"/>
        <v>0.2510057705597234</v>
      </c>
      <c r="AC44" s="19">
        <f t="shared" si="8"/>
        <v>0.1637014835769475</v>
      </c>
      <c r="AD44" s="17">
        <f t="shared" si="9"/>
        <v>-2.114351053532431E-2</v>
      </c>
      <c r="AE44" s="17">
        <f t="shared" si="10"/>
        <v>-1.9943269356512784E-2</v>
      </c>
      <c r="AF44" s="19">
        <f t="shared" si="11"/>
        <v>0.34733780724340868</v>
      </c>
      <c r="AG44" s="19">
        <f t="shared" si="12"/>
        <v>0.8350293230164666</v>
      </c>
      <c r="AH44" s="19">
        <f t="shared" si="13"/>
        <v>5.476317417146114</v>
      </c>
      <c r="AI44" s="19">
        <f t="shared" si="14"/>
        <v>-591.54929577464793</v>
      </c>
      <c r="AJ44" s="19">
        <f t="shared" si="15"/>
        <v>0.95399075097846275</v>
      </c>
    </row>
    <row r="45" spans="1:36" x14ac:dyDescent="0.35">
      <c r="A45" s="36"/>
      <c r="B45" s="4">
        <v>2022</v>
      </c>
      <c r="C45" s="36"/>
      <c r="D45" s="36"/>
      <c r="E45" s="10">
        <v>91380828853</v>
      </c>
      <c r="F45" s="10">
        <v>26929459012147</v>
      </c>
      <c r="G45" s="10">
        <v>22506427524373</v>
      </c>
      <c r="H45" s="10">
        <v>9348909743155</v>
      </c>
      <c r="I45" s="10">
        <v>13085783484765</v>
      </c>
      <c r="J45" s="10">
        <v>2066740880175</v>
      </c>
      <c r="K45" s="10">
        <v>4925433552907</v>
      </c>
      <c r="L45" s="10">
        <f>198991316172+319208171725+6434140903379+874548963+77942393124+41463169164+6700186821078+540567247000+426646812043</f>
        <v>14740021382648</v>
      </c>
      <c r="M45" s="10">
        <v>17580549268992</v>
      </c>
      <c r="N45" s="10">
        <v>4423031487774</v>
      </c>
      <c r="O45" s="10">
        <v>1990157178379</v>
      </c>
      <c r="P45" s="10">
        <v>732319751272</v>
      </c>
      <c r="Q45" s="10">
        <v>603825322256</v>
      </c>
      <c r="R45" s="12">
        <v>316</v>
      </c>
      <c r="S45" s="12">
        <v>16.760000000000002</v>
      </c>
      <c r="T45" s="11">
        <v>8654325000</v>
      </c>
      <c r="U45" s="35">
        <f t="shared" si="0"/>
        <v>3.3933406835904537E-3</v>
      </c>
      <c r="V45" s="35">
        <f t="shared" si="1"/>
        <v>0.83575490744990777</v>
      </c>
      <c r="W45" s="35">
        <f t="shared" si="2"/>
        <v>0.71443255606661837</v>
      </c>
      <c r="X45" s="19">
        <f t="shared" si="3"/>
        <v>0.39208024267871622</v>
      </c>
      <c r="Y45" s="20">
        <f t="shared" si="4"/>
        <v>1</v>
      </c>
      <c r="Z45" s="19">
        <f t="shared" si="5"/>
        <v>0.15793787835334305</v>
      </c>
      <c r="AA45" s="19">
        <f t="shared" si="6"/>
        <v>1092.3115187476583</v>
      </c>
      <c r="AB45" s="19">
        <f t="shared" si="7"/>
        <v>0.28016380361871396</v>
      </c>
      <c r="AC45" s="19">
        <f t="shared" si="8"/>
        <v>0.18290131824353759</v>
      </c>
      <c r="AD45" s="17">
        <f t="shared" si="9"/>
        <v>2.0660225708451753E-2</v>
      </c>
      <c r="AE45" s="17">
        <f t="shared" si="10"/>
        <v>1.8552849789043823E-2</v>
      </c>
      <c r="AF45" s="19">
        <f t="shared" si="11"/>
        <v>0.40405725851370089</v>
      </c>
      <c r="AG45" s="19">
        <f t="shared" si="12"/>
        <v>1.2128006631717956</v>
      </c>
      <c r="AH45" s="19">
        <f t="shared" si="13"/>
        <v>5.0884619715198811</v>
      </c>
      <c r="AI45" s="19">
        <f t="shared" si="14"/>
        <v>18.854415274463005</v>
      </c>
      <c r="AJ45" s="19">
        <f t="shared" si="15"/>
        <v>0.61830143139594484</v>
      </c>
    </row>
    <row r="46" spans="1:36" x14ac:dyDescent="0.35">
      <c r="A46" s="36"/>
      <c r="B46" s="5">
        <v>2023</v>
      </c>
      <c r="C46" s="36"/>
      <c r="D46" s="36"/>
      <c r="E46" s="10">
        <v>269601647892</v>
      </c>
      <c r="F46" s="10">
        <v>28711561013612</v>
      </c>
      <c r="G46" s="10">
        <v>23973773451031</v>
      </c>
      <c r="H46" s="10">
        <v>9786373117617</v>
      </c>
      <c r="I46" s="10">
        <v>10691776613770</v>
      </c>
      <c r="J46" s="10">
        <v>1670660796641</v>
      </c>
      <c r="K46" s="10">
        <v>5154369131699</v>
      </c>
      <c r="L46" s="10">
        <f>169861334311+435441952295+7022689141825+1452746592+93109597573+52765032705+17390000000+7221012601925+216609941022</f>
        <v>15230332348248</v>
      </c>
      <c r="M46" s="10">
        <v>18925187895995</v>
      </c>
      <c r="N46" s="10">
        <v>4737787562581</v>
      </c>
      <c r="O46" s="10">
        <v>2109730559320</v>
      </c>
      <c r="P46" s="10">
        <v>1093493677760</v>
      </c>
      <c r="Q46" s="10">
        <v>816419266121</v>
      </c>
      <c r="R46" s="12">
        <v>280</v>
      </c>
      <c r="S46" s="12">
        <v>38.56</v>
      </c>
      <c r="T46" s="11">
        <v>8654325000</v>
      </c>
      <c r="U46" s="35">
        <f t="shared" si="0"/>
        <v>9.3900031337266297E-3</v>
      </c>
      <c r="V46" s="35">
        <f t="shared" si="1"/>
        <v>0.83498676507575331</v>
      </c>
      <c r="W46" s="35">
        <f t="shared" si="2"/>
        <v>0.915317769079937</v>
      </c>
      <c r="X46" s="19">
        <f t="shared" si="3"/>
        <v>0.35985148364637531</v>
      </c>
      <c r="Y46" s="20">
        <f t="shared" si="4"/>
        <v>1</v>
      </c>
      <c r="Z46" s="19">
        <f t="shared" si="5"/>
        <v>0.1562566126278159</v>
      </c>
      <c r="AA46" s="19">
        <f t="shared" si="6"/>
        <v>1078.516335378976</v>
      </c>
      <c r="AB46" s="19">
        <f t="shared" si="7"/>
        <v>0.2723549779281072</v>
      </c>
      <c r="AC46" s="19">
        <f t="shared" si="8"/>
        <v>0.1795224275425269</v>
      </c>
      <c r="AD46" s="17">
        <f t="shared" si="9"/>
        <v>5.6904545493198386E-2</v>
      </c>
      <c r="AE46" s="17">
        <f t="shared" si="10"/>
        <v>5.230545989303894E-2</v>
      </c>
      <c r="AF46" s="19">
        <f t="shared" si="11"/>
        <v>0.40930917158131119</v>
      </c>
      <c r="AG46" s="19">
        <f t="shared" si="12"/>
        <v>1.3393776006235689</v>
      </c>
      <c r="AH46" s="19">
        <f t="shared" si="13"/>
        <v>5.0601199683108691</v>
      </c>
      <c r="AI46" s="19">
        <f t="shared" si="14"/>
        <v>7.2614107883817427</v>
      </c>
      <c r="AJ46" s="19">
        <f t="shared" si="15"/>
        <v>0.51146468008369494</v>
      </c>
    </row>
    <row r="47" spans="1:36" x14ac:dyDescent="0.35">
      <c r="A47" s="36">
        <v>10</v>
      </c>
      <c r="B47" s="1">
        <v>2019</v>
      </c>
      <c r="C47" s="36" t="s">
        <v>21</v>
      </c>
      <c r="D47" s="36" t="s">
        <v>22</v>
      </c>
      <c r="E47" s="10">
        <v>1472313967</v>
      </c>
      <c r="F47" s="10">
        <v>92504089394</v>
      </c>
      <c r="G47" s="10">
        <v>28411416470</v>
      </c>
      <c r="H47" s="10">
        <v>14988217105</v>
      </c>
      <c r="I47" s="10">
        <v>18670103563</v>
      </c>
      <c r="J47" s="10">
        <v>516829024</v>
      </c>
      <c r="K47" s="10">
        <v>63419433727</v>
      </c>
      <c r="L47" s="10">
        <f>292590332+12198629532+628604282</f>
        <v>13119824146</v>
      </c>
      <c r="M47" s="10">
        <v>77515872289</v>
      </c>
      <c r="N47" s="10">
        <v>64092672924</v>
      </c>
      <c r="O47" s="10">
        <v>20445269376</v>
      </c>
      <c r="P47" s="10">
        <f>2788760187+Q47</f>
        <v>5861961059</v>
      </c>
      <c r="Q47" s="10">
        <v>3073200872</v>
      </c>
      <c r="R47" s="12">
        <v>70.47</v>
      </c>
      <c r="S47" s="12">
        <v>3.93</v>
      </c>
      <c r="T47" s="11">
        <v>375000105</v>
      </c>
      <c r="U47" s="35">
        <f t="shared" si="0"/>
        <v>1.5916204101302112E-2</v>
      </c>
      <c r="V47" s="35">
        <f t="shared" si="1"/>
        <v>0.30713686990623812</v>
      </c>
      <c r="W47" s="35">
        <f t="shared" si="2"/>
        <v>0.80279239236269251</v>
      </c>
      <c r="X47" s="19">
        <f t="shared" si="3"/>
        <v>-2.6668107144811009</v>
      </c>
      <c r="Y47" s="20">
        <f t="shared" si="4"/>
        <v>0</v>
      </c>
      <c r="Z47" s="19">
        <f t="shared" si="5"/>
        <v>2.7682172316614267E-2</v>
      </c>
      <c r="AA47" s="19">
        <f t="shared" si="6"/>
        <v>75.508965184141303</v>
      </c>
      <c r="AB47" s="19">
        <f t="shared" si="7"/>
        <v>0.818147714194008</v>
      </c>
      <c r="AC47" s="19">
        <f t="shared" si="8"/>
        <v>0.68558519025985365</v>
      </c>
      <c r="AD47" s="17">
        <f t="shared" si="9"/>
        <v>2.2971642464433412E-2</v>
      </c>
      <c r="AE47" s="17">
        <f t="shared" si="10"/>
        <v>2.3215501629009049E-2</v>
      </c>
      <c r="AF47" s="19">
        <f t="shared" si="11"/>
        <v>0.32238177124081907</v>
      </c>
      <c r="AG47" s="19">
        <f t="shared" si="12"/>
        <v>1.9074448118274516</v>
      </c>
      <c r="AH47" s="19">
        <f t="shared" si="13"/>
        <v>0.4432864970960062</v>
      </c>
      <c r="AI47" s="19">
        <f t="shared" si="14"/>
        <v>17.931297709923662</v>
      </c>
      <c r="AJ47" s="19">
        <f t="shared" si="15"/>
        <v>0.4123132363458426</v>
      </c>
    </row>
    <row r="48" spans="1:36" x14ac:dyDescent="0.35">
      <c r="A48" s="36"/>
      <c r="B48" s="2">
        <v>2020</v>
      </c>
      <c r="C48" s="36"/>
      <c r="D48" s="36"/>
      <c r="E48" s="10">
        <v>3027214839</v>
      </c>
      <c r="F48" s="10">
        <v>82202146171</v>
      </c>
      <c r="G48" s="10">
        <v>15456969921</v>
      </c>
      <c r="H48" s="10">
        <v>20236527028</v>
      </c>
      <c r="I48" s="10">
        <v>11810512910</v>
      </c>
      <c r="J48" s="10">
        <v>6149373699</v>
      </c>
      <c r="K48" s="10">
        <v>65475480450</v>
      </c>
      <c r="L48" s="10">
        <f>2724558000+9411686545+1163346993</f>
        <v>13299591538</v>
      </c>
      <c r="M48" s="10">
        <v>61965619143</v>
      </c>
      <c r="N48" s="10">
        <v>66745176250</v>
      </c>
      <c r="O48" s="10">
        <v>19518886161</v>
      </c>
      <c r="P48" s="10">
        <f>4276513673+Q48</f>
        <v>6656917458</v>
      </c>
      <c r="Q48" s="10">
        <v>2380403785</v>
      </c>
      <c r="R48" s="12">
        <v>108.67</v>
      </c>
      <c r="S48" s="12">
        <v>8.07</v>
      </c>
      <c r="T48" s="11">
        <v>375000105</v>
      </c>
      <c r="U48" s="35">
        <f t="shared" si="0"/>
        <v>3.6826469624073731E-2</v>
      </c>
      <c r="V48" s="35">
        <f t="shared" si="1"/>
        <v>0.18803608714601963</v>
      </c>
      <c r="W48" s="35">
        <f t="shared" si="2"/>
        <v>1.7134333777211035</v>
      </c>
      <c r="X48" s="19">
        <f t="shared" si="3"/>
        <v>-3.4411946520220837</v>
      </c>
      <c r="Y48" s="20">
        <f t="shared" si="4"/>
        <v>0</v>
      </c>
      <c r="Z48" s="19">
        <f t="shared" si="5"/>
        <v>0.52066948707987992</v>
      </c>
      <c r="AA48" s="19">
        <f t="shared" si="6"/>
        <v>74.139981532124821</v>
      </c>
      <c r="AB48" s="19">
        <f t="shared" si="7"/>
        <v>1.056642075969582</v>
      </c>
      <c r="AC48" s="19">
        <f t="shared" si="8"/>
        <v>0.79651789521158534</v>
      </c>
      <c r="AD48" s="17">
        <f t="shared" si="9"/>
        <v>4.5354810775557731E-2</v>
      </c>
      <c r="AE48" s="17">
        <f t="shared" si="10"/>
        <v>4.6234327998734066E-2</v>
      </c>
      <c r="AF48" s="19">
        <f t="shared" si="11"/>
        <v>0.29810985771850107</v>
      </c>
      <c r="AG48" s="19">
        <f t="shared" si="12"/>
        <v>2.796549686212165</v>
      </c>
      <c r="AH48" s="19">
        <f t="shared" si="13"/>
        <v>0.23158182792273321</v>
      </c>
      <c r="AI48" s="19">
        <f t="shared" si="14"/>
        <v>13.465923172242874</v>
      </c>
      <c r="AJ48" s="19">
        <f t="shared" si="15"/>
        <v>0.61054991086865251</v>
      </c>
    </row>
    <row r="49" spans="1:36" x14ac:dyDescent="0.35">
      <c r="A49" s="36"/>
      <c r="B49" s="3">
        <v>2021</v>
      </c>
      <c r="C49" s="36"/>
      <c r="D49" s="36"/>
      <c r="E49" s="10">
        <v>5691983629</v>
      </c>
      <c r="F49" s="10">
        <v>121943097733</v>
      </c>
      <c r="G49" s="10">
        <v>11730638222</v>
      </c>
      <c r="H49" s="10">
        <v>54823160889</v>
      </c>
      <c r="I49" s="10">
        <v>6974418958</v>
      </c>
      <c r="J49" s="10">
        <v>3534922099</v>
      </c>
      <c r="K49" s="10">
        <v>72427580175</v>
      </c>
      <c r="L49" s="10">
        <f>2060537500+13384043214+1718504714</f>
        <v>17163085428</v>
      </c>
      <c r="M49" s="10">
        <v>67119936844</v>
      </c>
      <c r="N49" s="10">
        <v>110212459511</v>
      </c>
      <c r="O49" s="10">
        <v>22259592399</v>
      </c>
      <c r="P49" s="10">
        <f>6258288621+Q49</f>
        <v>7535761857</v>
      </c>
      <c r="Q49" s="10">
        <v>1277473236</v>
      </c>
      <c r="R49" s="12">
        <v>195</v>
      </c>
      <c r="S49" s="12">
        <v>13.47</v>
      </c>
      <c r="T49" s="11">
        <v>750000210</v>
      </c>
      <c r="U49" s="35">
        <f t="shared" si="0"/>
        <v>4.6677374405092273E-2</v>
      </c>
      <c r="V49" s="35">
        <f t="shared" si="1"/>
        <v>9.6197640047530772E-2</v>
      </c>
      <c r="W49" s="35">
        <f t="shared" si="2"/>
        <v>7.8606061980425119</v>
      </c>
      <c r="X49" s="19">
        <f t="shared" si="3"/>
        <v>-4.0317910176524236</v>
      </c>
      <c r="Y49" s="20">
        <f t="shared" si="4"/>
        <v>0</v>
      </c>
      <c r="Z49" s="19">
        <f t="shared" si="5"/>
        <v>0.50684108888314938</v>
      </c>
      <c r="AA49" s="19">
        <f t="shared" si="6"/>
        <v>86.493655677624602</v>
      </c>
      <c r="AB49" s="19">
        <f t="shared" si="7"/>
        <v>1.0790770012691759</v>
      </c>
      <c r="AC49" s="19">
        <f t="shared" si="8"/>
        <v>0.59394571338169144</v>
      </c>
      <c r="AD49" s="17">
        <f t="shared" si="9"/>
        <v>5.1645554905994082E-2</v>
      </c>
      <c r="AE49" s="17">
        <f t="shared" si="10"/>
        <v>7.8588620733248182E-2</v>
      </c>
      <c r="AF49" s="19">
        <f t="shared" si="11"/>
        <v>0.30733585666145719</v>
      </c>
      <c r="AG49" s="19">
        <f t="shared" si="12"/>
        <v>5.8989586980278625</v>
      </c>
      <c r="AH49" s="19">
        <f t="shared" si="13"/>
        <v>0.10643658869466747</v>
      </c>
      <c r="AI49" s="19">
        <f t="shared" si="14"/>
        <v>14.476614699331847</v>
      </c>
      <c r="AJ49" s="19">
        <f t="shared" si="15"/>
        <v>1.3269828257067722</v>
      </c>
    </row>
    <row r="50" spans="1:36" x14ac:dyDescent="0.35">
      <c r="A50" s="36"/>
      <c r="B50" s="4">
        <v>2022</v>
      </c>
      <c r="C50" s="36"/>
      <c r="D50" s="36"/>
      <c r="E50" s="10">
        <v>4337338556</v>
      </c>
      <c r="F50" s="10">
        <v>131564860762</v>
      </c>
      <c r="G50" s="10">
        <v>14137330046</v>
      </c>
      <c r="H50" s="10">
        <v>52160068676</v>
      </c>
      <c r="I50" s="10">
        <v>11780044897</v>
      </c>
      <c r="J50" s="10">
        <v>8011782399</v>
      </c>
      <c r="K50" s="10">
        <v>79236924565</v>
      </c>
      <c r="L50" s="10">
        <f>3610568000+13242257976+2584358305</f>
        <v>19437184281</v>
      </c>
      <c r="M50" s="10">
        <v>79404792082</v>
      </c>
      <c r="N50" s="10">
        <v>117427530716</v>
      </c>
      <c r="O50" s="10">
        <v>22693551155</v>
      </c>
      <c r="P50" s="10">
        <f>5887714393+Q50</f>
        <v>6645583973</v>
      </c>
      <c r="Q50" s="10">
        <v>757869580</v>
      </c>
      <c r="R50" s="12">
        <v>109</v>
      </c>
      <c r="S50" s="12">
        <v>5.57</v>
      </c>
      <c r="T50" s="11">
        <v>795628980</v>
      </c>
      <c r="U50" s="35">
        <f t="shared" si="0"/>
        <v>3.296730244594883E-2</v>
      </c>
      <c r="V50" s="35">
        <f t="shared" si="1"/>
        <v>0.10745521231215636</v>
      </c>
      <c r="W50" s="35">
        <f t="shared" si="2"/>
        <v>4.4278327571810445</v>
      </c>
      <c r="X50" s="19">
        <f t="shared" si="3"/>
        <v>-3.892254616246555</v>
      </c>
      <c r="Y50" s="20">
        <f t="shared" si="4"/>
        <v>0</v>
      </c>
      <c r="Z50" s="19">
        <f t="shared" si="5"/>
        <v>0.68011475924343412</v>
      </c>
      <c r="AA50" s="19">
        <f t="shared" si="6"/>
        <v>89.536189112755721</v>
      </c>
      <c r="AB50" s="19">
        <f t="shared" si="7"/>
        <v>0.99788592712607771</v>
      </c>
      <c r="AC50" s="19">
        <f t="shared" si="8"/>
        <v>0.60226510411726952</v>
      </c>
      <c r="AD50" s="17">
        <f t="shared" si="9"/>
        <v>3.6936300453169785E-2</v>
      </c>
      <c r="AE50" s="17">
        <f t="shared" si="10"/>
        <v>5.4738855398684415E-2</v>
      </c>
      <c r="AF50" s="19">
        <f t="shared" si="11"/>
        <v>0.28640121104629601</v>
      </c>
      <c r="AG50" s="19">
        <f t="shared" si="12"/>
        <v>8.7687699155308483</v>
      </c>
      <c r="AH50" s="19">
        <f t="shared" si="13"/>
        <v>0.12039195544519551</v>
      </c>
      <c r="AI50" s="19">
        <f t="shared" si="14"/>
        <v>19.569120287253142</v>
      </c>
      <c r="AJ50" s="19">
        <f t="shared" si="15"/>
        <v>0.73852833565701081</v>
      </c>
    </row>
    <row r="51" spans="1:36" x14ac:dyDescent="0.35">
      <c r="A51" s="36"/>
      <c r="B51" s="5">
        <v>2023</v>
      </c>
      <c r="C51" s="36"/>
      <c r="D51" s="36"/>
      <c r="E51" s="10">
        <v>10232158819</v>
      </c>
      <c r="F51" s="10">
        <v>166743809893</v>
      </c>
      <c r="G51" s="10">
        <v>45109825056</v>
      </c>
      <c r="H51" s="10">
        <v>53046136217</v>
      </c>
      <c r="I51" s="10">
        <v>31374000216</v>
      </c>
      <c r="J51" s="10">
        <v>7904865775</v>
      </c>
      <c r="K51" s="10">
        <v>84805835926</v>
      </c>
      <c r="L51" s="10">
        <f>2244542000+13945841800+2859485543</f>
        <v>19049869343</v>
      </c>
      <c r="M51" s="10">
        <v>113697673676</v>
      </c>
      <c r="N51" s="10">
        <v>121633984837</v>
      </c>
      <c r="O51" s="10">
        <v>27569893380</v>
      </c>
      <c r="P51" s="10">
        <f>12787735410+Q51</f>
        <v>14750344154</v>
      </c>
      <c r="Q51" s="10">
        <v>1962608744</v>
      </c>
      <c r="R51" s="12">
        <v>114</v>
      </c>
      <c r="S51" s="12">
        <v>12.85</v>
      </c>
      <c r="T51" s="11">
        <v>798499394</v>
      </c>
      <c r="U51" s="35">
        <f t="shared" si="0"/>
        <v>6.1364549757895098E-2</v>
      </c>
      <c r="V51" s="35">
        <f t="shared" si="1"/>
        <v>0.2705337312668285</v>
      </c>
      <c r="W51" s="35">
        <f t="shared" si="2"/>
        <v>1.6907673822845108</v>
      </c>
      <c r="X51" s="19">
        <f t="shared" si="3"/>
        <v>-3.0833402227222</v>
      </c>
      <c r="Y51" s="20">
        <f t="shared" si="4"/>
        <v>0</v>
      </c>
      <c r="Z51" s="19">
        <f t="shared" si="5"/>
        <v>0.25195594188109632</v>
      </c>
      <c r="AA51" s="19">
        <f t="shared" si="6"/>
        <v>81.989667742468043</v>
      </c>
      <c r="AB51" s="19">
        <f t="shared" si="7"/>
        <v>0.74588892792712724</v>
      </c>
      <c r="AC51" s="19">
        <f t="shared" si="8"/>
        <v>0.50859960546913352</v>
      </c>
      <c r="AD51" s="17">
        <f t="shared" si="9"/>
        <v>8.4122532306344922E-2</v>
      </c>
      <c r="AE51" s="17">
        <f t="shared" si="10"/>
        <v>0.12065394683366357</v>
      </c>
      <c r="AF51" s="19">
        <f t="shared" si="11"/>
        <v>0.32509429426598635</v>
      </c>
      <c r="AG51" s="19">
        <f t="shared" si="12"/>
        <v>7.515682480827671</v>
      </c>
      <c r="AH51" s="19">
        <f t="shared" si="13"/>
        <v>0.37086530640635545</v>
      </c>
      <c r="AI51" s="19">
        <f t="shared" si="14"/>
        <v>8.8715953307393001</v>
      </c>
      <c r="AJ51" s="19">
        <f t="shared" si="15"/>
        <v>0.74838402308356999</v>
      </c>
    </row>
    <row r="52" spans="1:36" x14ac:dyDescent="0.35">
      <c r="A52" s="36">
        <v>11</v>
      </c>
      <c r="B52" s="1">
        <v>2019</v>
      </c>
      <c r="C52" s="36" t="s">
        <v>23</v>
      </c>
      <c r="D52" s="36" t="s">
        <v>24</v>
      </c>
      <c r="E52" s="10">
        <v>260143093</v>
      </c>
      <c r="F52" s="10">
        <v>67668621418</v>
      </c>
      <c r="G52" s="10">
        <v>2053419204</v>
      </c>
      <c r="H52" s="10">
        <v>5318745267</v>
      </c>
      <c r="I52" s="10">
        <v>1222391000</v>
      </c>
      <c r="J52" s="10">
        <v>1441894531</v>
      </c>
      <c r="K52" s="10">
        <v>12615551557</v>
      </c>
      <c r="L52" s="10">
        <f>1066032188+63882301</f>
        <v>1129914489</v>
      </c>
      <c r="M52" s="10">
        <v>62349876151</v>
      </c>
      <c r="N52" s="10">
        <v>65615202214</v>
      </c>
      <c r="O52" s="10">
        <v>8459103136</v>
      </c>
      <c r="P52" s="10">
        <v>412737050</v>
      </c>
      <c r="Q52" s="10">
        <v>8092592</v>
      </c>
      <c r="R52" s="12">
        <v>2060</v>
      </c>
      <c r="S52" s="12">
        <v>0.6</v>
      </c>
      <c r="T52" s="11">
        <v>500000000</v>
      </c>
      <c r="U52" s="35">
        <f t="shared" si="0"/>
        <v>3.8443681509787841E-3</v>
      </c>
      <c r="V52" s="35">
        <f t="shared" si="1"/>
        <v>3.0345219999616927E-2</v>
      </c>
      <c r="W52" s="35">
        <f t="shared" si="2"/>
        <v>4.3510998256695279</v>
      </c>
      <c r="X52" s="19">
        <f t="shared" si="3"/>
        <v>-4.1984235283902214</v>
      </c>
      <c r="Y52" s="20">
        <f t="shared" si="4"/>
        <v>0</v>
      </c>
      <c r="Z52" s="19">
        <f t="shared" si="5"/>
        <v>1.1795690012442828</v>
      </c>
      <c r="AA52" s="19">
        <f t="shared" si="6"/>
        <v>32.691300623805134</v>
      </c>
      <c r="AB52" s="19">
        <f t="shared" si="7"/>
        <v>0.20233482944613138</v>
      </c>
      <c r="AC52" s="19">
        <f t="shared" si="8"/>
        <v>0.18643133689796487</v>
      </c>
      <c r="AD52" s="17">
        <f t="shared" si="9"/>
        <v>3.9646771513643913E-3</v>
      </c>
      <c r="AE52" s="17">
        <f t="shared" si="10"/>
        <v>2.0620825956329608E-2</v>
      </c>
      <c r="AF52" s="19">
        <f t="shared" si="11"/>
        <v>0.67052978998023205</v>
      </c>
      <c r="AG52" s="19">
        <f t="shared" si="12"/>
        <v>51.001836000134446</v>
      </c>
      <c r="AH52" s="19">
        <f t="shared" si="13"/>
        <v>3.1294869705695609E-2</v>
      </c>
      <c r="AI52" s="19">
        <f t="shared" si="14"/>
        <v>3433.3333333333335</v>
      </c>
      <c r="AJ52" s="19">
        <f t="shared" si="15"/>
        <v>15.697581737852722</v>
      </c>
    </row>
    <row r="53" spans="1:36" x14ac:dyDescent="0.35">
      <c r="A53" s="36"/>
      <c r="B53" s="2">
        <v>2020</v>
      </c>
      <c r="C53" s="36"/>
      <c r="D53" s="36"/>
      <c r="E53" s="10">
        <v>-1681187095</v>
      </c>
      <c r="F53" s="10">
        <v>73132687738</v>
      </c>
      <c r="G53" s="10">
        <v>9174455556</v>
      </c>
      <c r="H53" s="10">
        <v>10198668815</v>
      </c>
      <c r="I53" s="10">
        <v>4739828485</v>
      </c>
      <c r="J53" s="10">
        <v>153723684</v>
      </c>
      <c r="K53" s="10">
        <v>13158116600</v>
      </c>
      <c r="L53" s="10">
        <f>1373827965+1427225082+37112450+3589040948</f>
        <v>6427206445</v>
      </c>
      <c r="M53" s="10">
        <v>62934018923</v>
      </c>
      <c r="N53" s="10">
        <v>63958232182</v>
      </c>
      <c r="O53" s="10">
        <v>6985868074</v>
      </c>
      <c r="P53" s="10">
        <v>-1049839822</v>
      </c>
      <c r="Q53" s="10">
        <v>578471492</v>
      </c>
      <c r="R53" s="12">
        <v>1145</v>
      </c>
      <c r="S53" s="12">
        <v>-3.36</v>
      </c>
      <c r="T53" s="11">
        <v>500000000</v>
      </c>
      <c r="U53" s="35">
        <f t="shared" si="0"/>
        <v>-2.2988175971638047E-2</v>
      </c>
      <c r="V53" s="35">
        <f t="shared" si="1"/>
        <v>0.12544945139809105</v>
      </c>
      <c r="W53" s="35">
        <f t="shared" si="2"/>
        <v>2.1516957517081972</v>
      </c>
      <c r="X53" s="19">
        <f t="shared" si="3"/>
        <v>-3.5284337103570715</v>
      </c>
      <c r="Y53" s="20">
        <f t="shared" si="4"/>
        <v>0</v>
      </c>
      <c r="Z53" s="19">
        <f t="shared" si="5"/>
        <v>3.2432330512904624E-2</v>
      </c>
      <c r="AA53" s="19">
        <f t="shared" si="6"/>
        <v>178.28770056840807</v>
      </c>
      <c r="AB53" s="19">
        <f t="shared" si="7"/>
        <v>0.2090779649095508</v>
      </c>
      <c r="AC53" s="19">
        <f t="shared" si="8"/>
        <v>0.17992114069620058</v>
      </c>
      <c r="AD53" s="17">
        <f t="shared" si="9"/>
        <v>-2.6285702991539886E-2</v>
      </c>
      <c r="AE53" s="17">
        <f t="shared" si="10"/>
        <v>-0.12776806484599779</v>
      </c>
      <c r="AF53" s="19">
        <f t="shared" si="11"/>
        <v>0.53091702151355002</v>
      </c>
      <c r="AG53" s="19">
        <f t="shared" si="12"/>
        <v>-1.8148514430163138</v>
      </c>
      <c r="AH53" s="19">
        <f t="shared" si="13"/>
        <v>0.14344448311036967</v>
      </c>
      <c r="AI53" s="19">
        <f t="shared" si="14"/>
        <v>-340.77380952380952</v>
      </c>
      <c r="AJ53" s="19">
        <f t="shared" si="15"/>
        <v>8.9511542215690056</v>
      </c>
    </row>
    <row r="54" spans="1:36" x14ac:dyDescent="0.35">
      <c r="A54" s="36"/>
      <c r="B54" s="3">
        <v>2021</v>
      </c>
      <c r="C54" s="36"/>
      <c r="D54" s="36"/>
      <c r="E54" s="10">
        <v>-1840302631</v>
      </c>
      <c r="F54" s="10">
        <v>69136014725</v>
      </c>
      <c r="G54" s="10">
        <v>6897790934</v>
      </c>
      <c r="H54" s="10">
        <v>7517165587</v>
      </c>
      <c r="I54" s="10">
        <v>2688790395</v>
      </c>
      <c r="J54" s="10">
        <v>331143751</v>
      </c>
      <c r="K54" s="10">
        <v>8447187923</v>
      </c>
      <c r="L54" s="10">
        <f>691763036+2790928519+1141418297</f>
        <v>4624109852</v>
      </c>
      <c r="M54" s="16">
        <v>61618849138</v>
      </c>
      <c r="N54" s="10">
        <v>62238223791</v>
      </c>
      <c r="O54" s="10">
        <v>4537226767</v>
      </c>
      <c r="P54" s="10">
        <f>-2303277525+Q54</f>
        <v>-1635858820</v>
      </c>
      <c r="Q54" s="10">
        <v>667418705</v>
      </c>
      <c r="R54" s="12">
        <v>1100</v>
      </c>
      <c r="S54" s="12">
        <v>-3.68</v>
      </c>
      <c r="T54" s="11">
        <v>500000000</v>
      </c>
      <c r="U54" s="35">
        <f t="shared" si="0"/>
        <v>-2.6618581333044865E-2</v>
      </c>
      <c r="V54" s="35">
        <f t="shared" si="1"/>
        <v>9.9771312555939351E-2</v>
      </c>
      <c r="W54" s="35">
        <f t="shared" si="2"/>
        <v>2.7957425022711746</v>
      </c>
      <c r="X54" s="19">
        <f t="shared" si="3"/>
        <v>-3.6604520284478741</v>
      </c>
      <c r="Y54" s="20">
        <f t="shared" si="4"/>
        <v>0</v>
      </c>
      <c r="Z54" s="19">
        <f t="shared" si="5"/>
        <v>0.12315714591058706</v>
      </c>
      <c r="AA54" s="19">
        <f t="shared" si="6"/>
        <v>199.80614985307224</v>
      </c>
      <c r="AB54" s="19">
        <f t="shared" si="7"/>
        <v>0.13708772625859814</v>
      </c>
      <c r="AC54" s="19">
        <f t="shared" si="8"/>
        <v>0.12218216448547252</v>
      </c>
      <c r="AD54" s="17">
        <f t="shared" si="9"/>
        <v>-2.9568688161472213E-2</v>
      </c>
      <c r="AE54" s="17">
        <f t="shared" si="10"/>
        <v>-0.21785979520938853</v>
      </c>
      <c r="AF54" s="19">
        <f t="shared" si="11"/>
        <v>0.53712866439801121</v>
      </c>
      <c r="AG54" s="19">
        <f t="shared" si="12"/>
        <v>-2.4510233347445665</v>
      </c>
      <c r="AH54" s="19">
        <f t="shared" si="13"/>
        <v>0.11082885265433072</v>
      </c>
      <c r="AI54" s="19">
        <f t="shared" si="14"/>
        <v>-298.91304347826087</v>
      </c>
      <c r="AJ54" s="19">
        <f t="shared" si="15"/>
        <v>8.8370131166810886</v>
      </c>
    </row>
    <row r="55" spans="1:36" x14ac:dyDescent="0.35">
      <c r="A55" s="36"/>
      <c r="B55" s="4">
        <v>2022</v>
      </c>
      <c r="C55" s="36"/>
      <c r="D55" s="36"/>
      <c r="E55" s="10">
        <v>-94102528</v>
      </c>
      <c r="F55" s="10">
        <v>68058324498</v>
      </c>
      <c r="G55" s="10">
        <v>5805507200</v>
      </c>
      <c r="H55" s="10">
        <v>7978924683</v>
      </c>
      <c r="I55" s="10">
        <v>3261564866</v>
      </c>
      <c r="J55" s="10">
        <v>97859872</v>
      </c>
      <c r="K55" s="10">
        <v>8432422626</v>
      </c>
      <c r="L55" s="10">
        <f>1673867351+2441562770</f>
        <v>4115430121</v>
      </c>
      <c r="M55" s="10">
        <v>60079399815</v>
      </c>
      <c r="N55" s="10">
        <v>62252817298</v>
      </c>
      <c r="O55" s="10">
        <v>5053454314</v>
      </c>
      <c r="P55" s="10">
        <f>-100170290+Q55</f>
        <v>315556941</v>
      </c>
      <c r="Q55" s="10">
        <v>415727231</v>
      </c>
      <c r="R55" s="12">
        <v>181</v>
      </c>
      <c r="S55" s="12">
        <v>-0.19</v>
      </c>
      <c r="T55" s="11">
        <v>500000000</v>
      </c>
      <c r="U55" s="35">
        <f t="shared" si="0"/>
        <v>-1.3826747674748495E-3</v>
      </c>
      <c r="V55" s="35">
        <f t="shared" si="1"/>
        <v>8.5301941280828977E-2</v>
      </c>
      <c r="W55" s="35">
        <f t="shared" si="2"/>
        <v>2.4463486120346256</v>
      </c>
      <c r="X55" s="19">
        <f t="shared" si="3"/>
        <v>-3.855115658688697</v>
      </c>
      <c r="Y55" s="20">
        <f t="shared" si="4"/>
        <v>0</v>
      </c>
      <c r="Z55" s="19">
        <f t="shared" si="5"/>
        <v>3.0003963134425056E-2</v>
      </c>
      <c r="AA55" s="19">
        <f t="shared" si="6"/>
        <v>178.13765518979338</v>
      </c>
      <c r="AB55" s="19">
        <f t="shared" si="7"/>
        <v>0.14035464155709959</v>
      </c>
      <c r="AC55" s="19">
        <f t="shared" si="8"/>
        <v>0.12389994446965558</v>
      </c>
      <c r="AD55" s="17">
        <f t="shared" si="9"/>
        <v>-1.5116187842477489E-3</v>
      </c>
      <c r="AE55" s="17">
        <f t="shared" si="10"/>
        <v>-1.1159607644646534E-2</v>
      </c>
      <c r="AF55" s="19">
        <f t="shared" si="11"/>
        <v>0.59928854827775091</v>
      </c>
      <c r="AG55" s="19">
        <f t="shared" si="12"/>
        <v>0.75904804272972914</v>
      </c>
      <c r="AH55" s="19">
        <f t="shared" si="13"/>
        <v>9.3256939235527803E-2</v>
      </c>
      <c r="AI55" s="19">
        <f t="shared" si="14"/>
        <v>-952.63157894736844</v>
      </c>
      <c r="AJ55" s="19">
        <f t="shared" si="15"/>
        <v>1.4537494675426923</v>
      </c>
    </row>
    <row r="56" spans="1:36" x14ac:dyDescent="0.35">
      <c r="A56" s="36"/>
      <c r="B56" s="5">
        <v>2023</v>
      </c>
      <c r="C56" s="36"/>
      <c r="D56" s="36"/>
      <c r="E56" s="10">
        <v>22852736</v>
      </c>
      <c r="F56" s="10">
        <v>66503929434</v>
      </c>
      <c r="G56" s="10">
        <v>4233187847</v>
      </c>
      <c r="H56" s="10">
        <v>7864400701</v>
      </c>
      <c r="I56" s="10">
        <v>3270659753</v>
      </c>
      <c r="J56" s="10">
        <v>573727600</v>
      </c>
      <c r="K56" s="10">
        <v>7784775847</v>
      </c>
      <c r="L56" s="10">
        <f>228690599+3325459609+5184505+511669009</f>
        <v>4071003722</v>
      </c>
      <c r="M56" s="16">
        <v>58639528733</v>
      </c>
      <c r="N56" s="10">
        <v>62270741587</v>
      </c>
      <c r="O56" s="10">
        <v>4701736794</v>
      </c>
      <c r="P56" s="10">
        <f>112541463+Q56</f>
        <v>295109741</v>
      </c>
      <c r="Q56" s="10">
        <v>182568278</v>
      </c>
      <c r="R56" s="12">
        <v>89</v>
      </c>
      <c r="S56" s="12">
        <v>0.05</v>
      </c>
      <c r="T56" s="11">
        <v>500000000</v>
      </c>
      <c r="U56" s="35">
        <f t="shared" si="0"/>
        <v>3.4362986058860735E-4</v>
      </c>
      <c r="V56" s="35">
        <f t="shared" si="1"/>
        <v>6.3653198886557696E-2</v>
      </c>
      <c r="W56" s="35">
        <f t="shared" si="2"/>
        <v>2.4045303684635519</v>
      </c>
      <c r="X56" s="19">
        <f t="shared" si="3"/>
        <v>-3.9856824065579297</v>
      </c>
      <c r="Y56" s="20">
        <f t="shared" si="4"/>
        <v>0</v>
      </c>
      <c r="Z56" s="19">
        <f t="shared" si="5"/>
        <v>0.1754164735337421</v>
      </c>
      <c r="AA56" s="19">
        <f t="shared" si="6"/>
        <v>190.87464915288783</v>
      </c>
      <c r="AB56" s="19">
        <f t="shared" si="7"/>
        <v>0.13275645311622425</v>
      </c>
      <c r="AC56" s="19">
        <f t="shared" si="8"/>
        <v>0.11705738162022121</v>
      </c>
      <c r="AD56" s="17">
        <f t="shared" si="9"/>
        <v>3.6698994451626811E-4</v>
      </c>
      <c r="AE56" s="17">
        <f t="shared" si="10"/>
        <v>2.9355676321504752E-3</v>
      </c>
      <c r="AF56" s="19">
        <f t="shared" si="11"/>
        <v>0.60396559726403642</v>
      </c>
      <c r="AG56" s="19">
        <f t="shared" si="12"/>
        <v>1.616434926334793</v>
      </c>
      <c r="AH56" s="19">
        <f t="shared" si="13"/>
        <v>6.7980366687711721E-2</v>
      </c>
      <c r="AI56" s="19">
        <f t="shared" si="14"/>
        <v>1780</v>
      </c>
      <c r="AJ56" s="19">
        <f t="shared" si="15"/>
        <v>0.71462132722199789</v>
      </c>
    </row>
    <row r="57" spans="1:36" x14ac:dyDescent="0.35">
      <c r="A57" s="36">
        <v>12</v>
      </c>
      <c r="B57" s="1">
        <v>2019</v>
      </c>
      <c r="C57" s="36" t="s">
        <v>25</v>
      </c>
      <c r="D57" s="36" t="s">
        <v>26</v>
      </c>
      <c r="E57" s="10">
        <v>-6857140631</v>
      </c>
      <c r="F57" s="10">
        <v>302636796677</v>
      </c>
      <c r="G57" s="10">
        <v>41462629189</v>
      </c>
      <c r="H57" s="10">
        <v>37973876818</v>
      </c>
      <c r="I57" s="10">
        <v>16654963274</v>
      </c>
      <c r="J57" s="10">
        <v>16550456508</v>
      </c>
      <c r="K57" s="10">
        <v>124579469969</v>
      </c>
      <c r="L57" s="10">
        <f>1589366768+7140668139+1204096681+26396557356</f>
        <v>36330688944</v>
      </c>
      <c r="M57" s="10">
        <v>264662919859</v>
      </c>
      <c r="N57" s="10">
        <v>261174167488</v>
      </c>
      <c r="O57" s="10">
        <v>30223445800</v>
      </c>
      <c r="P57" s="10">
        <f>-6857140631+Q57</f>
        <v>-4982843548</v>
      </c>
      <c r="Q57" s="10">
        <v>1874297083</v>
      </c>
      <c r="R57" s="12">
        <v>131</v>
      </c>
      <c r="S57" s="12">
        <v>-19.63</v>
      </c>
      <c r="T57" s="11">
        <v>350000022</v>
      </c>
      <c r="U57" s="35">
        <f t="shared" si="0"/>
        <v>-2.2657987086476237E-2</v>
      </c>
      <c r="V57" s="35">
        <f t="shared" si="1"/>
        <v>0.13700458650192654</v>
      </c>
      <c r="W57" s="35">
        <f t="shared" si="2"/>
        <v>2.2800336568307462</v>
      </c>
      <c r="X57" s="19">
        <f t="shared" si="3"/>
        <v>-3.4648155921616151</v>
      </c>
      <c r="Y57" s="20">
        <f t="shared" si="4"/>
        <v>0</v>
      </c>
      <c r="Z57" s="19">
        <f t="shared" si="5"/>
        <v>0.99372518784456609</v>
      </c>
      <c r="AA57" s="19">
        <f t="shared" si="6"/>
        <v>106.44371394307389</v>
      </c>
      <c r="AB57" s="19">
        <f t="shared" si="7"/>
        <v>0.47070995073798061</v>
      </c>
      <c r="AC57" s="19">
        <f t="shared" si="8"/>
        <v>0.41164680348491106</v>
      </c>
      <c r="AD57" s="17">
        <f t="shared" si="9"/>
        <v>-2.6255049252966647E-2</v>
      </c>
      <c r="AE57" s="17">
        <f t="shared" si="10"/>
        <v>-5.5042300570923214E-2</v>
      </c>
      <c r="AF57" s="19">
        <f t="shared" si="11"/>
        <v>0.24260374367879969</v>
      </c>
      <c r="AG57" s="19">
        <f t="shared" si="12"/>
        <v>-2.6585132064680272</v>
      </c>
      <c r="AH57" s="19">
        <f t="shared" si="13"/>
        <v>0.158754709884947</v>
      </c>
      <c r="AI57" s="19">
        <f t="shared" si="14"/>
        <v>-6.6734589913397864</v>
      </c>
      <c r="AJ57" s="19">
        <f t="shared" si="15"/>
        <v>0.17555336089702148</v>
      </c>
    </row>
    <row r="58" spans="1:36" x14ac:dyDescent="0.35">
      <c r="A58" s="36"/>
      <c r="B58" s="2">
        <v>2020</v>
      </c>
      <c r="C58" s="36"/>
      <c r="D58" s="36"/>
      <c r="E58" s="10">
        <v>-43027059389</v>
      </c>
      <c r="F58" s="10">
        <v>270508602770</v>
      </c>
      <c r="G58" s="10">
        <v>52352752945</v>
      </c>
      <c r="H58" s="10">
        <v>19404955562</v>
      </c>
      <c r="I58" s="10">
        <v>24273678406</v>
      </c>
      <c r="J58" s="10">
        <v>886458653</v>
      </c>
      <c r="K58" s="10">
        <v>65046772361</v>
      </c>
      <c r="L58" s="10">
        <f>845387853+3691686647+1270453120+35409329253</f>
        <v>41216856873</v>
      </c>
      <c r="M58" s="10">
        <v>251103647208</v>
      </c>
      <c r="N58" s="10">
        <v>218155849825</v>
      </c>
      <c r="O58" s="10">
        <v>-9459352817</v>
      </c>
      <c r="P58" s="10">
        <f>-43027059389+Q58</f>
        <v>-41342289097</v>
      </c>
      <c r="Q58" s="10">
        <v>1684770292</v>
      </c>
      <c r="R58" s="12">
        <v>200</v>
      </c>
      <c r="S58" s="12">
        <v>-122.91</v>
      </c>
      <c r="T58" s="11">
        <v>350000022</v>
      </c>
      <c r="U58" s="35">
        <f t="shared" si="0"/>
        <v>-0.15905985594692443</v>
      </c>
      <c r="V58" s="35">
        <f t="shared" si="1"/>
        <v>0.19353452130139071</v>
      </c>
      <c r="W58" s="35">
        <f t="shared" si="2"/>
        <v>0.79942377242682172</v>
      </c>
      <c r="X58" s="19">
        <f t="shared" si="3"/>
        <v>-2.5222780187306397</v>
      </c>
      <c r="Y58" s="20">
        <f t="shared" si="4"/>
        <v>0</v>
      </c>
      <c r="Z58" s="19">
        <f t="shared" si="5"/>
        <v>3.6519337455706097E-2</v>
      </c>
      <c r="AA58" s="19">
        <f t="shared" si="6"/>
        <v>231.2820792268088</v>
      </c>
      <c r="AB58" s="19">
        <f t="shared" si="7"/>
        <v>0.25904351881882043</v>
      </c>
      <c r="AC58" s="19">
        <f t="shared" si="8"/>
        <v>0.24046101194166469</v>
      </c>
      <c r="AD58" s="17">
        <f t="shared" si="9"/>
        <v>-0.19723083026888985</v>
      </c>
      <c r="AE58" s="17">
        <f t="shared" si="10"/>
        <v>-0.66147877638272601</v>
      </c>
      <c r="AF58" s="19">
        <f t="shared" si="11"/>
        <v>-0.14542386153308248</v>
      </c>
      <c r="AG58" s="19">
        <f t="shared" si="12"/>
        <v>-24.538828404863633</v>
      </c>
      <c r="AH58" s="19">
        <f t="shared" si="13"/>
        <v>0.23997868031958011</v>
      </c>
      <c r="AI58" s="19">
        <f t="shared" si="14"/>
        <v>-1.6272068993572533</v>
      </c>
      <c r="AJ58" s="19">
        <f t="shared" si="15"/>
        <v>0.3208715441559441</v>
      </c>
    </row>
    <row r="59" spans="1:36" x14ac:dyDescent="0.35">
      <c r="A59" s="36"/>
      <c r="B59" s="3">
        <v>2021</v>
      </c>
      <c r="C59" s="36"/>
      <c r="D59" s="36"/>
      <c r="E59" s="10">
        <v>-26466832753</v>
      </c>
      <c r="F59" s="10">
        <v>239333983354</v>
      </c>
      <c r="G59" s="10">
        <v>47302648250</v>
      </c>
      <c r="H59" s="10">
        <v>19325367668</v>
      </c>
      <c r="I59" s="10">
        <v>19204829670</v>
      </c>
      <c r="J59" s="10">
        <v>1017139040</v>
      </c>
      <c r="K59" s="10">
        <v>70200908124</v>
      </c>
      <c r="L59" s="10">
        <f>1423237139+3039393605+1505134569+32546389796</f>
        <v>38514155109</v>
      </c>
      <c r="M59" s="10">
        <v>220008615686</v>
      </c>
      <c r="N59" s="10">
        <v>192031335104</v>
      </c>
      <c r="O59" s="10">
        <v>-1573775061</v>
      </c>
      <c r="P59" s="10">
        <f>-23263547027+Q59</f>
        <v>-21833023633</v>
      </c>
      <c r="Q59" s="10">
        <v>1430523394</v>
      </c>
      <c r="R59" s="12">
        <v>202</v>
      </c>
      <c r="S59" s="12">
        <v>-74.64</v>
      </c>
      <c r="T59" s="11">
        <v>350000022</v>
      </c>
      <c r="U59" s="35">
        <f t="shared" si="0"/>
        <v>-0.11058535182549811</v>
      </c>
      <c r="V59" s="35">
        <f t="shared" si="1"/>
        <v>0.19764284029833923</v>
      </c>
      <c r="W59" s="35">
        <f t="shared" si="2"/>
        <v>1.0062764419196226</v>
      </c>
      <c r="X59" s="19">
        <f t="shared" si="3"/>
        <v>-2.7185397229249375</v>
      </c>
      <c r="Y59" s="20">
        <f t="shared" si="4"/>
        <v>0</v>
      </c>
      <c r="Z59" s="19">
        <f t="shared" si="5"/>
        <v>5.2962669155503114E-2</v>
      </c>
      <c r="AA59" s="19">
        <f t="shared" si="6"/>
        <v>200.24907070937195</v>
      </c>
      <c r="AB59" s="19">
        <f t="shared" si="7"/>
        <v>0.31908254095008676</v>
      </c>
      <c r="AC59" s="19">
        <f t="shared" si="8"/>
        <v>0.29331776098075263</v>
      </c>
      <c r="AD59" s="17">
        <f t="shared" si="9"/>
        <v>-0.1378255936129702</v>
      </c>
      <c r="AE59" s="17">
        <f t="shared" si="10"/>
        <v>-0.3770155324237412</v>
      </c>
      <c r="AF59" s="19">
        <f t="shared" si="11"/>
        <v>-2.2418158155734232E-2</v>
      </c>
      <c r="AG59" s="19">
        <f t="shared" si="12"/>
        <v>-15.26226255688902</v>
      </c>
      <c r="AH59" s="19">
        <f t="shared" si="13"/>
        <v>0.24632775804210241</v>
      </c>
      <c r="AI59" s="19">
        <f t="shared" si="14"/>
        <v>-2.7063236870310825</v>
      </c>
      <c r="AJ59" s="19">
        <f t="shared" si="15"/>
        <v>0.36816910326489377</v>
      </c>
    </row>
    <row r="60" spans="1:36" x14ac:dyDescent="0.35">
      <c r="A60" s="36"/>
      <c r="B60" s="4">
        <v>2022</v>
      </c>
      <c r="C60" s="36"/>
      <c r="D60" s="36"/>
      <c r="E60" s="10">
        <v>-21311924827</v>
      </c>
      <c r="F60" s="10">
        <v>224704254718</v>
      </c>
      <c r="G60" s="10">
        <v>53996429050</v>
      </c>
      <c r="H60" s="10">
        <v>17677040107</v>
      </c>
      <c r="I60" s="10">
        <v>23685508054</v>
      </c>
      <c r="J60" s="10">
        <v>1189289890</v>
      </c>
      <c r="K60" s="10">
        <v>93102920936</v>
      </c>
      <c r="L60" s="10">
        <f>2578662946+3056390237+1516604585+35905803472</f>
        <v>43057461240</v>
      </c>
      <c r="M60" s="10">
        <v>207027214611</v>
      </c>
      <c r="N60" s="10">
        <v>170707825668</v>
      </c>
      <c r="O60" s="10">
        <v>6892342918</v>
      </c>
      <c r="P60" s="10">
        <f>18044925635+Q60</f>
        <v>19265269844</v>
      </c>
      <c r="Q60" s="10">
        <v>1220344209</v>
      </c>
      <c r="R60" s="12">
        <v>188</v>
      </c>
      <c r="S60" s="12">
        <v>-60.92</v>
      </c>
      <c r="T60" s="11">
        <v>350000022</v>
      </c>
      <c r="U60" s="35">
        <f t="shared" si="0"/>
        <v>-9.4844331513642688E-2</v>
      </c>
      <c r="V60" s="35">
        <f t="shared" si="1"/>
        <v>0.24029998505263994</v>
      </c>
      <c r="W60" s="35">
        <f t="shared" si="2"/>
        <v>0.74632302869326494</v>
      </c>
      <c r="X60" s="19">
        <f t="shared" si="3"/>
        <v>-2.5462892088797617</v>
      </c>
      <c r="Y60" s="20">
        <f t="shared" si="4"/>
        <v>0</v>
      </c>
      <c r="Z60" s="19">
        <f t="shared" si="5"/>
        <v>5.0211711198618482E-2</v>
      </c>
      <c r="AA60" s="19">
        <f t="shared" si="6"/>
        <v>168.80215136755311</v>
      </c>
      <c r="AB60" s="19">
        <f t="shared" si="7"/>
        <v>0.44971344038482347</v>
      </c>
      <c r="AC60" s="19">
        <f t="shared" si="8"/>
        <v>0.41433537185507491</v>
      </c>
      <c r="AD60" s="17">
        <f t="shared" si="9"/>
        <v>-0.12484445129333648</v>
      </c>
      <c r="AE60" s="17">
        <f t="shared" si="10"/>
        <v>-0.22890715578784104</v>
      </c>
      <c r="AF60" s="19">
        <f t="shared" si="11"/>
        <v>7.4029287681939365E-2</v>
      </c>
      <c r="AG60" s="19">
        <f t="shared" si="12"/>
        <v>15.786750739602191</v>
      </c>
      <c r="AH60" s="19">
        <f t="shared" si="13"/>
        <v>0.31630904347065264</v>
      </c>
      <c r="AI60" s="19">
        <f t="shared" si="14"/>
        <v>-3.0860144451739986</v>
      </c>
      <c r="AJ60" s="19">
        <f t="shared" si="15"/>
        <v>0.3854539408402442</v>
      </c>
    </row>
    <row r="61" spans="1:36" x14ac:dyDescent="0.35">
      <c r="A61" s="36"/>
      <c r="B61" s="5">
        <v>2023</v>
      </c>
      <c r="C61" s="36"/>
      <c r="D61" s="36"/>
      <c r="E61" s="10">
        <v>-777202431</v>
      </c>
      <c r="F61" s="10">
        <v>358763150139</v>
      </c>
      <c r="G61" s="10">
        <v>52183775772</v>
      </c>
      <c r="H61" s="10">
        <v>18053348535</v>
      </c>
      <c r="I61" s="10">
        <v>21336844940</v>
      </c>
      <c r="J61" s="10">
        <v>986483139</v>
      </c>
      <c r="K61" s="10">
        <v>92958603499</v>
      </c>
      <c r="L61" s="10">
        <f>5150006138+4944590425+1190730680+35140128232</f>
        <v>46425455475</v>
      </c>
      <c r="M61" s="10">
        <v>340709801604</v>
      </c>
      <c r="N61" s="10">
        <v>306579374367</v>
      </c>
      <c r="O61" s="10">
        <v>25557182017</v>
      </c>
      <c r="P61" s="10">
        <f>-438719218+Q61</f>
        <v>627333030</v>
      </c>
      <c r="Q61" s="10">
        <v>1066052248</v>
      </c>
      <c r="R61" s="12">
        <v>180</v>
      </c>
      <c r="S61" s="12">
        <v>388.2</v>
      </c>
      <c r="T61" s="11">
        <v>350000022</v>
      </c>
      <c r="U61" s="35">
        <f t="shared" si="0"/>
        <v>-2.1663385180414403E-3</v>
      </c>
      <c r="V61" s="35">
        <f t="shared" si="1"/>
        <v>0.14545467044701163</v>
      </c>
      <c r="W61" s="35">
        <f t="shared" si="2"/>
        <v>0.84611143708297487</v>
      </c>
      <c r="X61" s="19">
        <f t="shared" si="3"/>
        <v>-3.5035706865478327</v>
      </c>
      <c r="Y61" s="20">
        <f t="shared" si="4"/>
        <v>0</v>
      </c>
      <c r="Z61" s="19">
        <f t="shared" si="5"/>
        <v>4.6233786755915753E-2</v>
      </c>
      <c r="AA61" s="19">
        <f t="shared" si="6"/>
        <v>182.28857373655887</v>
      </c>
      <c r="AB61" s="19">
        <f t="shared" si="7"/>
        <v>0.27283806647583292</v>
      </c>
      <c r="AC61" s="19">
        <f t="shared" si="8"/>
        <v>0.25910856079556643</v>
      </c>
      <c r="AD61" s="17">
        <f t="shared" si="9"/>
        <v>-2.5350773599975666E-3</v>
      </c>
      <c r="AE61" s="17">
        <f t="shared" si="10"/>
        <v>-8.3607369489835416E-3</v>
      </c>
      <c r="AF61" s="19">
        <f t="shared" si="11"/>
        <v>0.27493078698492851</v>
      </c>
      <c r="AG61" s="19">
        <f t="shared" si="12"/>
        <v>0.58846368100337232</v>
      </c>
      <c r="AH61" s="19">
        <f t="shared" si="13"/>
        <v>0.17021293712189475</v>
      </c>
      <c r="AI61" s="19">
        <f t="shared" si="14"/>
        <v>0.46367851622874806</v>
      </c>
      <c r="AJ61" s="19">
        <f t="shared" si="15"/>
        <v>0.20549328894051419</v>
      </c>
    </row>
    <row r="62" spans="1:36" x14ac:dyDescent="0.35">
      <c r="A62" s="36">
        <v>13</v>
      </c>
      <c r="B62" s="1">
        <v>2019</v>
      </c>
      <c r="C62" s="36" t="s">
        <v>27</v>
      </c>
      <c r="D62" s="36" t="s">
        <v>28</v>
      </c>
      <c r="E62" s="10">
        <v>-3222370200</v>
      </c>
      <c r="F62" s="10">
        <v>351483053912</v>
      </c>
      <c r="G62" s="10">
        <v>116925646360</v>
      </c>
      <c r="H62" s="10">
        <v>80168401538</v>
      </c>
      <c r="I62" s="10">
        <v>50490247279</v>
      </c>
      <c r="J62" s="10">
        <v>4030181708</v>
      </c>
      <c r="K62" s="10">
        <v>131033025029</v>
      </c>
      <c r="L62" s="10">
        <f>32427744875+30354816657+25000000</f>
        <v>62807561532</v>
      </c>
      <c r="M62" s="10">
        <v>271314652374</v>
      </c>
      <c r="N62" s="10">
        <v>234557407552</v>
      </c>
      <c r="O62" s="10">
        <v>18787035495</v>
      </c>
      <c r="P62" s="10">
        <v>8949242914</v>
      </c>
      <c r="Q62" s="10">
        <v>11434095296</v>
      </c>
      <c r="R62" s="12">
        <v>50</v>
      </c>
      <c r="S62" s="12">
        <v>-0.71</v>
      </c>
      <c r="T62" s="11">
        <v>3961452039</v>
      </c>
      <c r="U62" s="35">
        <f t="shared" si="0"/>
        <v>-9.1679247808253584E-3</v>
      </c>
      <c r="V62" s="35">
        <f t="shared" si="1"/>
        <v>0.33266368053486417</v>
      </c>
      <c r="W62" s="35">
        <f t="shared" si="2"/>
        <v>1.5877997407103965</v>
      </c>
      <c r="X62" s="19">
        <f t="shared" si="3"/>
        <v>-2.4117793126694838</v>
      </c>
      <c r="Y62" s="20">
        <f t="shared" si="4"/>
        <v>0</v>
      </c>
      <c r="Z62" s="19">
        <f t="shared" si="5"/>
        <v>7.9820993661012252E-2</v>
      </c>
      <c r="AA62" s="19">
        <f t="shared" si="6"/>
        <v>174.95406180317011</v>
      </c>
      <c r="AB62" s="19">
        <f t="shared" si="7"/>
        <v>0.48295594757770205</v>
      </c>
      <c r="AC62" s="19">
        <f t="shared" si="8"/>
        <v>0.37280040551202914</v>
      </c>
      <c r="AD62" s="17">
        <f t="shared" si="9"/>
        <v>-1.3738087548079756E-2</v>
      </c>
      <c r="AE62" s="17">
        <f t="shared" si="10"/>
        <v>-2.459204616001829E-2</v>
      </c>
      <c r="AF62" s="19">
        <f t="shared" si="11"/>
        <v>0.14337633959715185</v>
      </c>
      <c r="AG62" s="19">
        <f t="shared" si="12"/>
        <v>0.78268045545594866</v>
      </c>
      <c r="AH62" s="19">
        <f t="shared" si="13"/>
        <v>0.49849479315241096</v>
      </c>
      <c r="AI62" s="19">
        <f t="shared" si="14"/>
        <v>-70.422535211267615</v>
      </c>
      <c r="AJ62" s="19">
        <f t="shared" si="15"/>
        <v>0.8444525543542617</v>
      </c>
    </row>
    <row r="63" spans="1:36" x14ac:dyDescent="0.35">
      <c r="A63" s="36"/>
      <c r="B63" s="2">
        <v>2020</v>
      </c>
      <c r="C63" s="36"/>
      <c r="D63" s="36"/>
      <c r="E63" s="10">
        <v>-18218177373</v>
      </c>
      <c r="F63" s="10">
        <v>317031964534</v>
      </c>
      <c r="G63" s="10">
        <v>101678044013</v>
      </c>
      <c r="H63" s="10">
        <v>55211778498</v>
      </c>
      <c r="I63" s="10">
        <v>47140889442</v>
      </c>
      <c r="J63" s="10">
        <v>3491521674</v>
      </c>
      <c r="K63" s="10">
        <v>86959391390</v>
      </c>
      <c r="L63" s="10">
        <f>12106822425+25570072576</f>
        <v>37676895001</v>
      </c>
      <c r="M63" s="10">
        <v>261820186036</v>
      </c>
      <c r="N63" s="10">
        <v>215353920521</v>
      </c>
      <c r="O63" s="10">
        <v>-499109037</v>
      </c>
      <c r="P63" s="10">
        <v>-7359039218</v>
      </c>
      <c r="Q63" s="10">
        <v>11642166511</v>
      </c>
      <c r="R63" s="12">
        <v>50</v>
      </c>
      <c r="S63" s="12">
        <v>-4.55</v>
      </c>
      <c r="T63" s="11">
        <v>3961452039</v>
      </c>
      <c r="U63" s="35">
        <f t="shared" si="0"/>
        <v>-5.7464796648434471E-2</v>
      </c>
      <c r="V63" s="35">
        <f t="shared" si="1"/>
        <v>0.32071858798987307</v>
      </c>
      <c r="W63" s="35">
        <f t="shared" si="2"/>
        <v>1.1712078230074563</v>
      </c>
      <c r="X63" s="19">
        <f t="shared" si="3"/>
        <v>-2.259985342823156</v>
      </c>
      <c r="Y63" s="20">
        <f t="shared" si="4"/>
        <v>0</v>
      </c>
      <c r="Z63" s="19">
        <f t="shared" si="5"/>
        <v>7.4065672398816507E-2</v>
      </c>
      <c r="AA63" s="19">
        <f t="shared" si="6"/>
        <v>158.14354787384627</v>
      </c>
      <c r="AB63" s="19">
        <f t="shared" si="7"/>
        <v>0.33213402185132956</v>
      </c>
      <c r="AC63" s="19">
        <f t="shared" si="8"/>
        <v>0.27429218854262899</v>
      </c>
      <c r="AD63" s="17">
        <f t="shared" si="9"/>
        <v>-8.4596450944218929E-2</v>
      </c>
      <c r="AE63" s="17">
        <f t="shared" si="10"/>
        <v>-0.20950212601298199</v>
      </c>
      <c r="AF63" s="19">
        <f t="shared" si="11"/>
        <v>-5.73956451421756E-3</v>
      </c>
      <c r="AG63" s="19">
        <f t="shared" si="12"/>
        <v>-0.63210221319604698</v>
      </c>
      <c r="AH63" s="19">
        <f t="shared" si="13"/>
        <v>0.47214391902879232</v>
      </c>
      <c r="AI63" s="19">
        <f t="shared" si="14"/>
        <v>-10.989010989010989</v>
      </c>
      <c r="AJ63" s="19">
        <f t="shared" si="15"/>
        <v>0.91975387060894098</v>
      </c>
    </row>
    <row r="64" spans="1:36" x14ac:dyDescent="0.35">
      <c r="A64" s="36"/>
      <c r="B64" s="3">
        <v>2021</v>
      </c>
      <c r="C64" s="36"/>
      <c r="D64" s="36"/>
      <c r="E64" s="10">
        <v>-13195658734</v>
      </c>
      <c r="F64" s="10">
        <v>301506104882</v>
      </c>
      <c r="G64" s="10">
        <v>98256140569</v>
      </c>
      <c r="H64" s="10">
        <v>54436318441</v>
      </c>
      <c r="I64" s="10">
        <v>49557803766</v>
      </c>
      <c r="J64" s="10">
        <v>1837024558</v>
      </c>
      <c r="K64" s="10">
        <v>85604008684</v>
      </c>
      <c r="L64" s="10">
        <f>12760387658+25062951756</f>
        <v>37823339414</v>
      </c>
      <c r="M64" s="10">
        <v>247069786441</v>
      </c>
      <c r="N64" s="10">
        <v>203249964314</v>
      </c>
      <c r="O64" s="10">
        <v>-240352267</v>
      </c>
      <c r="P64" s="10">
        <v>-5838109573</v>
      </c>
      <c r="Q64" s="10">
        <v>8433341212</v>
      </c>
      <c r="R64" s="12">
        <v>50</v>
      </c>
      <c r="S64" s="12">
        <v>-3.31</v>
      </c>
      <c r="T64" s="11">
        <v>3961452039</v>
      </c>
      <c r="U64" s="35">
        <f t="shared" si="0"/>
        <v>-4.3765809449080192E-2</v>
      </c>
      <c r="V64" s="35">
        <f t="shared" si="1"/>
        <v>0.32588441486932535</v>
      </c>
      <c r="W64" s="35">
        <f t="shared" si="2"/>
        <v>1.0984408973818769</v>
      </c>
      <c r="X64" s="19">
        <f t="shared" si="3"/>
        <v>-2.2921810735029307</v>
      </c>
      <c r="Y64" s="20">
        <f t="shared" si="4"/>
        <v>0</v>
      </c>
      <c r="Z64" s="19">
        <f t="shared" si="5"/>
        <v>3.7068320595359451E-2</v>
      </c>
      <c r="AA64" s="19">
        <f t="shared" si="6"/>
        <v>161.27187380992768</v>
      </c>
      <c r="AB64" s="19">
        <f t="shared" si="7"/>
        <v>0.34647704163714954</v>
      </c>
      <c r="AC64" s="19">
        <f t="shared" si="8"/>
        <v>0.28392131136947529</v>
      </c>
      <c r="AD64" s="17">
        <f t="shared" si="9"/>
        <v>-6.4923301603212497E-2</v>
      </c>
      <c r="AE64" s="17">
        <f t="shared" si="10"/>
        <v>-0.15414767295198364</v>
      </c>
      <c r="AF64" s="19">
        <f t="shared" si="11"/>
        <v>-2.8077220996418541E-3</v>
      </c>
      <c r="AG64" s="19">
        <f t="shared" si="12"/>
        <v>-0.69226531053822604</v>
      </c>
      <c r="AH64" s="19">
        <f t="shared" si="13"/>
        <v>0.48342513072821264</v>
      </c>
      <c r="AI64" s="19">
        <f t="shared" si="14"/>
        <v>-15.105740181268882</v>
      </c>
      <c r="AJ64" s="19">
        <f t="shared" si="15"/>
        <v>0.97452711796789537</v>
      </c>
    </row>
    <row r="65" spans="1:36" x14ac:dyDescent="0.35">
      <c r="A65" s="36"/>
      <c r="B65" s="4">
        <v>2022</v>
      </c>
      <c r="C65" s="36"/>
      <c r="D65" s="36"/>
      <c r="E65" s="10">
        <v>-31352237717</v>
      </c>
      <c r="F65" s="10">
        <v>267905168207</v>
      </c>
      <c r="G65" s="10">
        <v>95158553605</v>
      </c>
      <c r="H65" s="10">
        <v>34184789301</v>
      </c>
      <c r="I65" s="10">
        <v>74206852627</v>
      </c>
      <c r="J65" s="10">
        <v>1105619766</v>
      </c>
      <c r="K65" s="10">
        <v>84393762429</v>
      </c>
      <c r="L65" s="10">
        <f>14274375958+2162261364</f>
        <v>16436637322</v>
      </c>
      <c r="M65" s="10">
        <v>233720378906</v>
      </c>
      <c r="N65" s="10">
        <v>172746614602</v>
      </c>
      <c r="O65" s="10">
        <v>38341518</v>
      </c>
      <c r="P65" s="10">
        <v>-4140798603</v>
      </c>
      <c r="Q65" s="10">
        <v>29515542820</v>
      </c>
      <c r="R65" s="12">
        <v>50</v>
      </c>
      <c r="S65" s="12">
        <v>-7.98</v>
      </c>
      <c r="T65" s="11">
        <v>3961452039</v>
      </c>
      <c r="U65" s="35">
        <f t="shared" si="0"/>
        <v>-0.11702737176303868</v>
      </c>
      <c r="V65" s="35">
        <f t="shared" si="1"/>
        <v>0.35519491558100386</v>
      </c>
      <c r="W65" s="35">
        <f t="shared" si="2"/>
        <v>0.46066890173646768</v>
      </c>
      <c r="X65" s="19">
        <f t="shared" si="3"/>
        <v>-1.7925462212558316</v>
      </c>
      <c r="Y65" s="20">
        <f t="shared" si="4"/>
        <v>0</v>
      </c>
      <c r="Z65" s="19">
        <f t="shared" si="5"/>
        <v>1.489915994089369E-2</v>
      </c>
      <c r="AA65" s="19">
        <f t="shared" si="6"/>
        <v>71.087867750620063</v>
      </c>
      <c r="AB65" s="19">
        <f t="shared" si="7"/>
        <v>0.36108859152133382</v>
      </c>
      <c r="AC65" s="19">
        <f t="shared" si="8"/>
        <v>0.31501356615782861</v>
      </c>
      <c r="AD65" s="17">
        <f t="shared" si="9"/>
        <v>-0.18149263179040623</v>
      </c>
      <c r="AE65" s="17">
        <f t="shared" si="10"/>
        <v>-0.37149946648458126</v>
      </c>
      <c r="AF65" s="19">
        <f t="shared" si="11"/>
        <v>4.5431696486166861E-4</v>
      </c>
      <c r="AG65" s="19">
        <f t="shared" si="12"/>
        <v>-0.14029213788316836</v>
      </c>
      <c r="AH65" s="19">
        <f t="shared" si="13"/>
        <v>0.55085625743949185</v>
      </c>
      <c r="AI65" s="19">
        <f t="shared" si="14"/>
        <v>-6.2656641604010019</v>
      </c>
      <c r="AJ65" s="19">
        <f t="shared" si="15"/>
        <v>1.1466077202517102</v>
      </c>
    </row>
    <row r="66" spans="1:36" x14ac:dyDescent="0.35">
      <c r="A66" s="36"/>
      <c r="B66" s="5">
        <v>2023</v>
      </c>
      <c r="C66" s="36"/>
      <c r="D66" s="36"/>
      <c r="E66" s="10">
        <v>-10179080860</v>
      </c>
      <c r="F66" s="16">
        <v>243227525308</v>
      </c>
      <c r="G66" s="10">
        <v>81483602119</v>
      </c>
      <c r="H66" s="10">
        <v>33787422242</v>
      </c>
      <c r="I66" s="10">
        <v>47115276731</v>
      </c>
      <c r="J66" s="10">
        <v>414885929</v>
      </c>
      <c r="K66" s="10">
        <v>77215217389</v>
      </c>
      <c r="L66" s="10">
        <f>14417885174+2090465857</f>
        <v>16508351031</v>
      </c>
      <c r="M66" s="10">
        <v>209440103066</v>
      </c>
      <c r="N66" s="10">
        <v>161743923189</v>
      </c>
      <c r="O66" s="10">
        <v>2270657440</v>
      </c>
      <c r="P66" s="10">
        <v>-3817812451</v>
      </c>
      <c r="Q66" s="10">
        <v>9033433026</v>
      </c>
      <c r="R66" s="12">
        <v>7</v>
      </c>
      <c r="S66" s="12">
        <v>-2.64</v>
      </c>
      <c r="T66" s="11">
        <v>3961452039</v>
      </c>
      <c r="U66" s="35">
        <f t="shared" si="0"/>
        <v>-4.1850036697574373E-2</v>
      </c>
      <c r="V66" s="35">
        <f t="shared" si="1"/>
        <v>0.33500978976707912</v>
      </c>
      <c r="W66" s="35">
        <f t="shared" si="2"/>
        <v>0.71712244066623942</v>
      </c>
      <c r="X66" s="19">
        <f t="shared" si="3"/>
        <v>-2.2474786780592697</v>
      </c>
      <c r="Y66" s="20">
        <f t="shared" si="4"/>
        <v>0</v>
      </c>
      <c r="Z66" s="19">
        <f t="shared" si="5"/>
        <v>8.8057623298861236E-3</v>
      </c>
      <c r="AA66" s="19">
        <f t="shared" si="6"/>
        <v>78.035759401661579</v>
      </c>
      <c r="AB66" s="19">
        <f t="shared" si="7"/>
        <v>0.36867446233383244</v>
      </c>
      <c r="AC66" s="19">
        <f t="shared" si="8"/>
        <v>0.31746085189668422</v>
      </c>
      <c r="AD66" s="17">
        <f t="shared" si="9"/>
        <v>-6.2933312481270806E-2</v>
      </c>
      <c r="AE66" s="17">
        <f t="shared" si="10"/>
        <v>-0.13182739366929636</v>
      </c>
      <c r="AF66" s="19">
        <f t="shared" si="11"/>
        <v>2.9406864563506045E-2</v>
      </c>
      <c r="AG66" s="19">
        <f t="shared" si="12"/>
        <v>-0.42263140048878245</v>
      </c>
      <c r="AH66" s="19">
        <f t="shared" si="13"/>
        <v>0.50378153634733647</v>
      </c>
      <c r="AI66" s="19">
        <f t="shared" si="14"/>
        <v>-2.6515151515151514</v>
      </c>
      <c r="AJ66" s="19">
        <f t="shared" si="15"/>
        <v>0.17144486003716455</v>
      </c>
    </row>
    <row r="67" spans="1:36" x14ac:dyDescent="0.35">
      <c r="A67" s="36">
        <v>14</v>
      </c>
      <c r="B67" s="1">
        <v>2019</v>
      </c>
      <c r="C67" s="36" t="s">
        <v>29</v>
      </c>
      <c r="D67" s="36" t="s">
        <v>30</v>
      </c>
      <c r="E67" s="10">
        <v>52344151967</v>
      </c>
      <c r="F67" s="10">
        <v>527467886738</v>
      </c>
      <c r="G67" s="10">
        <v>65436471797</v>
      </c>
      <c r="H67" s="10">
        <v>134012941477</v>
      </c>
      <c r="I67" s="10">
        <v>23179545509</v>
      </c>
      <c r="J67" s="10">
        <v>51881866648</v>
      </c>
      <c r="K67" s="10">
        <v>250170826551</v>
      </c>
      <c r="L67" s="10">
        <v>34302439747</v>
      </c>
      <c r="M67" s="10">
        <v>393454945261</v>
      </c>
      <c r="N67" s="10">
        <v>462031414941</v>
      </c>
      <c r="O67" s="10">
        <v>83794419368</v>
      </c>
      <c r="P67" s="10">
        <v>57916384952</v>
      </c>
      <c r="Q67" s="10">
        <v>2976547227</v>
      </c>
      <c r="R67" s="12">
        <v>141</v>
      </c>
      <c r="S67" s="12">
        <v>22.26</v>
      </c>
      <c r="T67" s="11">
        <v>2350000000</v>
      </c>
      <c r="U67" s="35">
        <f t="shared" ref="U67:U111" si="17">E67/F67</f>
        <v>9.9236661194124984E-2</v>
      </c>
      <c r="V67" s="35">
        <f t="shared" ref="V67:V111" si="18">G67/F67</f>
        <v>0.12405773591578501</v>
      </c>
      <c r="W67" s="35">
        <f t="shared" ref="W67:W111" si="19">H67/I67</f>
        <v>5.7815172184875818</v>
      </c>
      <c r="X67" s="19">
        <f t="shared" ref="X67:X111" si="20">-4.336-(4.513*U67)+(5.679*V67)-(0.004*W67)</f>
        <v>-4.1024572385772933</v>
      </c>
      <c r="Y67" s="20">
        <f t="shared" ref="Y67:Y111" si="21">IF(X67&gt;0,1,0)</f>
        <v>0</v>
      </c>
      <c r="Z67" s="19">
        <f t="shared" ref="Z67:Z111" si="22">J67/I67</f>
        <v>2.2382607384538948</v>
      </c>
      <c r="AA67" s="19">
        <f t="shared" ref="AA67:AA111" si="23">L67/(K67/365)</f>
        <v>50.047364356061657</v>
      </c>
      <c r="AB67" s="19">
        <f t="shared" ref="AB67:AB111" si="24">K67/M67</f>
        <v>0.63583093709763416</v>
      </c>
      <c r="AC67" s="19">
        <f t="shared" ref="AC67:AC111" si="25">K67/F67</f>
        <v>0.47428636480245673</v>
      </c>
      <c r="AD67" s="17">
        <f t="shared" ref="AD67:AD111" si="26">E67/N67</f>
        <v>0.11329132668107468</v>
      </c>
      <c r="AE67" s="17">
        <f t="shared" ref="AE67:AE111" si="27">E67/K67</f>
        <v>0.20923363722559826</v>
      </c>
      <c r="AF67" s="19">
        <f t="shared" ref="AF67:AF111" si="28">O67/K67</f>
        <v>0.33494880487560613</v>
      </c>
      <c r="AG67" s="19">
        <f t="shared" ref="AG67:AG111" si="29">P67/Q67</f>
        <v>19.457572998219391</v>
      </c>
      <c r="AH67" s="19">
        <f t="shared" ref="AH67:AH111" si="30">G67/N67</f>
        <v>0.14162775447932699</v>
      </c>
      <c r="AI67" s="19">
        <f t="shared" ref="AI67:AI111" si="31">R67/(S67)</f>
        <v>6.3342318059299183</v>
      </c>
      <c r="AJ67" s="19">
        <f t="shared" ref="AJ67:AJ111" si="32">R67/(N67/T67)</f>
        <v>0.71715902703783119</v>
      </c>
    </row>
    <row r="68" spans="1:36" x14ac:dyDescent="0.35">
      <c r="A68" s="36"/>
      <c r="B68" s="2">
        <v>2020</v>
      </c>
      <c r="C68" s="36"/>
      <c r="D68" s="36"/>
      <c r="E68" s="10">
        <v>43944061538</v>
      </c>
      <c r="F68" s="10">
        <v>568048326214</v>
      </c>
      <c r="G68" s="10">
        <v>69298714658</v>
      </c>
      <c r="H68" s="10">
        <v>146335988563</v>
      </c>
      <c r="I68" s="10">
        <v>21765155172</v>
      </c>
      <c r="J68" s="10">
        <v>73000763949</v>
      </c>
      <c r="K68" s="10">
        <v>230662117776</v>
      </c>
      <c r="L68" s="10">
        <v>25408082202</v>
      </c>
      <c r="M68" s="10">
        <v>421712337651</v>
      </c>
      <c r="N68" s="10">
        <v>498749611556</v>
      </c>
      <c r="O68" s="10">
        <v>75697488252</v>
      </c>
      <c r="P68" s="10">
        <v>51084624630</v>
      </c>
      <c r="Q68" s="10">
        <v>5475410836</v>
      </c>
      <c r="R68" s="12">
        <v>142</v>
      </c>
      <c r="S68" s="12">
        <v>18.68</v>
      </c>
      <c r="T68" s="11">
        <v>2350000000</v>
      </c>
      <c r="U68" s="35">
        <f t="shared" si="17"/>
        <v>7.7359723653943169E-2</v>
      </c>
      <c r="V68" s="35">
        <f t="shared" si="18"/>
        <v>0.12199439987768435</v>
      </c>
      <c r="W68" s="35">
        <f t="shared" si="19"/>
        <v>6.7234066289247219</v>
      </c>
      <c r="X68" s="19">
        <f t="shared" si="20"/>
        <v>-4.0192118624605753</v>
      </c>
      <c r="Y68" s="20">
        <f t="shared" si="21"/>
        <v>0</v>
      </c>
      <c r="Z68" s="19">
        <f t="shared" si="22"/>
        <v>3.3540199172534528</v>
      </c>
      <c r="AA68" s="19">
        <f t="shared" si="23"/>
        <v>40.205778448354032</v>
      </c>
      <c r="AB68" s="19">
        <f t="shared" si="24"/>
        <v>0.5469655430543533</v>
      </c>
      <c r="AC68" s="19">
        <f t="shared" si="25"/>
        <v>0.40606072957444644</v>
      </c>
      <c r="AD68" s="17">
        <f t="shared" si="26"/>
        <v>8.8108462683115146E-2</v>
      </c>
      <c r="AE68" s="17">
        <f t="shared" si="27"/>
        <v>0.19051269433273324</v>
      </c>
      <c r="AF68" s="19">
        <f t="shared" si="28"/>
        <v>0.32817477348192542</v>
      </c>
      <c r="AG68" s="19">
        <f t="shared" si="29"/>
        <v>9.3298249501437045</v>
      </c>
      <c r="AH68" s="19">
        <f t="shared" si="30"/>
        <v>0.13894489950939859</v>
      </c>
      <c r="AI68" s="19">
        <f t="shared" si="31"/>
        <v>7.6017130620985016</v>
      </c>
      <c r="AJ68" s="19">
        <f t="shared" si="32"/>
        <v>0.66907320280194726</v>
      </c>
    </row>
    <row r="69" spans="1:36" x14ac:dyDescent="0.35">
      <c r="A69" s="36"/>
      <c r="B69" s="3">
        <v>2021</v>
      </c>
      <c r="C69" s="36"/>
      <c r="D69" s="36"/>
      <c r="E69" s="10">
        <v>51407237669</v>
      </c>
      <c r="F69" s="10">
        <v>552781459611</v>
      </c>
      <c r="G69" s="10">
        <v>60858708144</v>
      </c>
      <c r="H69" s="10">
        <v>99707098594</v>
      </c>
      <c r="I69" s="10">
        <v>25913588162</v>
      </c>
      <c r="J69" s="10">
        <v>40808927475</v>
      </c>
      <c r="K69" s="10">
        <v>199312722588</v>
      </c>
      <c r="L69" s="10">
        <v>9146309749</v>
      </c>
      <c r="M69" s="10">
        <v>453074361017</v>
      </c>
      <c r="N69" s="10">
        <v>491922751467</v>
      </c>
      <c r="O69" s="10">
        <v>69575558659</v>
      </c>
      <c r="P69" s="10">
        <v>54847781792</v>
      </c>
      <c r="Q69" s="10">
        <v>2516454280</v>
      </c>
      <c r="R69" s="12">
        <v>308</v>
      </c>
      <c r="S69" s="12">
        <v>21.86</v>
      </c>
      <c r="T69" s="11">
        <v>2350000000</v>
      </c>
      <c r="U69" s="35">
        <f t="shared" si="17"/>
        <v>9.2997398474934365E-2</v>
      </c>
      <c r="V69" s="35">
        <f t="shared" si="18"/>
        <v>0.11009542213450342</v>
      </c>
      <c r="W69" s="35">
        <f t="shared" si="19"/>
        <v>3.8476762836036618</v>
      </c>
      <c r="X69" s="19">
        <f t="shared" si="20"/>
        <v>-4.1458560621499485</v>
      </c>
      <c r="Y69" s="20">
        <f t="shared" si="21"/>
        <v>0</v>
      </c>
      <c r="Z69" s="19">
        <f t="shared" si="22"/>
        <v>1.5748080589951918</v>
      </c>
      <c r="AA69" s="19">
        <f t="shared" si="23"/>
        <v>16.749573308904239</v>
      </c>
      <c r="AB69" s="19">
        <f t="shared" si="24"/>
        <v>0.43991172252742305</v>
      </c>
      <c r="AC69" s="19">
        <f t="shared" si="25"/>
        <v>0.36056332773580924</v>
      </c>
      <c r="AD69" s="17">
        <f t="shared" si="26"/>
        <v>0.10450266330576212</v>
      </c>
      <c r="AE69" s="17">
        <f t="shared" si="27"/>
        <v>0.25792250992057381</v>
      </c>
      <c r="AF69" s="19">
        <f t="shared" si="28"/>
        <v>0.34907735821169766</v>
      </c>
      <c r="AG69" s="19">
        <f t="shared" si="29"/>
        <v>21.795659960092738</v>
      </c>
      <c r="AH69" s="19">
        <f t="shared" si="30"/>
        <v>0.12371598581791277</v>
      </c>
      <c r="AI69" s="19">
        <f t="shared" si="31"/>
        <v>14.089661482159196</v>
      </c>
      <c r="AJ69" s="19">
        <f t="shared" si="32"/>
        <v>1.4713692299075443</v>
      </c>
    </row>
    <row r="70" spans="1:36" x14ac:dyDescent="0.35">
      <c r="A70" s="36"/>
      <c r="B70" s="4">
        <v>2022</v>
      </c>
      <c r="C70" s="36"/>
      <c r="D70" s="36"/>
      <c r="E70" s="10">
        <v>126391885783</v>
      </c>
      <c r="F70" s="10">
        <v>653425820330</v>
      </c>
      <c r="G70" s="10">
        <v>69633567723</v>
      </c>
      <c r="H70" s="10">
        <v>145600441681</v>
      </c>
      <c r="I70" s="10">
        <v>35759386027</v>
      </c>
      <c r="J70" s="10">
        <v>24554966147</v>
      </c>
      <c r="K70" s="10">
        <v>309603262557</v>
      </c>
      <c r="L70" s="10">
        <v>17225112190</v>
      </c>
      <c r="M70" s="10">
        <v>507825378649</v>
      </c>
      <c r="N70" s="10">
        <v>583792252607</v>
      </c>
      <c r="O70" s="10">
        <v>153169906066</v>
      </c>
      <c r="P70" s="10">
        <v>131877724733</v>
      </c>
      <c r="Q70" s="10">
        <v>1937921783</v>
      </c>
      <c r="R70" s="12">
        <v>310</v>
      </c>
      <c r="S70" s="12">
        <v>53.76</v>
      </c>
      <c r="T70" s="11">
        <v>2350000000</v>
      </c>
      <c r="U70" s="35">
        <f t="shared" si="17"/>
        <v>0.1934295858084828</v>
      </c>
      <c r="V70" s="35">
        <f t="shared" si="18"/>
        <v>0.10656690561727868</v>
      </c>
      <c r="W70" s="35">
        <f t="shared" si="19"/>
        <v>4.0716706257502544</v>
      </c>
      <c r="X70" s="19">
        <f t="shared" si="20"/>
        <v>-4.6200409462561582</v>
      </c>
      <c r="Y70" s="20">
        <f t="shared" si="21"/>
        <v>0</v>
      </c>
      <c r="Z70" s="19">
        <f t="shared" si="22"/>
        <v>0.68667191680695683</v>
      </c>
      <c r="AA70" s="19">
        <f t="shared" si="23"/>
        <v>20.307169560890824</v>
      </c>
      <c r="AB70" s="19">
        <f t="shared" si="24"/>
        <v>0.60966480915281773</v>
      </c>
      <c r="AC70" s="19">
        <f t="shared" si="25"/>
        <v>0.47381547059257756</v>
      </c>
      <c r="AD70" s="17">
        <f t="shared" si="26"/>
        <v>0.21650147842589662</v>
      </c>
      <c r="AE70" s="17">
        <f t="shared" si="27"/>
        <v>0.40823822313477859</v>
      </c>
      <c r="AF70" s="19">
        <f t="shared" si="28"/>
        <v>0.49472962526614334</v>
      </c>
      <c r="AG70" s="19">
        <f t="shared" si="29"/>
        <v>68.051108094180492</v>
      </c>
      <c r="AH70" s="19">
        <f t="shared" si="30"/>
        <v>0.11927799214882054</v>
      </c>
      <c r="AI70" s="19">
        <f t="shared" si="31"/>
        <v>5.7663690476190474</v>
      </c>
      <c r="AJ70" s="19">
        <f t="shared" si="32"/>
        <v>1.2478754158637577</v>
      </c>
    </row>
    <row r="71" spans="1:36" x14ac:dyDescent="0.35">
      <c r="A71" s="36"/>
      <c r="B71" s="5">
        <v>2023</v>
      </c>
      <c r="C71" s="36"/>
      <c r="D71" s="36"/>
      <c r="E71" s="10">
        <v>228985269425</v>
      </c>
      <c r="F71" s="10">
        <v>829253927925</v>
      </c>
      <c r="G71" s="10">
        <v>98996443759</v>
      </c>
      <c r="H71" s="10">
        <v>161475800127</v>
      </c>
      <c r="I71" s="10">
        <v>60577541290</v>
      </c>
      <c r="J71" s="10">
        <v>53065669504</v>
      </c>
      <c r="K71" s="10">
        <v>522351078947</v>
      </c>
      <c r="L71" s="10">
        <v>42318238256</v>
      </c>
      <c r="M71" s="10">
        <v>667778127798</v>
      </c>
      <c r="N71" s="10">
        <v>730257484166</v>
      </c>
      <c r="O71" s="10">
        <v>283410294429</v>
      </c>
      <c r="P71" s="10">
        <v>240328064945</v>
      </c>
      <c r="Q71" s="10">
        <v>3849649971</v>
      </c>
      <c r="R71" s="12">
        <v>486</v>
      </c>
      <c r="S71" s="12">
        <v>97.4</v>
      </c>
      <c r="T71" s="11">
        <v>2350000000</v>
      </c>
      <c r="U71" s="35">
        <f t="shared" si="17"/>
        <v>0.27613407873506035</v>
      </c>
      <c r="V71" s="35">
        <f t="shared" si="18"/>
        <v>0.11938013246040785</v>
      </c>
      <c r="W71" s="35">
        <f t="shared" si="19"/>
        <v>2.6656050524397239</v>
      </c>
      <c r="X71" s="19">
        <f t="shared" si="20"/>
        <v>-4.9148957452984297</v>
      </c>
      <c r="Y71" s="20">
        <f t="shared" si="21"/>
        <v>0</v>
      </c>
      <c r="Z71" s="19">
        <f t="shared" si="22"/>
        <v>0.87599576301654813</v>
      </c>
      <c r="AA71" s="19">
        <f t="shared" si="23"/>
        <v>29.57045095910912</v>
      </c>
      <c r="AB71" s="19">
        <f t="shared" si="24"/>
        <v>0.78222250355736256</v>
      </c>
      <c r="AC71" s="19">
        <f t="shared" si="25"/>
        <v>0.62990485948502239</v>
      </c>
      <c r="AD71" s="17">
        <f t="shared" si="26"/>
        <v>0.31356785023095735</v>
      </c>
      <c r="AE71" s="17">
        <f t="shared" si="27"/>
        <v>0.43837426331464291</v>
      </c>
      <c r="AF71" s="19">
        <f t="shared" si="28"/>
        <v>0.54256668714138145</v>
      </c>
      <c r="AG71" s="19">
        <f t="shared" si="29"/>
        <v>62.428549804638848</v>
      </c>
      <c r="AH71" s="19">
        <f t="shared" si="30"/>
        <v>0.13556375101319251</v>
      </c>
      <c r="AI71" s="19">
        <f t="shared" si="31"/>
        <v>4.9897330595482545</v>
      </c>
      <c r="AJ71" s="19">
        <f t="shared" si="32"/>
        <v>1.5639689079042443</v>
      </c>
    </row>
    <row r="72" spans="1:36" x14ac:dyDescent="0.35">
      <c r="A72" s="36">
        <v>15</v>
      </c>
      <c r="B72" s="1">
        <v>2019</v>
      </c>
      <c r="C72" s="36" t="s">
        <v>31</v>
      </c>
      <c r="D72" s="36" t="s">
        <v>32</v>
      </c>
      <c r="E72" s="10">
        <v>9207473993</v>
      </c>
      <c r="F72" s="10">
        <v>357452208843</v>
      </c>
      <c r="G72" s="10">
        <v>408955063516</v>
      </c>
      <c r="H72" s="10">
        <v>25440029596</v>
      </c>
      <c r="I72" s="10">
        <v>190967041916</v>
      </c>
      <c r="J72" s="10">
        <v>5725653266</v>
      </c>
      <c r="K72" s="10">
        <v>180073555181</v>
      </c>
      <c r="L72" s="10">
        <f>12631807990+2531866677+1000436008</f>
        <v>16164110675</v>
      </c>
      <c r="M72" s="10">
        <v>332012179247</v>
      </c>
      <c r="N72" s="10">
        <v>-51502854672</v>
      </c>
      <c r="O72" s="10">
        <v>63522143072</v>
      </c>
      <c r="P72" s="10">
        <v>54111425055</v>
      </c>
      <c r="Q72" s="16">
        <v>42323927724</v>
      </c>
      <c r="R72" s="12">
        <v>206</v>
      </c>
      <c r="S72" s="12">
        <v>14.83</v>
      </c>
      <c r="T72" s="11">
        <v>615145012</v>
      </c>
      <c r="U72" s="35">
        <f t="shared" si="17"/>
        <v>2.5758615460239338E-2</v>
      </c>
      <c r="V72" s="35">
        <f t="shared" si="18"/>
        <v>1.1440831904206279</v>
      </c>
      <c r="W72" s="35">
        <f t="shared" si="19"/>
        <v>0.13321685952066126</v>
      </c>
      <c r="X72" s="19">
        <f t="shared" si="20"/>
        <v>2.0444669393886037</v>
      </c>
      <c r="Y72" s="20">
        <f t="shared" si="21"/>
        <v>1</v>
      </c>
      <c r="Z72" s="19">
        <f t="shared" si="22"/>
        <v>2.9982415858536067E-2</v>
      </c>
      <c r="AA72" s="19">
        <f t="shared" si="23"/>
        <v>32.763835813896968</v>
      </c>
      <c r="AB72" s="19">
        <f t="shared" si="24"/>
        <v>0.54237032987586442</v>
      </c>
      <c r="AC72" s="19">
        <f t="shared" si="25"/>
        <v>0.50376959695916113</v>
      </c>
      <c r="AD72" s="17">
        <f t="shared" si="26"/>
        <v>-0.17877599312967263</v>
      </c>
      <c r="AE72" s="17">
        <f t="shared" si="27"/>
        <v>5.1131738826087791E-2</v>
      </c>
      <c r="AF72" s="19">
        <f t="shared" si="28"/>
        <v>0.35275664440650961</v>
      </c>
      <c r="AG72" s="19">
        <f t="shared" si="29"/>
        <v>1.2785066973903709</v>
      </c>
      <c r="AH72" s="19">
        <f t="shared" si="30"/>
        <v>-7.9404348772599622</v>
      </c>
      <c r="AI72" s="19">
        <f t="shared" si="31"/>
        <v>13.890761968981794</v>
      </c>
      <c r="AJ72" s="19">
        <f t="shared" si="32"/>
        <v>-2.4604436643177459</v>
      </c>
    </row>
    <row r="73" spans="1:36" x14ac:dyDescent="0.35">
      <c r="A73" s="36"/>
      <c r="B73" s="2">
        <v>2020</v>
      </c>
      <c r="C73" s="36"/>
      <c r="D73" s="36"/>
      <c r="E73" s="10">
        <v>-17589816911</v>
      </c>
      <c r="F73" s="10">
        <v>322122601641</v>
      </c>
      <c r="G73" s="10">
        <v>391040622215</v>
      </c>
      <c r="H73" s="10">
        <v>20982095779</v>
      </c>
      <c r="I73" s="10">
        <v>187447337837</v>
      </c>
      <c r="J73" s="10">
        <v>4716254537</v>
      </c>
      <c r="K73" s="10">
        <v>143961352119</v>
      </c>
      <c r="L73" s="10">
        <f>10270952990+2767022677+819727032</f>
        <v>13857702699</v>
      </c>
      <c r="M73" s="10">
        <v>301140505863</v>
      </c>
      <c r="N73" s="10">
        <v>-68918020573</v>
      </c>
      <c r="O73" s="10">
        <v>37185012026</v>
      </c>
      <c r="P73" s="10">
        <v>23910513276</v>
      </c>
      <c r="Q73" s="10">
        <v>39771824697</v>
      </c>
      <c r="R73" s="12">
        <v>188</v>
      </c>
      <c r="S73" s="12">
        <v>-28.31</v>
      </c>
      <c r="T73" s="11">
        <v>615145012</v>
      </c>
      <c r="U73" s="35">
        <f t="shared" si="17"/>
        <v>-5.4605969346427738E-2</v>
      </c>
      <c r="V73" s="35">
        <f t="shared" si="18"/>
        <v>1.2139496583689211</v>
      </c>
      <c r="W73" s="35">
        <f t="shared" si="19"/>
        <v>0.11193594969721875</v>
      </c>
      <c r="X73" s="19">
        <f t="shared" si="20"/>
        <v>2.804009105738742</v>
      </c>
      <c r="Y73" s="20">
        <f t="shared" si="21"/>
        <v>1</v>
      </c>
      <c r="Z73" s="19">
        <f t="shared" si="22"/>
        <v>2.5160424209924759E-2</v>
      </c>
      <c r="AA73" s="19">
        <f t="shared" si="23"/>
        <v>35.134856756235187</v>
      </c>
      <c r="AB73" s="19">
        <f t="shared" si="24"/>
        <v>0.47805376333030858</v>
      </c>
      <c r="AC73" s="19">
        <f t="shared" si="25"/>
        <v>0.44691478147020064</v>
      </c>
      <c r="AD73" s="17">
        <f t="shared" si="26"/>
        <v>0.25522812124832206</v>
      </c>
      <c r="AE73" s="17">
        <f t="shared" si="27"/>
        <v>-0.12218429913370131</v>
      </c>
      <c r="AF73" s="19">
        <f t="shared" si="28"/>
        <v>0.25829857443449455</v>
      </c>
      <c r="AG73" s="19">
        <f t="shared" si="29"/>
        <v>0.60119226256681091</v>
      </c>
      <c r="AH73" s="19">
        <f t="shared" si="30"/>
        <v>-5.6739967132514817</v>
      </c>
      <c r="AI73" s="19">
        <f t="shared" si="31"/>
        <v>-6.6407629812787006</v>
      </c>
      <c r="AJ73" s="19">
        <f t="shared" si="32"/>
        <v>-1.6780409723680763</v>
      </c>
    </row>
    <row r="74" spans="1:36" x14ac:dyDescent="0.35">
      <c r="A74" s="36"/>
      <c r="B74" s="3">
        <v>2021</v>
      </c>
      <c r="C74" s="36"/>
      <c r="D74" s="36"/>
      <c r="E74" s="10">
        <v>792053209</v>
      </c>
      <c r="F74" s="10">
        <v>298604232055</v>
      </c>
      <c r="G74" s="10">
        <v>366839357213</v>
      </c>
      <c r="H74" s="10">
        <v>27205306574</v>
      </c>
      <c r="I74" s="10">
        <v>323987512785</v>
      </c>
      <c r="J74" s="10">
        <v>10642965910</v>
      </c>
      <c r="K74" s="10">
        <v>161057570000</v>
      </c>
      <c r="L74" s="10">
        <f>11435611181+3082408622+713782268</f>
        <v>15231802071</v>
      </c>
      <c r="M74" s="10">
        <v>271398925481</v>
      </c>
      <c r="N74" s="10">
        <v>-68235125158</v>
      </c>
      <c r="O74" s="10">
        <v>52514853763</v>
      </c>
      <c r="P74" s="10">
        <v>39263559942</v>
      </c>
      <c r="Q74" s="10">
        <v>37612697970</v>
      </c>
      <c r="R74" s="12">
        <v>220</v>
      </c>
      <c r="S74" s="12">
        <v>1.1100000000000001</v>
      </c>
      <c r="T74" s="11">
        <v>615145012</v>
      </c>
      <c r="U74" s="35">
        <f t="shared" si="17"/>
        <v>2.6525183636851852E-3</v>
      </c>
      <c r="V74" s="35">
        <f t="shared" si="18"/>
        <v>1.2285135903413176</v>
      </c>
      <c r="W74" s="35">
        <f t="shared" si="19"/>
        <v>8.3970231877589674E-2</v>
      </c>
      <c r="X74" s="19">
        <f t="shared" si="20"/>
        <v>2.6284219832455209</v>
      </c>
      <c r="Y74" s="20">
        <f t="shared" si="21"/>
        <v>1</v>
      </c>
      <c r="Z74" s="19">
        <f t="shared" si="22"/>
        <v>3.2849926278062248E-2</v>
      </c>
      <c r="AA74" s="19">
        <f t="shared" si="23"/>
        <v>34.519381832937128</v>
      </c>
      <c r="AB74" s="19">
        <f t="shared" si="24"/>
        <v>0.59343481082158989</v>
      </c>
      <c r="AC74" s="19">
        <f t="shared" si="25"/>
        <v>0.53936800858982725</v>
      </c>
      <c r="AD74" s="17">
        <f t="shared" si="26"/>
        <v>-1.1607705081011907E-2</v>
      </c>
      <c r="AE74" s="17">
        <f t="shared" si="27"/>
        <v>4.9178266442241741E-3</v>
      </c>
      <c r="AF74" s="19">
        <f t="shared" si="28"/>
        <v>0.32606262321603385</v>
      </c>
      <c r="AG74" s="19">
        <f t="shared" si="29"/>
        <v>1.0438910809673034</v>
      </c>
      <c r="AH74" s="19">
        <f t="shared" si="30"/>
        <v>-5.3761073400770503</v>
      </c>
      <c r="AI74" s="19">
        <f t="shared" si="31"/>
        <v>198.19819819819818</v>
      </c>
      <c r="AJ74" s="19">
        <f t="shared" si="32"/>
        <v>-1.983317277232743</v>
      </c>
    </row>
    <row r="75" spans="1:36" x14ac:dyDescent="0.35">
      <c r="A75" s="36"/>
      <c r="B75" s="4">
        <v>2022</v>
      </c>
      <c r="C75" s="36"/>
      <c r="D75" s="36"/>
      <c r="E75" s="10">
        <v>10251704822</v>
      </c>
      <c r="F75" s="10">
        <v>270842050371</v>
      </c>
      <c r="G75" s="10">
        <v>328634650706</v>
      </c>
      <c r="H75" s="10">
        <v>29138439646</v>
      </c>
      <c r="I75" s="10">
        <v>207036303928</v>
      </c>
      <c r="J75" s="10">
        <v>8418327588</v>
      </c>
      <c r="K75" s="10">
        <v>253248613734</v>
      </c>
      <c r="L75" s="10">
        <f>15365938181+3091622677+654429486</f>
        <v>19111990344</v>
      </c>
      <c r="M75" s="10">
        <v>241703610725</v>
      </c>
      <c r="N75" s="10">
        <v>-57792600335</v>
      </c>
      <c r="O75" s="10">
        <v>65629645004</v>
      </c>
      <c r="P75" s="10">
        <v>50703198738</v>
      </c>
      <c r="Q75" s="10">
        <v>32077553575</v>
      </c>
      <c r="R75" s="12">
        <v>222</v>
      </c>
      <c r="S75" s="12">
        <v>16.98</v>
      </c>
      <c r="T75" s="11">
        <v>615145012</v>
      </c>
      <c r="U75" s="35">
        <f t="shared" si="17"/>
        <v>3.7851230294399241E-2</v>
      </c>
      <c r="V75" s="35">
        <f t="shared" si="18"/>
        <v>1.2133811948913973</v>
      </c>
      <c r="W75" s="35">
        <f t="shared" si="19"/>
        <v>0.14074072562719886</v>
      </c>
      <c r="X75" s="19">
        <f t="shared" si="20"/>
        <v>2.3834062405671124</v>
      </c>
      <c r="Y75" s="20">
        <f t="shared" si="21"/>
        <v>1</v>
      </c>
      <c r="Z75" s="19">
        <f t="shared" si="22"/>
        <v>4.0661118017869952E-2</v>
      </c>
      <c r="AA75" s="19">
        <f t="shared" si="23"/>
        <v>27.545566282495511</v>
      </c>
      <c r="AB75" s="19">
        <f t="shared" si="24"/>
        <v>1.0477651242957036</v>
      </c>
      <c r="AC75" s="19">
        <f t="shared" si="25"/>
        <v>0.9350417093176614</v>
      </c>
      <c r="AD75" s="17">
        <f t="shared" si="26"/>
        <v>-0.17738784485513842</v>
      </c>
      <c r="AE75" s="17">
        <f t="shared" si="27"/>
        <v>4.0480793441846401E-2</v>
      </c>
      <c r="AF75" s="19">
        <f t="shared" si="28"/>
        <v>0.25915105333186217</v>
      </c>
      <c r="AG75" s="19">
        <f t="shared" si="29"/>
        <v>1.5806441915669063</v>
      </c>
      <c r="AH75" s="19">
        <f t="shared" si="30"/>
        <v>-5.6864485903219393</v>
      </c>
      <c r="AI75" s="19">
        <f t="shared" si="31"/>
        <v>13.074204946996467</v>
      </c>
      <c r="AJ75" s="19">
        <f t="shared" si="32"/>
        <v>-2.3629702050505599</v>
      </c>
    </row>
    <row r="76" spans="1:36" x14ac:dyDescent="0.35">
      <c r="A76" s="36"/>
      <c r="B76" s="5">
        <v>2023</v>
      </c>
      <c r="C76" s="36"/>
      <c r="D76" s="36"/>
      <c r="E76" s="10">
        <v>19668379870</v>
      </c>
      <c r="F76" s="10">
        <v>237297109924</v>
      </c>
      <c r="G76" s="10">
        <v>275538626115</v>
      </c>
      <c r="H76" s="10">
        <v>24710914366</v>
      </c>
      <c r="I76" s="10">
        <v>239244745450</v>
      </c>
      <c r="J76" s="10">
        <v>6790770059</v>
      </c>
      <c r="K76" s="10">
        <v>242792617933</v>
      </c>
      <c r="L76" s="10">
        <f>15015708990+125000000+771855738</f>
        <v>15912564728</v>
      </c>
      <c r="M76" s="10">
        <v>212586195558</v>
      </c>
      <c r="N76" s="10">
        <v>-38241516191</v>
      </c>
      <c r="O76" s="10">
        <v>64913866336</v>
      </c>
      <c r="P76" s="10">
        <v>50276989140</v>
      </c>
      <c r="Q76" s="10">
        <v>23326193859</v>
      </c>
      <c r="R76" s="12">
        <v>350</v>
      </c>
      <c r="S76" s="12">
        <v>31.78</v>
      </c>
      <c r="T76" s="11">
        <v>615145012</v>
      </c>
      <c r="U76" s="35">
        <f t="shared" si="17"/>
        <v>8.2885037564508324E-2</v>
      </c>
      <c r="V76" s="35">
        <f t="shared" si="18"/>
        <v>1.1611545804466297</v>
      </c>
      <c r="W76" s="35">
        <f t="shared" si="19"/>
        <v>0.10328717698489373</v>
      </c>
      <c r="X76" s="19">
        <f t="shared" si="20"/>
        <v>1.8837235391198444</v>
      </c>
      <c r="Y76" s="20">
        <f t="shared" si="21"/>
        <v>1</v>
      </c>
      <c r="Z76" s="19">
        <f t="shared" si="22"/>
        <v>2.8384197304844087E-2</v>
      </c>
      <c r="AA76" s="19">
        <f t="shared" si="23"/>
        <v>23.922004611041238</v>
      </c>
      <c r="AB76" s="19">
        <f t="shared" si="24"/>
        <v>1.1420902344844812</v>
      </c>
      <c r="AC76" s="19">
        <f t="shared" si="25"/>
        <v>1.0231587650214538</v>
      </c>
      <c r="AD76" s="17">
        <f t="shared" si="26"/>
        <v>-0.51432008531682849</v>
      </c>
      <c r="AE76" s="17">
        <f t="shared" si="27"/>
        <v>8.1008969866734587E-2</v>
      </c>
      <c r="AF76" s="19">
        <f t="shared" si="28"/>
        <v>0.26736342681519809</v>
      </c>
      <c r="AG76" s="19">
        <f t="shared" si="29"/>
        <v>2.1553876060496475</v>
      </c>
      <c r="AH76" s="19">
        <f t="shared" si="30"/>
        <v>-7.2052223227448025</v>
      </c>
      <c r="AI76" s="19">
        <f t="shared" si="31"/>
        <v>11.013215859030836</v>
      </c>
      <c r="AJ76" s="19">
        <f t="shared" si="32"/>
        <v>-5.6300266214515373</v>
      </c>
    </row>
    <row r="77" spans="1:36" x14ac:dyDescent="0.35">
      <c r="A77" s="36">
        <v>16</v>
      </c>
      <c r="B77" s="1">
        <v>2019</v>
      </c>
      <c r="C77" s="36" t="s">
        <v>33</v>
      </c>
      <c r="D77" s="36" t="s">
        <v>34</v>
      </c>
      <c r="E77" s="10">
        <v>39507538392</v>
      </c>
      <c r="F77" s="10">
        <v>157166234017</v>
      </c>
      <c r="G77" s="10">
        <v>50346447863</v>
      </c>
      <c r="H77" s="10">
        <v>123087747765</v>
      </c>
      <c r="I77" s="10">
        <v>31755734984</v>
      </c>
      <c r="J77" s="10">
        <v>39918177843</v>
      </c>
      <c r="K77" s="10">
        <v>394765940589</v>
      </c>
      <c r="L77" s="10">
        <f>61164000504+3915548211+1000000000</f>
        <v>66079548715</v>
      </c>
      <c r="M77" s="10">
        <v>34078486252</v>
      </c>
      <c r="N77" s="10">
        <v>106819786154</v>
      </c>
      <c r="O77" s="10">
        <v>137426986717</v>
      </c>
      <c r="P77" s="10">
        <v>38246388572</v>
      </c>
      <c r="Q77" s="10">
        <v>2090392171</v>
      </c>
      <c r="R77" s="12">
        <v>830</v>
      </c>
      <c r="S77" s="12">
        <v>47.41</v>
      </c>
      <c r="T77" s="11">
        <v>833333300</v>
      </c>
      <c r="U77" s="35">
        <f t="shared" si="17"/>
        <v>0.25137421303692137</v>
      </c>
      <c r="V77" s="35">
        <f t="shared" si="18"/>
        <v>0.32033883217914505</v>
      </c>
      <c r="W77" s="35">
        <f t="shared" si="19"/>
        <v>3.8760793232157047</v>
      </c>
      <c r="X77" s="19">
        <f t="shared" si="20"/>
        <v>-3.6667519127831238</v>
      </c>
      <c r="Y77" s="20">
        <f t="shared" si="21"/>
        <v>0</v>
      </c>
      <c r="Z77" s="19">
        <f t="shared" si="22"/>
        <v>1.2570383857628429</v>
      </c>
      <c r="AA77" s="19">
        <f t="shared" si="23"/>
        <v>61.097052205134105</v>
      </c>
      <c r="AB77" s="19">
        <f t="shared" si="24"/>
        <v>11.584022179560042</v>
      </c>
      <c r="AC77" s="19">
        <f t="shared" si="25"/>
        <v>2.5117732384317351</v>
      </c>
      <c r="AD77" s="17">
        <f t="shared" si="26"/>
        <v>0.36985225129586718</v>
      </c>
      <c r="AE77" s="17">
        <f t="shared" si="27"/>
        <v>0.10007838653216594</v>
      </c>
      <c r="AF77" s="19">
        <f t="shared" si="28"/>
        <v>0.34812270408119739</v>
      </c>
      <c r="AG77" s="19">
        <f t="shared" si="29"/>
        <v>18.296274308042268</v>
      </c>
      <c r="AH77" s="19">
        <f t="shared" si="30"/>
        <v>0.47132136915549061</v>
      </c>
      <c r="AI77" s="19">
        <f t="shared" si="31"/>
        <v>17.506855093862054</v>
      </c>
      <c r="AJ77" s="19">
        <f t="shared" si="32"/>
        <v>6.4750797947005596</v>
      </c>
    </row>
    <row r="78" spans="1:36" x14ac:dyDescent="0.35">
      <c r="A78" s="36"/>
      <c r="B78" s="2">
        <v>2020</v>
      </c>
      <c r="C78" s="36"/>
      <c r="D78" s="36"/>
      <c r="E78" s="10">
        <v>31333543159</v>
      </c>
      <c r="F78" s="10">
        <v>210419761255</v>
      </c>
      <c r="G78" s="10">
        <v>72437684992</v>
      </c>
      <c r="H78" s="10">
        <v>167091764767</v>
      </c>
      <c r="I78" s="10">
        <v>58399139946</v>
      </c>
      <c r="J78" s="10">
        <v>67809276938</v>
      </c>
      <c r="K78" s="10">
        <v>451599889844</v>
      </c>
      <c r="L78" s="10">
        <f>72698554779+2636415077</f>
        <v>75334969856</v>
      </c>
      <c r="M78" s="10">
        <v>43327996488</v>
      </c>
      <c r="N78" s="10">
        <v>137982076263</v>
      </c>
      <c r="O78" s="10">
        <v>164862863522</v>
      </c>
      <c r="P78" s="10">
        <v>37716995375</v>
      </c>
      <c r="Q78" s="10">
        <v>2541893711</v>
      </c>
      <c r="R78" s="12">
        <v>2190</v>
      </c>
      <c r="S78" s="12">
        <v>37.6</v>
      </c>
      <c r="T78" s="11">
        <v>833333300</v>
      </c>
      <c r="U78" s="35">
        <f t="shared" si="17"/>
        <v>0.14890969827224557</v>
      </c>
      <c r="V78" s="35">
        <f t="shared" si="18"/>
        <v>0.3442532419957241</v>
      </c>
      <c r="W78" s="35">
        <f t="shared" si="19"/>
        <v>2.8612024923912394</v>
      </c>
      <c r="X78" s="19">
        <f t="shared" si="20"/>
        <v>-3.0644601169784917</v>
      </c>
      <c r="Y78" s="20">
        <f t="shared" si="21"/>
        <v>0</v>
      </c>
      <c r="Z78" s="19">
        <f t="shared" si="22"/>
        <v>1.1611348557650212</v>
      </c>
      <c r="AA78" s="19">
        <f t="shared" si="23"/>
        <v>60.88855337617246</v>
      </c>
      <c r="AB78" s="19">
        <f t="shared" si="24"/>
        <v>10.422819572769164</v>
      </c>
      <c r="AC78" s="19">
        <f t="shared" si="25"/>
        <v>2.1461857344126658</v>
      </c>
      <c r="AD78" s="17">
        <f t="shared" si="26"/>
        <v>0.22708415475120744</v>
      </c>
      <c r="AE78" s="17">
        <f t="shared" si="27"/>
        <v>6.938341630203633E-2</v>
      </c>
      <c r="AF78" s="19">
        <f t="shared" si="28"/>
        <v>0.36506400295834879</v>
      </c>
      <c r="AG78" s="19">
        <f t="shared" si="29"/>
        <v>14.838148114447261</v>
      </c>
      <c r="AH78" s="19">
        <f t="shared" si="30"/>
        <v>0.52497894620697361</v>
      </c>
      <c r="AI78" s="19">
        <f t="shared" si="31"/>
        <v>58.244680851063826</v>
      </c>
      <c r="AJ78" s="19">
        <f t="shared" si="32"/>
        <v>13.226355019629279</v>
      </c>
    </row>
    <row r="79" spans="1:36" x14ac:dyDescent="0.35">
      <c r="A79" s="36"/>
      <c r="B79" s="3">
        <v>2021</v>
      </c>
      <c r="C79" s="36"/>
      <c r="D79" s="36"/>
      <c r="E79" s="10">
        <v>44750176749</v>
      </c>
      <c r="F79" s="10">
        <v>250767550139</v>
      </c>
      <c r="G79" s="10">
        <v>82857759922</v>
      </c>
      <c r="H79" s="10">
        <v>189616124655</v>
      </c>
      <c r="I79" s="10">
        <v>61866044671</v>
      </c>
      <c r="J79" s="10">
        <v>63502482073</v>
      </c>
      <c r="K79" s="10">
        <v>589409749578</v>
      </c>
      <c r="L79" s="10">
        <f>101671050987+2398314863</f>
        <v>104069365850</v>
      </c>
      <c r="M79" s="10">
        <v>61151425484</v>
      </c>
      <c r="N79" s="10">
        <v>167909790217</v>
      </c>
      <c r="O79" s="10">
        <v>199533188728</v>
      </c>
      <c r="P79" s="10">
        <v>48972572115</v>
      </c>
      <c r="Q79" s="10">
        <v>2247623811</v>
      </c>
      <c r="R79" s="12">
        <v>1255</v>
      </c>
      <c r="S79" s="12">
        <v>53.7</v>
      </c>
      <c r="T79" s="11">
        <v>833333300</v>
      </c>
      <c r="U79" s="35">
        <f t="shared" si="17"/>
        <v>0.178452821045606</v>
      </c>
      <c r="V79" s="35">
        <f t="shared" si="18"/>
        <v>0.33041659447592836</v>
      </c>
      <c r="W79" s="35">
        <f t="shared" si="19"/>
        <v>3.0649466223898334</v>
      </c>
      <c r="X79" s="19">
        <f t="shared" si="20"/>
        <v>-3.2771815278395819</v>
      </c>
      <c r="Y79" s="20">
        <f t="shared" si="21"/>
        <v>0</v>
      </c>
      <c r="Z79" s="19">
        <f t="shared" si="22"/>
        <v>1.0264513015290129</v>
      </c>
      <c r="AA79" s="19">
        <f t="shared" si="23"/>
        <v>64.44636954588276</v>
      </c>
      <c r="AB79" s="19">
        <f t="shared" si="24"/>
        <v>9.6385283730175093</v>
      </c>
      <c r="AC79" s="19">
        <f t="shared" si="25"/>
        <v>2.3504227291421529</v>
      </c>
      <c r="AD79" s="17">
        <f t="shared" si="26"/>
        <v>0.26651320742624141</v>
      </c>
      <c r="AE79" s="17">
        <f t="shared" si="27"/>
        <v>7.5923713140204768E-2</v>
      </c>
      <c r="AF79" s="19">
        <f t="shared" si="28"/>
        <v>0.33853051950847418</v>
      </c>
      <c r="AG79" s="19">
        <f t="shared" si="29"/>
        <v>21.788598196604529</v>
      </c>
      <c r="AH79" s="19">
        <f t="shared" si="30"/>
        <v>0.49346592485713842</v>
      </c>
      <c r="AI79" s="19">
        <f t="shared" si="31"/>
        <v>23.370577281191807</v>
      </c>
      <c r="AJ79" s="19">
        <f t="shared" si="32"/>
        <v>6.2285426606060685</v>
      </c>
    </row>
    <row r="80" spans="1:36" x14ac:dyDescent="0.35">
      <c r="A80" s="36"/>
      <c r="B80" s="4">
        <v>2022</v>
      </c>
      <c r="C80" s="36"/>
      <c r="D80" s="36"/>
      <c r="E80" s="10">
        <v>831114112</v>
      </c>
      <c r="F80" s="10">
        <v>249813321200</v>
      </c>
      <c r="G80" s="10">
        <v>80477647736</v>
      </c>
      <c r="H80" s="10">
        <v>177602568021</v>
      </c>
      <c r="I80" s="10">
        <v>68300531642</v>
      </c>
      <c r="J80" s="10">
        <v>42528583084</v>
      </c>
      <c r="K80" s="10">
        <v>591902803145</v>
      </c>
      <c r="L80" s="10">
        <f>114359620800+1780617645</f>
        <v>116140238445</v>
      </c>
      <c r="M80" s="10">
        <v>72210753179</v>
      </c>
      <c r="N80" s="10">
        <v>169335673464</v>
      </c>
      <c r="O80" s="10">
        <v>172907174654</v>
      </c>
      <c r="P80" s="10">
        <v>1142313234</v>
      </c>
      <c r="Q80" s="10">
        <v>2220466832</v>
      </c>
      <c r="R80" s="12">
        <v>740</v>
      </c>
      <c r="S80" s="12">
        <v>1</v>
      </c>
      <c r="T80" s="11">
        <v>833333300</v>
      </c>
      <c r="U80" s="35">
        <f t="shared" si="17"/>
        <v>3.3269407252090127E-3</v>
      </c>
      <c r="V80" s="35">
        <f t="shared" si="18"/>
        <v>0.32215114610149143</v>
      </c>
      <c r="W80" s="35">
        <f t="shared" si="19"/>
        <v>2.6003101842883312</v>
      </c>
      <c r="X80" s="19">
        <f t="shared" si="20"/>
        <v>-2.5319193655196526</v>
      </c>
      <c r="Y80" s="20">
        <f t="shared" si="21"/>
        <v>0</v>
      </c>
      <c r="Z80" s="19">
        <f t="shared" si="22"/>
        <v>0.62266840479244423</v>
      </c>
      <c r="AA80" s="19">
        <f t="shared" si="23"/>
        <v>71.618493453967176</v>
      </c>
      <c r="AB80" s="19">
        <f t="shared" si="24"/>
        <v>8.1968789562097299</v>
      </c>
      <c r="AC80" s="19">
        <f t="shared" si="25"/>
        <v>2.3693804649877896</v>
      </c>
      <c r="AD80" s="17">
        <f t="shared" si="26"/>
        <v>4.9080863765938315E-3</v>
      </c>
      <c r="AE80" s="17">
        <f t="shared" si="27"/>
        <v>1.4041395100411441E-3</v>
      </c>
      <c r="AF80" s="19">
        <f t="shared" si="28"/>
        <v>0.29212089169924488</v>
      </c>
      <c r="AG80" s="19">
        <f t="shared" si="29"/>
        <v>0.51444733041614732</v>
      </c>
      <c r="AH80" s="19">
        <f t="shared" si="30"/>
        <v>0.47525513135960207</v>
      </c>
      <c r="AI80" s="19">
        <f t="shared" si="31"/>
        <v>740</v>
      </c>
      <c r="AJ80" s="19">
        <f t="shared" si="32"/>
        <v>3.641681810956984</v>
      </c>
    </row>
    <row r="81" spans="1:36" x14ac:dyDescent="0.35">
      <c r="A81" s="36"/>
      <c r="B81" s="5">
        <v>2023</v>
      </c>
      <c r="C81" s="36"/>
      <c r="D81" s="36"/>
      <c r="E81" s="10">
        <v>1155486369</v>
      </c>
      <c r="F81" s="10">
        <v>324161212877</v>
      </c>
      <c r="G81" s="10">
        <v>147095662770</v>
      </c>
      <c r="H81" s="10">
        <v>246969359016</v>
      </c>
      <c r="I81" s="10">
        <v>139351542783</v>
      </c>
      <c r="J81" s="10">
        <v>63252223246</v>
      </c>
      <c r="K81" s="10">
        <v>622181581070</v>
      </c>
      <c r="L81" s="10">
        <f>147180353399+2698332178</f>
        <v>149878685577</v>
      </c>
      <c r="M81" s="10">
        <v>77191853861</v>
      </c>
      <c r="N81" s="10">
        <v>177065550107</v>
      </c>
      <c r="O81" s="10">
        <v>151502799019</v>
      </c>
      <c r="P81" s="10">
        <v>3846463453</v>
      </c>
      <c r="Q81" s="10">
        <v>4060460816</v>
      </c>
      <c r="R81" s="12">
        <v>1190</v>
      </c>
      <c r="S81" s="12">
        <v>1.39</v>
      </c>
      <c r="T81" s="11">
        <v>833333300</v>
      </c>
      <c r="U81" s="35">
        <f t="shared" si="17"/>
        <v>3.5645423422031638E-3</v>
      </c>
      <c r="V81" s="35">
        <f t="shared" si="18"/>
        <v>0.45377317497209052</v>
      </c>
      <c r="W81" s="35">
        <f t="shared" si="19"/>
        <v>1.7722757429430389</v>
      </c>
      <c r="X81" s="19">
        <f t="shared" si="20"/>
        <v>-1.7821980218956326</v>
      </c>
      <c r="Y81" s="20">
        <f t="shared" si="21"/>
        <v>0</v>
      </c>
      <c r="Z81" s="19">
        <f t="shared" si="22"/>
        <v>0.45390400409486081</v>
      </c>
      <c r="AA81" s="19">
        <f t="shared" si="23"/>
        <v>87.925650485384907</v>
      </c>
      <c r="AB81" s="19">
        <f t="shared" si="24"/>
        <v>8.0601974165611754</v>
      </c>
      <c r="AC81" s="19">
        <f t="shared" si="25"/>
        <v>1.9193585054424174</v>
      </c>
      <c r="AD81" s="17">
        <f t="shared" si="26"/>
        <v>6.5257548309185171E-3</v>
      </c>
      <c r="AE81" s="17">
        <f t="shared" si="27"/>
        <v>1.8571529665228057E-3</v>
      </c>
      <c r="AF81" s="19">
        <f t="shared" si="28"/>
        <v>0.24350254592630705</v>
      </c>
      <c r="AG81" s="19">
        <f t="shared" si="29"/>
        <v>0.94729727173902123</v>
      </c>
      <c r="AH81" s="19">
        <f t="shared" si="30"/>
        <v>0.83074128581822204</v>
      </c>
      <c r="AI81" s="19">
        <f t="shared" si="31"/>
        <v>856.11510791366914</v>
      </c>
      <c r="AJ81" s="19">
        <f t="shared" si="32"/>
        <v>5.6005622008388416</v>
      </c>
    </row>
    <row r="82" spans="1:36" x14ac:dyDescent="0.35">
      <c r="A82" s="36">
        <v>17</v>
      </c>
      <c r="B82" s="1">
        <v>2019</v>
      </c>
      <c r="C82" s="36" t="s">
        <v>35</v>
      </c>
      <c r="D82" s="36" t="s">
        <v>36</v>
      </c>
      <c r="E82" s="10">
        <v>-36224089028</v>
      </c>
      <c r="F82" s="10">
        <v>217821047351</v>
      </c>
      <c r="G82" s="10">
        <v>166615624916</v>
      </c>
      <c r="H82" s="10">
        <v>64816994246</v>
      </c>
      <c r="I82" s="10">
        <v>111678713109</v>
      </c>
      <c r="J82" s="10">
        <v>11596014196</v>
      </c>
      <c r="K82" s="10">
        <v>106273588474</v>
      </c>
      <c r="L82" s="10">
        <f>30179939656+6228566094+250000000</f>
        <v>36658505750</v>
      </c>
      <c r="M82" s="10">
        <v>153004053105</v>
      </c>
      <c r="N82" s="10">
        <v>51205422435</v>
      </c>
      <c r="O82" s="10">
        <v>4686575457</v>
      </c>
      <c r="P82" s="10">
        <f>-37504702699+Q82</f>
        <v>-35189356612</v>
      </c>
      <c r="Q82" s="10">
        <v>2315346087</v>
      </c>
      <c r="R82" s="12">
        <v>50</v>
      </c>
      <c r="S82" s="12">
        <v>-31.97</v>
      </c>
      <c r="T82" s="11">
        <v>1135225000</v>
      </c>
      <c r="U82" s="35">
        <f t="shared" si="17"/>
        <v>-0.16630206065269706</v>
      </c>
      <c r="V82" s="35">
        <f t="shared" si="18"/>
        <v>0.76491976759028779</v>
      </c>
      <c r="W82" s="35">
        <f t="shared" si="19"/>
        <v>0.58038808329334612</v>
      </c>
      <c r="X82" s="19">
        <f t="shared" si="20"/>
        <v>0.7561790075376924</v>
      </c>
      <c r="Y82" s="20">
        <f t="shared" si="21"/>
        <v>1</v>
      </c>
      <c r="Z82" s="19">
        <f t="shared" si="22"/>
        <v>0.10383370181461642</v>
      </c>
      <c r="AA82" s="19">
        <f t="shared" si="23"/>
        <v>125.90479714556288</v>
      </c>
      <c r="AB82" s="19">
        <f t="shared" si="24"/>
        <v>0.69458021743429943</v>
      </c>
      <c r="AC82" s="19">
        <f t="shared" si="25"/>
        <v>0.48789402937150145</v>
      </c>
      <c r="AD82" s="17">
        <f t="shared" si="26"/>
        <v>-0.70742681742314972</v>
      </c>
      <c r="AE82" s="17">
        <f t="shared" si="27"/>
        <v>-0.34085692925352079</v>
      </c>
      <c r="AF82" s="19">
        <f t="shared" si="28"/>
        <v>4.4099155060963978E-2</v>
      </c>
      <c r="AG82" s="19">
        <f t="shared" si="29"/>
        <v>-15.198313897683841</v>
      </c>
      <c r="AH82" s="19">
        <f t="shared" si="30"/>
        <v>3.2538668170837051</v>
      </c>
      <c r="AI82" s="19">
        <f t="shared" si="31"/>
        <v>-1.5639662183296841</v>
      </c>
      <c r="AJ82" s="19">
        <f t="shared" si="32"/>
        <v>1.1085007661454713</v>
      </c>
    </row>
    <row r="83" spans="1:36" x14ac:dyDescent="0.35">
      <c r="A83" s="36"/>
      <c r="B83" s="2">
        <v>2020</v>
      </c>
      <c r="C83" s="36"/>
      <c r="D83" s="36"/>
      <c r="E83" s="10">
        <v>-43293065964</v>
      </c>
      <c r="F83" s="10">
        <v>177182837855</v>
      </c>
      <c r="G83" s="10">
        <v>169445987429</v>
      </c>
      <c r="H83" s="10">
        <v>42602225466</v>
      </c>
      <c r="I83" s="10">
        <v>141011386027</v>
      </c>
      <c r="J83" s="10">
        <v>3908706068</v>
      </c>
      <c r="K83" s="10">
        <v>89009501417</v>
      </c>
      <c r="L83" s="10">
        <f>15751853801+8999524136+250000000</f>
        <v>25001377937</v>
      </c>
      <c r="M83" s="10">
        <v>134580612389</v>
      </c>
      <c r="N83" s="10">
        <v>7736850426</v>
      </c>
      <c r="O83" s="10">
        <v>-6078931793</v>
      </c>
      <c r="P83" s="10">
        <f>-44240864352+Q83</f>
        <v>-43784437827</v>
      </c>
      <c r="Q83" s="10">
        <v>456426525</v>
      </c>
      <c r="R83" s="12">
        <v>50</v>
      </c>
      <c r="S83" s="12">
        <v>-37.380000000000003</v>
      </c>
      <c r="T83" s="11">
        <v>1135225000</v>
      </c>
      <c r="U83" s="35">
        <f t="shared" si="17"/>
        <v>-0.2443411929062197</v>
      </c>
      <c r="V83" s="35">
        <f t="shared" si="18"/>
        <v>0.9563340867565765</v>
      </c>
      <c r="W83" s="35">
        <f t="shared" si="19"/>
        <v>0.30211904631476205</v>
      </c>
      <c r="X83" s="19">
        <f t="shared" si="20"/>
        <v>2.1965246060911086</v>
      </c>
      <c r="Y83" s="20">
        <f t="shared" si="21"/>
        <v>1</v>
      </c>
      <c r="Z83" s="19">
        <f t="shared" si="22"/>
        <v>2.7719081260938635E-2</v>
      </c>
      <c r="AA83" s="19">
        <f t="shared" si="23"/>
        <v>102.52279590077687</v>
      </c>
      <c r="AB83" s="19">
        <f t="shared" si="24"/>
        <v>0.66138427992675142</v>
      </c>
      <c r="AC83" s="19">
        <f t="shared" si="25"/>
        <v>0.50235961052752831</v>
      </c>
      <c r="AD83" s="17">
        <f t="shared" si="26"/>
        <v>-5.5956963855100383</v>
      </c>
      <c r="AE83" s="17">
        <f t="shared" si="27"/>
        <v>-0.48638701795639339</v>
      </c>
      <c r="AF83" s="19">
        <f t="shared" si="28"/>
        <v>-6.8295313379195935E-2</v>
      </c>
      <c r="AG83" s="19">
        <f t="shared" si="29"/>
        <v>-95.928775890051526</v>
      </c>
      <c r="AH83" s="19">
        <f t="shared" si="30"/>
        <v>21.901158494620741</v>
      </c>
      <c r="AI83" s="19">
        <f t="shared" si="31"/>
        <v>-1.3376136971642589</v>
      </c>
      <c r="AJ83" s="19">
        <f t="shared" si="32"/>
        <v>7.336480205078221</v>
      </c>
    </row>
    <row r="84" spans="1:36" x14ac:dyDescent="0.35">
      <c r="A84" s="36"/>
      <c r="B84" s="3">
        <v>2021</v>
      </c>
      <c r="C84" s="36"/>
      <c r="D84" s="36"/>
      <c r="E84" s="10">
        <v>-9741992566</v>
      </c>
      <c r="F84" s="10">
        <v>169199466266</v>
      </c>
      <c r="G84" s="10">
        <v>171094237876</v>
      </c>
      <c r="H84" s="10">
        <v>45210701607</v>
      </c>
      <c r="I84" s="10">
        <v>156558710680</v>
      </c>
      <c r="J84" s="10">
        <v>2924551124</v>
      </c>
      <c r="K84" s="10">
        <v>82622335649</v>
      </c>
      <c r="L84" s="10">
        <f>19906450104+12078407764+250000000</f>
        <v>32234857868</v>
      </c>
      <c r="M84" s="10">
        <v>123988764659</v>
      </c>
      <c r="N84" s="10">
        <v>-1894771610</v>
      </c>
      <c r="O84" s="10">
        <v>20767128318</v>
      </c>
      <c r="P84" s="10">
        <f>-10532066920+Q84</f>
        <v>-10094431006</v>
      </c>
      <c r="Q84" s="10">
        <v>437635914</v>
      </c>
      <c r="R84" s="12">
        <v>68</v>
      </c>
      <c r="S84" s="12">
        <v>-8.31</v>
      </c>
      <c r="T84" s="11">
        <v>1135225000</v>
      </c>
      <c r="U84" s="35">
        <f t="shared" si="17"/>
        <v>-5.7576969839163238E-2</v>
      </c>
      <c r="V84" s="35">
        <f t="shared" si="18"/>
        <v>1.0111984490957036</v>
      </c>
      <c r="W84" s="35">
        <f t="shared" si="19"/>
        <v>0.28877793775019611</v>
      </c>
      <c r="X84" s="19">
        <f t="shared" si="20"/>
        <v>1.6652857455476435</v>
      </c>
      <c r="Y84" s="20">
        <f t="shared" si="21"/>
        <v>1</v>
      </c>
      <c r="Z84" s="19">
        <f t="shared" si="22"/>
        <v>1.8680219780154363E-2</v>
      </c>
      <c r="AA84" s="19">
        <f t="shared" si="23"/>
        <v>142.40366154502925</v>
      </c>
      <c r="AB84" s="19">
        <f t="shared" si="24"/>
        <v>0.66636953659657805</v>
      </c>
      <c r="AC84" s="19">
        <f t="shared" si="25"/>
        <v>0.48831321677521539</v>
      </c>
      <c r="AD84" s="17">
        <f t="shared" si="26"/>
        <v>5.1415128422786536</v>
      </c>
      <c r="AE84" s="17">
        <f t="shared" si="27"/>
        <v>-0.11790991490952737</v>
      </c>
      <c r="AF84" s="19">
        <f t="shared" si="28"/>
        <v>0.25135005147063222</v>
      </c>
      <c r="AG84" s="19">
        <f t="shared" si="29"/>
        <v>-23.065819515900152</v>
      </c>
      <c r="AH84" s="19">
        <f t="shared" si="30"/>
        <v>-90.298079712097859</v>
      </c>
      <c r="AI84" s="19">
        <f t="shared" si="31"/>
        <v>-8.1829121540312872</v>
      </c>
      <c r="AJ84" s="19">
        <f t="shared" si="32"/>
        <v>-40.741216298886812</v>
      </c>
    </row>
    <row r="85" spans="1:36" x14ac:dyDescent="0.35">
      <c r="A85" s="36"/>
      <c r="B85" s="4">
        <v>2022</v>
      </c>
      <c r="C85" s="36"/>
      <c r="D85" s="36"/>
      <c r="E85" s="10">
        <v>2849909490</v>
      </c>
      <c r="F85" s="10">
        <v>152312552325</v>
      </c>
      <c r="G85" s="10">
        <v>148741131854</v>
      </c>
      <c r="H85" s="10">
        <v>38060513446</v>
      </c>
      <c r="I85" s="10">
        <v>32038221267</v>
      </c>
      <c r="J85" s="10">
        <v>2179513570</v>
      </c>
      <c r="K85" s="10">
        <v>86372396655</v>
      </c>
      <c r="L85" s="10">
        <f>14046340003+11819222425+250000000</f>
        <v>26115562428</v>
      </c>
      <c r="M85" s="10">
        <v>114252038879</v>
      </c>
      <c r="N85" s="10">
        <v>3571420471</v>
      </c>
      <c r="O85" s="10">
        <v>25121225596</v>
      </c>
      <c r="P85" s="10">
        <f>3436147259+454110987</f>
        <v>3890258246</v>
      </c>
      <c r="Q85" s="10">
        <v>454110987</v>
      </c>
      <c r="R85" s="12">
        <v>70</v>
      </c>
      <c r="S85" s="12">
        <v>2.7</v>
      </c>
      <c r="T85" s="11">
        <v>1135225000</v>
      </c>
      <c r="U85" s="35">
        <f t="shared" si="17"/>
        <v>1.8710929903655922E-2</v>
      </c>
      <c r="V85" s="35">
        <f t="shared" si="18"/>
        <v>0.97655202794199514</v>
      </c>
      <c r="W85" s="35">
        <f t="shared" si="19"/>
        <v>1.1879721139576209</v>
      </c>
      <c r="X85" s="19">
        <f t="shared" si="20"/>
        <v>1.1206446515715607</v>
      </c>
      <c r="Y85" s="20">
        <f t="shared" si="21"/>
        <v>1</v>
      </c>
      <c r="Z85" s="19">
        <f t="shared" si="22"/>
        <v>6.8028544775828176E-2</v>
      </c>
      <c r="AA85" s="19">
        <f t="shared" si="23"/>
        <v>110.3614193350995</v>
      </c>
      <c r="AB85" s="19">
        <f t="shared" si="24"/>
        <v>0.75598122801531553</v>
      </c>
      <c r="AC85" s="19">
        <f t="shared" si="25"/>
        <v>0.56707339832833437</v>
      </c>
      <c r="AD85" s="17">
        <f t="shared" si="26"/>
        <v>0.79797646710638459</v>
      </c>
      <c r="AE85" s="17">
        <f t="shared" si="27"/>
        <v>3.2995605081835161E-2</v>
      </c>
      <c r="AF85" s="19">
        <f t="shared" si="28"/>
        <v>0.29084784686874565</v>
      </c>
      <c r="AG85" s="19">
        <f t="shared" si="29"/>
        <v>8.56675649206435</v>
      </c>
      <c r="AH85" s="19">
        <f t="shared" si="30"/>
        <v>41.647611380900322</v>
      </c>
      <c r="AI85" s="19">
        <f t="shared" si="31"/>
        <v>25.925925925925924</v>
      </c>
      <c r="AJ85" s="19">
        <f t="shared" si="32"/>
        <v>22.250460466714394</v>
      </c>
    </row>
    <row r="86" spans="1:36" x14ac:dyDescent="0.35">
      <c r="A86" s="36"/>
      <c r="B86" s="5">
        <v>2023</v>
      </c>
      <c r="C86" s="36"/>
      <c r="D86" s="36"/>
      <c r="E86" s="10">
        <v>31909343593</v>
      </c>
      <c r="F86" s="10">
        <v>148833938703</v>
      </c>
      <c r="G86" s="10">
        <v>112285716625</v>
      </c>
      <c r="H86" s="10">
        <v>38973220117</v>
      </c>
      <c r="I86" s="10">
        <v>92016159190</v>
      </c>
      <c r="J86" s="10">
        <v>2480738024</v>
      </c>
      <c r="K86" s="10">
        <v>91827508707</v>
      </c>
      <c r="L86" s="10">
        <f>18740202009+250000000+10565159395</f>
        <v>29555361404</v>
      </c>
      <c r="M86" s="10">
        <v>116143563879</v>
      </c>
      <c r="N86" s="10">
        <v>109860718586</v>
      </c>
      <c r="O86" s="10">
        <v>34372491595</v>
      </c>
      <c r="P86" s="10">
        <f>31623133213+Q86</f>
        <v>40034023181</v>
      </c>
      <c r="Q86" s="10">
        <v>8410889968</v>
      </c>
      <c r="R86" s="12">
        <v>50</v>
      </c>
      <c r="S86" s="12">
        <v>28.51</v>
      </c>
      <c r="T86" s="11">
        <v>1135225000</v>
      </c>
      <c r="U86" s="35">
        <f t="shared" si="17"/>
        <v>0.2143956134674061</v>
      </c>
      <c r="V86" s="35">
        <f t="shared" si="18"/>
        <v>0.75443623681200533</v>
      </c>
      <c r="W86" s="35">
        <f t="shared" si="19"/>
        <v>0.42354756447208325</v>
      </c>
      <c r="X86" s="19">
        <f t="shared" si="20"/>
        <v>-1.0208182049809136</v>
      </c>
      <c r="Y86" s="20">
        <f t="shared" si="21"/>
        <v>0</v>
      </c>
      <c r="Z86" s="19">
        <f t="shared" si="22"/>
        <v>2.6959808427535391E-2</v>
      </c>
      <c r="AA86" s="19">
        <f t="shared" si="23"/>
        <v>117.47794385755402</v>
      </c>
      <c r="AB86" s="19">
        <f t="shared" si="24"/>
        <v>0.79063794531625697</v>
      </c>
      <c r="AC86" s="19">
        <f t="shared" si="25"/>
        <v>0.61697963184487747</v>
      </c>
      <c r="AD86" s="17">
        <f t="shared" si="26"/>
        <v>0.29045271143043788</v>
      </c>
      <c r="AE86" s="17">
        <f t="shared" si="27"/>
        <v>0.3474922062278224</v>
      </c>
      <c r="AF86" s="19">
        <f t="shared" si="28"/>
        <v>0.37431584586133709</v>
      </c>
      <c r="AG86" s="19">
        <f t="shared" si="29"/>
        <v>4.7597844381882419</v>
      </c>
      <c r="AH86" s="19">
        <f t="shared" si="30"/>
        <v>1.0220733859218452</v>
      </c>
      <c r="AI86" s="19">
        <f t="shared" si="31"/>
        <v>1.7537706068046299</v>
      </c>
      <c r="AJ86" s="19">
        <f t="shared" si="32"/>
        <v>0.51666556281958742</v>
      </c>
    </row>
    <row r="87" spans="1:36" x14ac:dyDescent="0.35">
      <c r="A87" s="36">
        <v>18</v>
      </c>
      <c r="B87" s="1">
        <v>2019</v>
      </c>
      <c r="C87" s="36" t="s">
        <v>75</v>
      </c>
      <c r="D87" s="36" t="s">
        <v>37</v>
      </c>
      <c r="E87" s="10">
        <v>-60217878</v>
      </c>
      <c r="F87" s="10">
        <v>517225263</v>
      </c>
      <c r="G87" s="10">
        <v>270403389</v>
      </c>
      <c r="H87" s="10">
        <v>223248644</v>
      </c>
      <c r="I87" s="10">
        <v>176004127</v>
      </c>
      <c r="J87" s="10">
        <v>68955581</v>
      </c>
      <c r="K87" s="10">
        <v>438865360</v>
      </c>
      <c r="L87" s="10">
        <f>17548139+99956682+1847847+1894877</f>
        <v>121247545</v>
      </c>
      <c r="M87" s="10">
        <v>293976619</v>
      </c>
      <c r="N87" s="10">
        <v>246821874</v>
      </c>
      <c r="O87" s="10">
        <v>59602527</v>
      </c>
      <c r="P87" s="10">
        <f>-55055359+Q87</f>
        <v>-43613000</v>
      </c>
      <c r="Q87" s="10">
        <v>11442359</v>
      </c>
      <c r="R87" s="22">
        <f>50.8/'Kurs Dollar'!B1</f>
        <v>3.6592832703043398E-3</v>
      </c>
      <c r="S87" s="25">
        <v>-1.2E-2</v>
      </c>
      <c r="T87" s="11">
        <v>3275120000</v>
      </c>
      <c r="U87" s="35">
        <f t="shared" si="17"/>
        <v>-0.11642485838902265</v>
      </c>
      <c r="V87" s="35">
        <f t="shared" si="18"/>
        <v>0.52279617478777329</v>
      </c>
      <c r="W87" s="35">
        <f t="shared" si="19"/>
        <v>1.2684284613394321</v>
      </c>
      <c r="X87" s="19">
        <f t="shared" si="20"/>
        <v>-0.84668885131593397</v>
      </c>
      <c r="Y87" s="20">
        <f t="shared" si="21"/>
        <v>0</v>
      </c>
      <c r="Z87" s="19">
        <f t="shared" si="22"/>
        <v>0.39178388697669575</v>
      </c>
      <c r="AA87" s="19">
        <f t="shared" si="23"/>
        <v>100.84038969263831</v>
      </c>
      <c r="AB87" s="19">
        <f t="shared" si="24"/>
        <v>1.4928580425642626</v>
      </c>
      <c r="AC87" s="19">
        <f t="shared" si="25"/>
        <v>0.84849946704942758</v>
      </c>
      <c r="AD87" s="17">
        <f t="shared" si="26"/>
        <v>-0.24397301999254734</v>
      </c>
      <c r="AE87" s="17">
        <f t="shared" si="27"/>
        <v>-0.13721264763297791</v>
      </c>
      <c r="AF87" s="19">
        <f t="shared" si="28"/>
        <v>0.13581050689441518</v>
      </c>
      <c r="AG87" s="19">
        <f t="shared" si="29"/>
        <v>-3.8115392114510653</v>
      </c>
      <c r="AH87" s="19">
        <f t="shared" si="30"/>
        <v>1.0955406205205298</v>
      </c>
      <c r="AI87" s="19">
        <f t="shared" si="31"/>
        <v>-0.30494027252536166</v>
      </c>
      <c r="AJ87" s="19">
        <f t="shared" si="32"/>
        <v>4.8555630949626241E-2</v>
      </c>
    </row>
    <row r="88" spans="1:36" x14ac:dyDescent="0.35">
      <c r="A88" s="36"/>
      <c r="B88" s="2">
        <v>2020</v>
      </c>
      <c r="C88" s="36"/>
      <c r="D88" s="36"/>
      <c r="E88" s="10">
        <v>-2320880</v>
      </c>
      <c r="F88" s="10">
        <v>574144140</v>
      </c>
      <c r="G88" s="10">
        <v>332373687</v>
      </c>
      <c r="H88" s="10">
        <v>248654972</v>
      </c>
      <c r="I88" s="10">
        <v>192089546</v>
      </c>
      <c r="J88" s="10">
        <v>104192237</v>
      </c>
      <c r="K88" s="10">
        <v>490839680</v>
      </c>
      <c r="L88" s="10">
        <f>16734592+87183941+2536951+2290117</f>
        <v>108745601</v>
      </c>
      <c r="M88" s="10">
        <v>325489168</v>
      </c>
      <c r="N88" s="10">
        <v>241770453</v>
      </c>
      <c r="O88" s="10">
        <v>66220006</v>
      </c>
      <c r="P88" s="10">
        <f>340633+Q88</f>
        <v>10692286</v>
      </c>
      <c r="Q88" s="10">
        <v>10351653</v>
      </c>
      <c r="R88" s="22">
        <f>56.8/'Kurs Dollar'!B2</f>
        <v>4.0455840455840457E-3</v>
      </c>
      <c r="S88" s="25">
        <v>-1E-3</v>
      </c>
      <c r="T88" s="11">
        <v>3275120000</v>
      </c>
      <c r="U88" s="35">
        <f t="shared" si="17"/>
        <v>-4.0423298581432881E-3</v>
      </c>
      <c r="V88" s="35">
        <f t="shared" si="18"/>
        <v>0.57890286400902746</v>
      </c>
      <c r="W88" s="35">
        <f t="shared" si="19"/>
        <v>1.2944742552517667</v>
      </c>
      <c r="X88" s="19">
        <f t="shared" si="20"/>
        <v>-1.0353454976639398</v>
      </c>
      <c r="Y88" s="20">
        <f t="shared" si="21"/>
        <v>0</v>
      </c>
      <c r="Z88" s="19">
        <f t="shared" si="22"/>
        <v>0.54241492663010404</v>
      </c>
      <c r="AA88" s="19">
        <f t="shared" si="23"/>
        <v>80.865801976319432</v>
      </c>
      <c r="AB88" s="19">
        <f t="shared" si="24"/>
        <v>1.5080061896253334</v>
      </c>
      <c r="AC88" s="19">
        <f t="shared" si="25"/>
        <v>0.85490671384367001</v>
      </c>
      <c r="AD88" s="17">
        <f t="shared" si="26"/>
        <v>-9.5995187633618733E-3</v>
      </c>
      <c r="AE88" s="17">
        <f t="shared" si="27"/>
        <v>-4.7283870774261771E-3</v>
      </c>
      <c r="AF88" s="19">
        <f t="shared" si="28"/>
        <v>0.13491168032706727</v>
      </c>
      <c r="AG88" s="19">
        <f t="shared" si="29"/>
        <v>1.0329061455209134</v>
      </c>
      <c r="AH88" s="19">
        <f t="shared" si="30"/>
        <v>1.374748993831765</v>
      </c>
      <c r="AI88" s="19">
        <f t="shared" si="31"/>
        <v>-4.0455840455840457</v>
      </c>
      <c r="AJ88" s="19">
        <f t="shared" si="32"/>
        <v>5.4803112022018749E-2</v>
      </c>
    </row>
    <row r="89" spans="1:36" x14ac:dyDescent="0.35">
      <c r="A89" s="36"/>
      <c r="B89" s="3">
        <v>2021</v>
      </c>
      <c r="C89" s="36"/>
      <c r="D89" s="36"/>
      <c r="E89" s="10">
        <v>139077164</v>
      </c>
      <c r="F89" s="10">
        <v>829181216</v>
      </c>
      <c r="G89" s="10">
        <v>447391043</v>
      </c>
      <c r="H89" s="10">
        <v>429449055</v>
      </c>
      <c r="I89" s="10">
        <v>296637740</v>
      </c>
      <c r="J89" s="10">
        <v>234790065</v>
      </c>
      <c r="K89" s="10">
        <v>672918136</v>
      </c>
      <c r="L89" s="10">
        <f>13296739+146730532+3578848+2624480</f>
        <v>166230599</v>
      </c>
      <c r="M89" s="10">
        <v>399732161</v>
      </c>
      <c r="N89" s="10">
        <v>381790173</v>
      </c>
      <c r="O89" s="10">
        <v>189832769</v>
      </c>
      <c r="P89" s="10">
        <f>142386132+Q89</f>
        <v>152732753</v>
      </c>
      <c r="Q89" s="10">
        <v>10346621</v>
      </c>
      <c r="R89" s="22">
        <f>199/'Kurs Dollar'!B3</f>
        <v>1.3964912280701755E-2</v>
      </c>
      <c r="S89" s="25">
        <v>2.8000000000000001E-2</v>
      </c>
      <c r="T89" s="11">
        <v>3275120000</v>
      </c>
      <c r="U89" s="35">
        <f t="shared" si="17"/>
        <v>0.16772830994762911</v>
      </c>
      <c r="V89" s="35">
        <f t="shared" si="18"/>
        <v>0.53955761945287484</v>
      </c>
      <c r="W89" s="35">
        <f t="shared" si="19"/>
        <v>1.4477222453218528</v>
      </c>
      <c r="X89" s="19">
        <f t="shared" si="20"/>
        <v>-2.0346010309020612</v>
      </c>
      <c r="Y89" s="20">
        <f t="shared" si="21"/>
        <v>0</v>
      </c>
      <c r="Z89" s="19">
        <f t="shared" si="22"/>
        <v>0.7915043615151599</v>
      </c>
      <c r="AA89" s="19">
        <f t="shared" si="23"/>
        <v>90.165750317955471</v>
      </c>
      <c r="AB89" s="19">
        <f t="shared" si="24"/>
        <v>1.6834225555346296</v>
      </c>
      <c r="AC89" s="19">
        <f t="shared" si="25"/>
        <v>0.81154532087229525</v>
      </c>
      <c r="AD89" s="17">
        <f t="shared" si="26"/>
        <v>0.36427643725654513</v>
      </c>
      <c r="AE89" s="17">
        <f t="shared" si="27"/>
        <v>0.20667768716520371</v>
      </c>
      <c r="AF89" s="19">
        <f t="shared" si="28"/>
        <v>0.28210380853816075</v>
      </c>
      <c r="AG89" s="19">
        <f t="shared" si="29"/>
        <v>14.76160700193812</v>
      </c>
      <c r="AH89" s="19">
        <f t="shared" si="30"/>
        <v>1.171824406805777</v>
      </c>
      <c r="AI89" s="19">
        <f t="shared" si="31"/>
        <v>0.49874686716791983</v>
      </c>
      <c r="AJ89" s="19">
        <f t="shared" si="32"/>
        <v>0.11979554934425179</v>
      </c>
    </row>
    <row r="90" spans="1:36" x14ac:dyDescent="0.35">
      <c r="A90" s="36"/>
      <c r="B90" s="4">
        <v>2022</v>
      </c>
      <c r="C90" s="36"/>
      <c r="D90" s="36"/>
      <c r="E90" s="10">
        <v>326997591</v>
      </c>
      <c r="F90" s="10">
        <v>1153416013</v>
      </c>
      <c r="G90" s="10">
        <v>506933368</v>
      </c>
      <c r="H90" s="10">
        <v>652053930</v>
      </c>
      <c r="I90" s="10">
        <v>318955610</v>
      </c>
      <c r="J90" s="10">
        <v>416995130</v>
      </c>
      <c r="K90" s="10">
        <v>1150960031</v>
      </c>
      <c r="L90" s="10">
        <f>8469168+181078770+2808464+2101925</f>
        <v>194458327</v>
      </c>
      <c r="M90" s="10">
        <v>501362083</v>
      </c>
      <c r="N90" s="10">
        <v>646482645</v>
      </c>
      <c r="O90" s="10">
        <v>394102632</v>
      </c>
      <c r="P90" s="10">
        <f>332452384+Q90</f>
        <v>345746408</v>
      </c>
      <c r="Q90" s="10">
        <v>13294024</v>
      </c>
      <c r="R90" s="22">
        <f>386/'Kurs Dollar'!B4</f>
        <v>2.4799229039511726E-2</v>
      </c>
      <c r="S90" s="25">
        <v>6.5000000000000002E-2</v>
      </c>
      <c r="T90" s="11">
        <v>3275120000</v>
      </c>
      <c r="U90" s="35">
        <f t="shared" si="17"/>
        <v>0.28350359914762169</v>
      </c>
      <c r="V90" s="35">
        <f t="shared" si="18"/>
        <v>0.43950609518718375</v>
      </c>
      <c r="W90" s="35">
        <f t="shared" si="19"/>
        <v>2.0443406842726484</v>
      </c>
      <c r="X90" s="19">
        <f t="shared" si="20"/>
        <v>-3.1276739911222911</v>
      </c>
      <c r="Y90" s="20">
        <f t="shared" si="21"/>
        <v>0</v>
      </c>
      <c r="Z90" s="19">
        <f t="shared" si="22"/>
        <v>1.307376691069958</v>
      </c>
      <c r="AA90" s="19">
        <f t="shared" si="23"/>
        <v>61.667901094125831</v>
      </c>
      <c r="AB90" s="19">
        <f t="shared" si="24"/>
        <v>2.2956662859564512</v>
      </c>
      <c r="AC90" s="19">
        <f t="shared" si="25"/>
        <v>0.9978706884833235</v>
      </c>
      <c r="AD90" s="17">
        <f t="shared" si="26"/>
        <v>0.50581031606811344</v>
      </c>
      <c r="AE90" s="17">
        <f t="shared" si="27"/>
        <v>0.28410855476526969</v>
      </c>
      <c r="AF90" s="19">
        <f t="shared" si="28"/>
        <v>0.34241209197993427</v>
      </c>
      <c r="AG90" s="19">
        <f t="shared" si="29"/>
        <v>26.007656372517456</v>
      </c>
      <c r="AH90" s="19">
        <f t="shared" si="30"/>
        <v>0.78414072198334106</v>
      </c>
      <c r="AI90" s="19">
        <f t="shared" si="31"/>
        <v>0.38152660060787269</v>
      </c>
      <c r="AJ90" s="19">
        <f t="shared" si="32"/>
        <v>0.12563438731117932</v>
      </c>
    </row>
    <row r="91" spans="1:36" x14ac:dyDescent="0.35">
      <c r="A91" s="36"/>
      <c r="B91" s="5">
        <v>2023</v>
      </c>
      <c r="C91" s="36"/>
      <c r="D91" s="36"/>
      <c r="E91" s="10">
        <v>109996540</v>
      </c>
      <c r="F91" s="10">
        <v>1256963375</v>
      </c>
      <c r="G91" s="10">
        <v>571449588</v>
      </c>
      <c r="H91" s="10">
        <v>589655846</v>
      </c>
      <c r="I91" s="10">
        <v>245618976</v>
      </c>
      <c r="J91" s="10">
        <v>387822048</v>
      </c>
      <c r="K91" s="10">
        <v>772404229</v>
      </c>
      <c r="L91" s="10">
        <f>11791413+111756766+2877422+3352305</f>
        <v>129777906</v>
      </c>
      <c r="M91" s="10">
        <v>667307529</v>
      </c>
      <c r="N91" s="10">
        <v>685513787</v>
      </c>
      <c r="O91" s="10">
        <v>153765562</v>
      </c>
      <c r="P91" s="10">
        <f>118551482+Q91</f>
        <v>140954034</v>
      </c>
      <c r="Q91" s="10">
        <v>22402552</v>
      </c>
      <c r="R91" s="22">
        <f>320/'Kurs Dollar'!B5</f>
        <v>2.0785969470607339E-2</v>
      </c>
      <c r="S91" s="25">
        <v>5.0000000000000001E-3</v>
      </c>
      <c r="T91" s="11">
        <v>16375600000</v>
      </c>
      <c r="U91" s="35">
        <f t="shared" si="17"/>
        <v>8.7509741483119977E-2</v>
      </c>
      <c r="V91" s="35">
        <f t="shared" si="18"/>
        <v>0.45462707932918095</v>
      </c>
      <c r="W91" s="35">
        <f t="shared" si="19"/>
        <v>2.4006933649947308</v>
      </c>
      <c r="X91" s="19">
        <f t="shared" si="20"/>
        <v>-2.1587070532628809</v>
      </c>
      <c r="Y91" s="20">
        <f t="shared" si="21"/>
        <v>0</v>
      </c>
      <c r="Z91" s="19">
        <f t="shared" si="22"/>
        <v>1.5789580036356801</v>
      </c>
      <c r="AA91" s="19">
        <f t="shared" si="23"/>
        <v>61.326613593670523</v>
      </c>
      <c r="AB91" s="19">
        <f t="shared" si="24"/>
        <v>1.15749365237568</v>
      </c>
      <c r="AC91" s="19">
        <f t="shared" si="25"/>
        <v>0.61450018700823328</v>
      </c>
      <c r="AD91" s="17">
        <f t="shared" si="26"/>
        <v>0.16045853794039011</v>
      </c>
      <c r="AE91" s="17">
        <f t="shared" si="27"/>
        <v>0.14240799813124794</v>
      </c>
      <c r="AF91" s="19">
        <f t="shared" si="28"/>
        <v>0.19907395147107618</v>
      </c>
      <c r="AG91" s="19">
        <f t="shared" si="29"/>
        <v>6.2918739793573515</v>
      </c>
      <c r="AH91" s="19">
        <f t="shared" si="30"/>
        <v>0.83360772436222352</v>
      </c>
      <c r="AI91" s="19">
        <f t="shared" si="31"/>
        <v>4.1571938941214679</v>
      </c>
      <c r="AJ91" s="19">
        <f t="shared" si="32"/>
        <v>0.4965366534092443</v>
      </c>
    </row>
    <row r="92" spans="1:36" x14ac:dyDescent="0.35">
      <c r="A92" s="36">
        <v>19</v>
      </c>
      <c r="B92" s="1">
        <v>2019</v>
      </c>
      <c r="C92" s="36" t="s">
        <v>45</v>
      </c>
      <c r="D92" s="36" t="s">
        <v>38</v>
      </c>
      <c r="E92" s="10">
        <v>-276072942000</v>
      </c>
      <c r="F92" s="10">
        <v>479265331000</v>
      </c>
      <c r="G92" s="10">
        <v>933327880000</v>
      </c>
      <c r="H92" s="10">
        <v>209703468000</v>
      </c>
      <c r="I92" s="10">
        <v>720977430000</v>
      </c>
      <c r="J92" s="10">
        <v>19638671000</v>
      </c>
      <c r="K92" s="10">
        <v>134251103000</v>
      </c>
      <c r="L92" s="10">
        <f>92207091000+963805000+57224780000</f>
        <v>150395676000</v>
      </c>
      <c r="M92" s="10">
        <v>269561863000</v>
      </c>
      <c r="N92" s="10">
        <v>-454062549000</v>
      </c>
      <c r="O92" s="10">
        <v>-159665560000</v>
      </c>
      <c r="P92" s="10">
        <v>-262972709000</v>
      </c>
      <c r="Q92" s="10">
        <v>7038607000</v>
      </c>
      <c r="R92" s="12">
        <v>50</v>
      </c>
      <c r="S92" s="12">
        <v>-60.11</v>
      </c>
      <c r="T92" s="11">
        <v>6145600000</v>
      </c>
      <c r="U92" s="35">
        <f t="shared" si="17"/>
        <v>-0.57603361675247067</v>
      </c>
      <c r="V92" s="35">
        <f t="shared" si="18"/>
        <v>1.947413717684495</v>
      </c>
      <c r="W92" s="35">
        <f t="shared" si="19"/>
        <v>0.29085996214888449</v>
      </c>
      <c r="X92" s="19">
        <f t="shared" si="20"/>
        <v>9.3218387752855509</v>
      </c>
      <c r="Y92" s="20">
        <f t="shared" si="21"/>
        <v>1</v>
      </c>
      <c r="Z92" s="19">
        <f t="shared" si="22"/>
        <v>2.7238953929528697E-2</v>
      </c>
      <c r="AA92" s="19">
        <f t="shared" si="23"/>
        <v>408.89363672490646</v>
      </c>
      <c r="AB92" s="19">
        <f t="shared" si="24"/>
        <v>0.49803448271909295</v>
      </c>
      <c r="AC92" s="19">
        <f t="shared" si="25"/>
        <v>0.28011853626024119</v>
      </c>
      <c r="AD92" s="17">
        <f t="shared" si="26"/>
        <v>0.60800641367143449</v>
      </c>
      <c r="AE92" s="17">
        <f t="shared" si="27"/>
        <v>-2.0563923560464157</v>
      </c>
      <c r="AF92" s="19">
        <f t="shared" si="28"/>
        <v>-1.1893053869360015</v>
      </c>
      <c r="AG92" s="19">
        <f t="shared" si="29"/>
        <v>-37.361470671682625</v>
      </c>
      <c r="AH92" s="19">
        <f t="shared" si="30"/>
        <v>-2.0555050885731605</v>
      </c>
      <c r="AI92" s="19">
        <f t="shared" si="31"/>
        <v>-0.83180835135584763</v>
      </c>
      <c r="AJ92" s="19">
        <f t="shared" si="32"/>
        <v>-0.67673495794078364</v>
      </c>
    </row>
    <row r="93" spans="1:36" x14ac:dyDescent="0.35">
      <c r="A93" s="36"/>
      <c r="B93" s="2">
        <v>2020</v>
      </c>
      <c r="C93" s="36"/>
      <c r="D93" s="36"/>
      <c r="E93" s="10">
        <v>-53211960000</v>
      </c>
      <c r="F93" s="10">
        <v>243302339000</v>
      </c>
      <c r="G93" s="10">
        <v>763628958000</v>
      </c>
      <c r="H93" s="10">
        <v>160199112000</v>
      </c>
      <c r="I93" s="10">
        <v>582958840000</v>
      </c>
      <c r="J93" s="10">
        <v>22468839000</v>
      </c>
      <c r="K93" s="10">
        <v>21541634000</v>
      </c>
      <c r="L93" s="10">
        <f>23933258000+557460000+51051525000</f>
        <v>75542243000</v>
      </c>
      <c r="M93" s="10">
        <v>83103227000</v>
      </c>
      <c r="N93" s="10">
        <v>-520326619000</v>
      </c>
      <c r="O93" s="10">
        <v>-73893450000</v>
      </c>
      <c r="P93" s="10">
        <v>-92163945000</v>
      </c>
      <c r="Q93" s="10">
        <v>7061921000</v>
      </c>
      <c r="R93" s="12">
        <v>50</v>
      </c>
      <c r="S93" s="12">
        <v>-8.64</v>
      </c>
      <c r="T93" s="11">
        <v>6145600000</v>
      </c>
      <c r="U93" s="35">
        <f t="shared" si="17"/>
        <v>-0.21870714526916241</v>
      </c>
      <c r="V93" s="35">
        <f t="shared" si="18"/>
        <v>3.1386009733346625</v>
      </c>
      <c r="W93" s="35">
        <f t="shared" si="19"/>
        <v>0.27480346982987686</v>
      </c>
      <c r="X93" s="19">
        <f t="shared" si="20"/>
        <v>14.474041060287959</v>
      </c>
      <c r="Y93" s="20">
        <f t="shared" si="21"/>
        <v>1</v>
      </c>
      <c r="Z93" s="19">
        <f t="shared" si="22"/>
        <v>3.8542753721686425E-2</v>
      </c>
      <c r="AA93" s="19">
        <f t="shared" si="23"/>
        <v>1279.9826928170817</v>
      </c>
      <c r="AB93" s="19">
        <f t="shared" si="24"/>
        <v>0.25921537318881732</v>
      </c>
      <c r="AC93" s="19">
        <f t="shared" si="25"/>
        <v>8.853854051933302E-2</v>
      </c>
      <c r="AD93" s="17">
        <f t="shared" si="26"/>
        <v>0.10226645736915489</v>
      </c>
      <c r="AE93" s="17">
        <f t="shared" si="27"/>
        <v>-2.4701914441587856</v>
      </c>
      <c r="AF93" s="19">
        <f t="shared" si="28"/>
        <v>-3.4302620683277785</v>
      </c>
      <c r="AG93" s="19">
        <f t="shared" si="29"/>
        <v>-13.05083206113464</v>
      </c>
      <c r="AH93" s="19">
        <f t="shared" si="30"/>
        <v>-1.4675954104896562</v>
      </c>
      <c r="AI93" s="19">
        <f t="shared" si="31"/>
        <v>-5.7870370370370363</v>
      </c>
      <c r="AJ93" s="19">
        <f t="shared" si="32"/>
        <v>-0.59055214317221016</v>
      </c>
    </row>
    <row r="94" spans="1:36" x14ac:dyDescent="0.35">
      <c r="A94" s="36"/>
      <c r="B94" s="3">
        <v>2021</v>
      </c>
      <c r="C94" s="36"/>
      <c r="D94" s="36"/>
      <c r="E94" s="10">
        <v>188614656000</v>
      </c>
      <c r="F94" s="10">
        <v>91040495000</v>
      </c>
      <c r="G94" s="10">
        <v>14972234000</v>
      </c>
      <c r="H94" s="10">
        <v>81644827000</v>
      </c>
      <c r="I94" s="10">
        <v>11342151000</v>
      </c>
      <c r="J94" s="10">
        <v>16014447000</v>
      </c>
      <c r="K94" s="10">
        <v>7263061000</v>
      </c>
      <c r="L94" s="10">
        <f>18447199000+3200000+44629007000</f>
        <v>63079406000</v>
      </c>
      <c r="M94" s="10">
        <v>9395668000</v>
      </c>
      <c r="N94" s="10">
        <v>76068261000</v>
      </c>
      <c r="O94" s="10">
        <v>-15206460000</v>
      </c>
      <c r="P94" s="10">
        <v>-25069303000</v>
      </c>
      <c r="Q94" s="10">
        <v>18642000</v>
      </c>
      <c r="R94" s="12">
        <v>50</v>
      </c>
      <c r="S94" s="12">
        <v>18.45</v>
      </c>
      <c r="T94" s="11">
        <v>10223647156</v>
      </c>
      <c r="U94" s="35">
        <f t="shared" si="17"/>
        <v>2.0717665913393812</v>
      </c>
      <c r="V94" s="35">
        <f t="shared" si="18"/>
        <v>0.16445686065305334</v>
      </c>
      <c r="W94" s="35">
        <f t="shared" si="19"/>
        <v>7.1983547917850856</v>
      </c>
      <c r="X94" s="19">
        <f t="shared" si="20"/>
        <v>-12.780725534233078</v>
      </c>
      <c r="Y94" s="20">
        <f t="shared" si="21"/>
        <v>0</v>
      </c>
      <c r="Z94" s="19">
        <f t="shared" si="22"/>
        <v>1.4119409096211115</v>
      </c>
      <c r="AA94" s="19">
        <f t="shared" si="23"/>
        <v>3170.0109898567557</v>
      </c>
      <c r="AB94" s="19">
        <f t="shared" si="24"/>
        <v>0.77302231198462956</v>
      </c>
      <c r="AC94" s="19">
        <f t="shared" si="25"/>
        <v>7.9778355774537471E-2</v>
      </c>
      <c r="AD94" s="17">
        <f t="shared" si="26"/>
        <v>2.4795447341697479</v>
      </c>
      <c r="AE94" s="17">
        <f t="shared" si="27"/>
        <v>25.969030963666697</v>
      </c>
      <c r="AF94" s="19">
        <f t="shared" si="28"/>
        <v>-2.0936709742627797</v>
      </c>
      <c r="AG94" s="19">
        <f t="shared" si="29"/>
        <v>-1344.7753996352324</v>
      </c>
      <c r="AH94" s="19">
        <f t="shared" si="30"/>
        <v>0.19682629526656328</v>
      </c>
      <c r="AI94" s="19">
        <f t="shared" si="31"/>
        <v>2.7100271002710028</v>
      </c>
      <c r="AJ94" s="19">
        <f t="shared" si="32"/>
        <v>6.7200479027645974</v>
      </c>
    </row>
    <row r="95" spans="1:36" x14ac:dyDescent="0.35">
      <c r="A95" s="36"/>
      <c r="B95" s="4">
        <v>2022</v>
      </c>
      <c r="C95" s="36"/>
      <c r="D95" s="36"/>
      <c r="E95" s="10">
        <v>-14903708000</v>
      </c>
      <c r="F95" s="10">
        <v>73091558000</v>
      </c>
      <c r="G95" s="10">
        <v>11664497000</v>
      </c>
      <c r="H95" s="10">
        <v>67573227000</v>
      </c>
      <c r="I95" s="10">
        <v>8793676000</v>
      </c>
      <c r="J95" s="10">
        <v>9588071000</v>
      </c>
      <c r="K95" s="10">
        <v>2948504000</v>
      </c>
      <c r="L95" s="10">
        <f>10858391000+44609007000</f>
        <v>55467398000</v>
      </c>
      <c r="M95" s="10">
        <v>5518331000</v>
      </c>
      <c r="N95" s="10">
        <v>61427061000</v>
      </c>
      <c r="O95" s="10">
        <v>-5690489000</v>
      </c>
      <c r="P95" s="10">
        <v>-14516990000</v>
      </c>
      <c r="Q95" s="10">
        <v>23733000</v>
      </c>
      <c r="R95" s="12">
        <v>50</v>
      </c>
      <c r="S95" s="12">
        <v>-1.46</v>
      </c>
      <c r="T95" s="11">
        <v>10223647156</v>
      </c>
      <c r="U95" s="35">
        <f t="shared" si="17"/>
        <v>-0.20390464244858483</v>
      </c>
      <c r="V95" s="35">
        <f t="shared" si="18"/>
        <v>0.15958747246843472</v>
      </c>
      <c r="W95" s="35">
        <f t="shared" si="19"/>
        <v>7.6842980114345814</v>
      </c>
      <c r="X95" s="19">
        <f t="shared" si="20"/>
        <v>-2.5402182845270347</v>
      </c>
      <c r="Y95" s="20">
        <f t="shared" si="21"/>
        <v>0</v>
      </c>
      <c r="Z95" s="19">
        <f t="shared" si="22"/>
        <v>1.0903370786005762</v>
      </c>
      <c r="AA95" s="19">
        <f t="shared" si="23"/>
        <v>6866.3974239139579</v>
      </c>
      <c r="AB95" s="19">
        <f t="shared" si="24"/>
        <v>0.53431082695111987</v>
      </c>
      <c r="AC95" s="19">
        <f t="shared" si="25"/>
        <v>4.0339870713933884E-2</v>
      </c>
      <c r="AD95" s="17">
        <f t="shared" si="26"/>
        <v>-0.24262446806628107</v>
      </c>
      <c r="AE95" s="17">
        <f t="shared" si="27"/>
        <v>-5.0546677230215726</v>
      </c>
      <c r="AF95" s="19">
        <f t="shared" si="28"/>
        <v>-1.929958039738118</v>
      </c>
      <c r="AG95" s="19">
        <f t="shared" si="29"/>
        <v>-611.67951797075807</v>
      </c>
      <c r="AH95" s="19">
        <f t="shared" si="30"/>
        <v>0.18989182959607981</v>
      </c>
      <c r="AI95" s="19">
        <f t="shared" si="31"/>
        <v>-34.246575342465754</v>
      </c>
      <c r="AJ95" s="19">
        <f t="shared" si="32"/>
        <v>8.3217778854827529</v>
      </c>
    </row>
    <row r="96" spans="1:36" x14ac:dyDescent="0.35">
      <c r="A96" s="36"/>
      <c r="B96" s="5">
        <v>2023</v>
      </c>
      <c r="C96" s="36"/>
      <c r="D96" s="36"/>
      <c r="E96" s="10">
        <v>-4049534000</v>
      </c>
      <c r="F96" s="10">
        <v>68834522000</v>
      </c>
      <c r="G96" s="10">
        <v>11543042000</v>
      </c>
      <c r="H96" s="10">
        <v>64587275000</v>
      </c>
      <c r="I96" s="10">
        <v>8534171000</v>
      </c>
      <c r="J96" s="10">
        <v>6808236000</v>
      </c>
      <c r="K96" s="10">
        <v>4850703000</v>
      </c>
      <c r="L96" s="10">
        <f>10896816000+44604007000</f>
        <v>55500823000</v>
      </c>
      <c r="M96" s="10">
        <v>4247247000</v>
      </c>
      <c r="N96" s="10">
        <v>57291480000</v>
      </c>
      <c r="O96" s="10">
        <v>-3058426000</v>
      </c>
      <c r="P96" s="10">
        <v>-4260122000</v>
      </c>
      <c r="Q96" s="10">
        <v>11221000</v>
      </c>
      <c r="R96" s="12">
        <v>50</v>
      </c>
      <c r="S96" s="12">
        <v>-0.4</v>
      </c>
      <c r="T96" s="11">
        <v>10223647156</v>
      </c>
      <c r="U96" s="35">
        <f t="shared" si="17"/>
        <v>-5.8829986500087847E-2</v>
      </c>
      <c r="V96" s="35">
        <f t="shared" si="18"/>
        <v>0.16769262957909406</v>
      </c>
      <c r="W96" s="35">
        <f t="shared" si="19"/>
        <v>7.5680783757438181</v>
      </c>
      <c r="X96" s="19">
        <f t="shared" si="20"/>
        <v>-3.1484461410484035</v>
      </c>
      <c r="Y96" s="20">
        <f t="shared" si="21"/>
        <v>0</v>
      </c>
      <c r="Z96" s="19">
        <f t="shared" si="22"/>
        <v>0.79776184470641609</v>
      </c>
      <c r="AA96" s="19">
        <f t="shared" si="23"/>
        <v>4176.2607182917609</v>
      </c>
      <c r="AB96" s="19">
        <f t="shared" si="24"/>
        <v>1.142081682558137</v>
      </c>
      <c r="AC96" s="19">
        <f t="shared" si="25"/>
        <v>7.0469044587830501E-2</v>
      </c>
      <c r="AD96" s="17">
        <f t="shared" si="26"/>
        <v>-7.0683005570810878E-2</v>
      </c>
      <c r="AE96" s="17">
        <f t="shared" si="27"/>
        <v>-0.83483445595411632</v>
      </c>
      <c r="AF96" s="19">
        <f t="shared" si="28"/>
        <v>-0.63051190724313566</v>
      </c>
      <c r="AG96" s="19">
        <f t="shared" si="29"/>
        <v>-379.65618037608056</v>
      </c>
      <c r="AH96" s="19">
        <f t="shared" si="30"/>
        <v>0.20147920772861863</v>
      </c>
      <c r="AI96" s="19">
        <f t="shared" si="31"/>
        <v>-125</v>
      </c>
      <c r="AJ96" s="19">
        <f t="shared" si="32"/>
        <v>8.9224847708594712</v>
      </c>
    </row>
    <row r="97" spans="1:36" x14ac:dyDescent="0.35">
      <c r="A97" s="36">
        <v>20</v>
      </c>
      <c r="B97" s="1">
        <v>2019</v>
      </c>
      <c r="C97" s="36" t="s">
        <v>39</v>
      </c>
      <c r="D97" s="36" t="s">
        <v>40</v>
      </c>
      <c r="E97" s="10">
        <v>100615000000</v>
      </c>
      <c r="F97" s="10">
        <v>3266151000000</v>
      </c>
      <c r="G97" s="10">
        <v>2082994000000</v>
      </c>
      <c r="H97" s="10">
        <v>518941000000</v>
      </c>
      <c r="I97" s="10">
        <v>982055000000</v>
      </c>
      <c r="J97" s="10">
        <v>40281000000</v>
      </c>
      <c r="K97" s="10">
        <v>2512269000000</v>
      </c>
      <c r="L97" s="10">
        <f>210549000000+3619000000+12713000000</f>
        <v>226881000000</v>
      </c>
      <c r="M97" s="10">
        <v>2747210000000</v>
      </c>
      <c r="N97" s="10">
        <v>1183157000000</v>
      </c>
      <c r="O97" s="10">
        <v>365343000000</v>
      </c>
      <c r="P97" s="10">
        <v>259602000000</v>
      </c>
      <c r="Q97" s="10">
        <v>130796000000</v>
      </c>
      <c r="R97" s="12">
        <v>10.199999999999999</v>
      </c>
      <c r="S97" s="12">
        <v>16</v>
      </c>
      <c r="T97" s="11">
        <v>5705150000</v>
      </c>
      <c r="U97" s="35">
        <f t="shared" si="17"/>
        <v>3.0805373052256311E-2</v>
      </c>
      <c r="V97" s="35">
        <f t="shared" si="18"/>
        <v>0.63775189818229472</v>
      </c>
      <c r="W97" s="35">
        <f t="shared" si="19"/>
        <v>0.52842356079852959</v>
      </c>
      <c r="X97" s="19">
        <f t="shared" si="20"/>
        <v>-0.85534531305077532</v>
      </c>
      <c r="Y97" s="20">
        <f t="shared" si="21"/>
        <v>0</v>
      </c>
      <c r="Z97" s="19">
        <f t="shared" si="22"/>
        <v>4.1017050979833103E-2</v>
      </c>
      <c r="AA97" s="19">
        <f t="shared" si="23"/>
        <v>32.962857480628074</v>
      </c>
      <c r="AB97" s="19">
        <f t="shared" si="24"/>
        <v>0.91448014531106103</v>
      </c>
      <c r="AC97" s="19">
        <f t="shared" si="25"/>
        <v>0.76918335986303144</v>
      </c>
      <c r="AD97" s="17">
        <f t="shared" si="26"/>
        <v>8.5039432636581619E-2</v>
      </c>
      <c r="AE97" s="17">
        <f t="shared" si="27"/>
        <v>4.0049453302970342E-2</v>
      </c>
      <c r="AF97" s="19">
        <f t="shared" si="28"/>
        <v>0.14542351953552746</v>
      </c>
      <c r="AG97" s="19">
        <f t="shared" si="29"/>
        <v>1.9847854674454877</v>
      </c>
      <c r="AH97" s="19">
        <f t="shared" si="30"/>
        <v>1.7605389648203915</v>
      </c>
      <c r="AI97" s="19">
        <f t="shared" si="31"/>
        <v>0.63749999999999996</v>
      </c>
      <c r="AJ97" s="19">
        <f t="shared" si="32"/>
        <v>4.9184115041368132E-2</v>
      </c>
    </row>
    <row r="98" spans="1:36" x14ac:dyDescent="0.35">
      <c r="A98" s="36"/>
      <c r="B98" s="2">
        <v>2020</v>
      </c>
      <c r="C98" s="36"/>
      <c r="D98" s="36"/>
      <c r="E98" s="10">
        <v>52214000000</v>
      </c>
      <c r="F98" s="10">
        <v>3837040000000</v>
      </c>
      <c r="G98" s="10">
        <v>2626095000000</v>
      </c>
      <c r="H98" s="10">
        <v>410184000000</v>
      </c>
      <c r="I98" s="10">
        <v>902798000000</v>
      </c>
      <c r="J98" s="10">
        <v>120586000000</v>
      </c>
      <c r="K98" s="10">
        <v>2699618000000</v>
      </c>
      <c r="L98" s="10">
        <f>183949000000+3155000000+10682000000+125000000</f>
        <v>197911000000</v>
      </c>
      <c r="M98" s="10">
        <v>3426856000000</v>
      </c>
      <c r="N98" s="10">
        <v>1210945000000</v>
      </c>
      <c r="O98" s="10">
        <v>420486000000</v>
      </c>
      <c r="P98" s="10">
        <v>260898000000</v>
      </c>
      <c r="Q98" s="10">
        <v>166885000000</v>
      </c>
      <c r="R98" s="12">
        <v>13.8</v>
      </c>
      <c r="S98" s="12">
        <v>11</v>
      </c>
      <c r="T98" s="11">
        <v>5705150000</v>
      </c>
      <c r="U98" s="35">
        <f t="shared" si="17"/>
        <v>1.3607885244876258E-2</v>
      </c>
      <c r="V98" s="35">
        <f t="shared" si="18"/>
        <v>0.68440646957029372</v>
      </c>
      <c r="W98" s="35">
        <f t="shared" si="19"/>
        <v>0.45434748415481646</v>
      </c>
      <c r="X98" s="19">
        <f t="shared" si="20"/>
        <v>-0.51248543535704794</v>
      </c>
      <c r="Y98" s="20">
        <f t="shared" si="21"/>
        <v>0</v>
      </c>
      <c r="Z98" s="19">
        <f t="shared" si="22"/>
        <v>0.13356919266546891</v>
      </c>
      <c r="AA98" s="19">
        <f t="shared" si="23"/>
        <v>26.758421006231249</v>
      </c>
      <c r="AB98" s="19">
        <f t="shared" si="24"/>
        <v>0.78778273729622716</v>
      </c>
      <c r="AC98" s="19">
        <f t="shared" si="25"/>
        <v>0.70356785438775726</v>
      </c>
      <c r="AD98" s="17">
        <f t="shared" si="26"/>
        <v>4.3118391008675046E-2</v>
      </c>
      <c r="AE98" s="17">
        <f t="shared" si="27"/>
        <v>1.934125494792226E-2</v>
      </c>
      <c r="AF98" s="19">
        <f t="shared" si="28"/>
        <v>0.15575759237047612</v>
      </c>
      <c r="AG98" s="19">
        <f t="shared" si="29"/>
        <v>1.5633400245678162</v>
      </c>
      <c r="AH98" s="19">
        <f t="shared" si="30"/>
        <v>2.1686327620164416</v>
      </c>
      <c r="AI98" s="19">
        <f t="shared" si="31"/>
        <v>1.2545454545454546</v>
      </c>
      <c r="AJ98" s="19">
        <f t="shared" si="32"/>
        <v>6.5016222867264828E-2</v>
      </c>
    </row>
    <row r="99" spans="1:36" x14ac:dyDescent="0.35">
      <c r="A99" s="36"/>
      <c r="B99" s="3">
        <v>2021</v>
      </c>
      <c r="C99" s="36"/>
      <c r="D99" s="36"/>
      <c r="E99" s="10">
        <v>697621000000</v>
      </c>
      <c r="F99" s="10">
        <v>4051811000000</v>
      </c>
      <c r="G99" s="10">
        <v>2509761000000</v>
      </c>
      <c r="H99" s="10">
        <v>1138374000000</v>
      </c>
      <c r="I99" s="10">
        <v>997061000000</v>
      </c>
      <c r="J99" s="10">
        <v>682387000000</v>
      </c>
      <c r="K99" s="10">
        <v>3370324000000</v>
      </c>
      <c r="L99" s="10">
        <f>279345000000+6781000000+31693000000+1520000000</f>
        <v>319339000000</v>
      </c>
      <c r="M99" s="10">
        <v>2913437000000</v>
      </c>
      <c r="N99" s="10">
        <v>1542050000000</v>
      </c>
      <c r="O99" s="10">
        <v>731015000000</v>
      </c>
      <c r="P99" s="10">
        <v>1131906000000</v>
      </c>
      <c r="Q99" s="10">
        <v>152222000000</v>
      </c>
      <c r="R99" s="12">
        <v>137</v>
      </c>
      <c r="S99" s="12">
        <v>122</v>
      </c>
      <c r="T99" s="11">
        <v>5705150000</v>
      </c>
      <c r="U99" s="35">
        <f t="shared" si="17"/>
        <v>0.17217510885873008</v>
      </c>
      <c r="V99" s="35">
        <f t="shared" si="18"/>
        <v>0.61941709521989052</v>
      </c>
      <c r="W99" s="35">
        <f t="shared" si="19"/>
        <v>1.1417295431272509</v>
      </c>
      <c r="X99" s="19">
        <f t="shared" si="20"/>
        <v>-1.5999235006981991</v>
      </c>
      <c r="Y99" s="20">
        <f t="shared" si="21"/>
        <v>0</v>
      </c>
      <c r="Z99" s="19">
        <f t="shared" si="22"/>
        <v>0.6843984470358383</v>
      </c>
      <c r="AA99" s="19">
        <f t="shared" si="23"/>
        <v>34.583836746852825</v>
      </c>
      <c r="AB99" s="19">
        <f t="shared" si="24"/>
        <v>1.1568206211426573</v>
      </c>
      <c r="AC99" s="19">
        <f t="shared" si="25"/>
        <v>0.83180681428625369</v>
      </c>
      <c r="AD99" s="17">
        <f t="shared" si="26"/>
        <v>0.45239843066048441</v>
      </c>
      <c r="AE99" s="17">
        <f t="shared" si="27"/>
        <v>0.20698929835825874</v>
      </c>
      <c r="AF99" s="19">
        <f t="shared" si="28"/>
        <v>0.21689754456841537</v>
      </c>
      <c r="AG99" s="19">
        <f t="shared" si="29"/>
        <v>7.4358896874302003</v>
      </c>
      <c r="AH99" s="19">
        <f t="shared" si="30"/>
        <v>1.6275483933724588</v>
      </c>
      <c r="AI99" s="19">
        <f t="shared" si="31"/>
        <v>1.1229508196721312</v>
      </c>
      <c r="AJ99" s="19">
        <f t="shared" si="32"/>
        <v>0.50686135339321037</v>
      </c>
    </row>
    <row r="100" spans="1:36" x14ac:dyDescent="0.35">
      <c r="A100" s="36"/>
      <c r="B100" s="4">
        <v>2022</v>
      </c>
      <c r="C100" s="36"/>
      <c r="D100" s="36"/>
      <c r="E100" s="10">
        <v>1413818000000</v>
      </c>
      <c r="F100" s="10">
        <v>4403862000000</v>
      </c>
      <c r="G100" s="10">
        <v>2178316000000</v>
      </c>
      <c r="H100" s="10">
        <v>1779346000000</v>
      </c>
      <c r="I100" s="10">
        <v>1009798000000</v>
      </c>
      <c r="J100" s="10">
        <v>1290199000000</v>
      </c>
      <c r="K100" s="10">
        <v>4877926000000</v>
      </c>
      <c r="L100" s="10">
        <f>305291000000+11100000000+6646000000+125000000</f>
        <v>323162000000</v>
      </c>
      <c r="M100" s="10">
        <v>2624516000000</v>
      </c>
      <c r="N100" s="10">
        <v>2225546000000</v>
      </c>
      <c r="O100" s="10">
        <v>1765058000000</v>
      </c>
      <c r="P100" s="10">
        <v>1571845000000</v>
      </c>
      <c r="Q100" s="10">
        <v>113609000000</v>
      </c>
      <c r="R100" s="12">
        <v>194.5</v>
      </c>
      <c r="S100" s="12">
        <v>239</v>
      </c>
      <c r="T100" s="11">
        <v>5705150000</v>
      </c>
      <c r="U100" s="35">
        <f t="shared" si="17"/>
        <v>0.32104048673641455</v>
      </c>
      <c r="V100" s="35">
        <f t="shared" si="18"/>
        <v>0.49463766121645047</v>
      </c>
      <c r="W100" s="35">
        <f t="shared" si="19"/>
        <v>1.7620811290971066</v>
      </c>
      <c r="X100" s="19">
        <f t="shared" si="20"/>
        <v>-2.9828567631096052</v>
      </c>
      <c r="Y100" s="20">
        <f t="shared" si="21"/>
        <v>0</v>
      </c>
      <c r="Z100" s="19">
        <f t="shared" si="22"/>
        <v>1.2776802885329541</v>
      </c>
      <c r="AA100" s="19">
        <f t="shared" si="23"/>
        <v>24.181205290937172</v>
      </c>
      <c r="AB100" s="19">
        <f t="shared" si="24"/>
        <v>1.8586002142871294</v>
      </c>
      <c r="AC100" s="19">
        <f t="shared" si="25"/>
        <v>1.1076473331816483</v>
      </c>
      <c r="AD100" s="17">
        <f t="shared" si="26"/>
        <v>0.63526792975746171</v>
      </c>
      <c r="AE100" s="17">
        <f t="shared" si="27"/>
        <v>0.28983998527242932</v>
      </c>
      <c r="AF100" s="19">
        <f t="shared" si="28"/>
        <v>0.36184599766376119</v>
      </c>
      <c r="AG100" s="19">
        <f t="shared" si="29"/>
        <v>13.835567604679207</v>
      </c>
      <c r="AH100" s="19">
        <f t="shared" si="30"/>
        <v>0.97877824138436142</v>
      </c>
      <c r="AI100" s="19">
        <f t="shared" si="31"/>
        <v>0.81380753138075312</v>
      </c>
      <c r="AJ100" s="19">
        <f t="shared" si="32"/>
        <v>0.49859750146705573</v>
      </c>
    </row>
    <row r="101" spans="1:36" x14ac:dyDescent="0.35">
      <c r="A101" s="36"/>
      <c r="B101" s="5">
        <v>2023</v>
      </c>
      <c r="C101" s="36"/>
      <c r="D101" s="36"/>
      <c r="E101" s="10">
        <v>814762000000</v>
      </c>
      <c r="F101" s="10">
        <v>4068706000000</v>
      </c>
      <c r="G101" s="10">
        <v>1485662000000</v>
      </c>
      <c r="H101" s="10">
        <v>1408633000000</v>
      </c>
      <c r="I101" s="10">
        <v>635497000000</v>
      </c>
      <c r="J101" s="10">
        <v>883155000000</v>
      </c>
      <c r="K101" s="10">
        <v>4305684000000</v>
      </c>
      <c r="L101" s="10">
        <f>326920000000+645000000+15252000000+125000000</f>
        <v>342942000000</v>
      </c>
      <c r="M101" s="10">
        <v>2660073000000</v>
      </c>
      <c r="N101" s="10">
        <v>2583044000000</v>
      </c>
      <c r="O101" s="10">
        <v>1113931000000</v>
      </c>
      <c r="P101" s="10">
        <v>966380000000</v>
      </c>
      <c r="Q101" s="10">
        <v>90129000000</v>
      </c>
      <c r="R101" s="12">
        <v>156</v>
      </c>
      <c r="S101" s="12">
        <v>14</v>
      </c>
      <c r="T101" s="11">
        <v>57051500000</v>
      </c>
      <c r="U101" s="35">
        <f t="shared" si="17"/>
        <v>0.2002508905779872</v>
      </c>
      <c r="V101" s="35">
        <f t="shared" si="18"/>
        <v>0.36514361076961571</v>
      </c>
      <c r="W101" s="35">
        <f t="shared" si="19"/>
        <v>2.2165848147198175</v>
      </c>
      <c r="X101" s="19">
        <f t="shared" si="20"/>
        <v>-3.1749480428766881</v>
      </c>
      <c r="Y101" s="20">
        <f t="shared" si="21"/>
        <v>0</v>
      </c>
      <c r="Z101" s="19">
        <f t="shared" si="22"/>
        <v>1.3897075831986618</v>
      </c>
      <c r="AA101" s="19">
        <f t="shared" si="23"/>
        <v>29.071764207498738</v>
      </c>
      <c r="AB101" s="19">
        <f t="shared" si="24"/>
        <v>1.6186337743362682</v>
      </c>
      <c r="AC101" s="19">
        <f t="shared" si="25"/>
        <v>1.0582440707192902</v>
      </c>
      <c r="AD101" s="17">
        <f t="shared" si="26"/>
        <v>0.31542706976729779</v>
      </c>
      <c r="AE101" s="17">
        <f t="shared" si="27"/>
        <v>0.1892294000209955</v>
      </c>
      <c r="AF101" s="19">
        <f t="shared" si="28"/>
        <v>0.25871174010912085</v>
      </c>
      <c r="AG101" s="19">
        <f t="shared" si="29"/>
        <v>10.722187087396954</v>
      </c>
      <c r="AH101" s="19">
        <f t="shared" si="30"/>
        <v>0.57515938559312196</v>
      </c>
      <c r="AI101" s="19">
        <f t="shared" si="31"/>
        <v>11.142857142857142</v>
      </c>
      <c r="AJ101" s="19">
        <f t="shared" si="32"/>
        <v>3.445560354372593</v>
      </c>
    </row>
    <row r="102" spans="1:36" x14ac:dyDescent="0.35">
      <c r="A102" s="36">
        <v>21</v>
      </c>
      <c r="B102" s="1">
        <v>2019</v>
      </c>
      <c r="C102" s="36" t="s">
        <v>41</v>
      </c>
      <c r="D102" s="36" t="s">
        <v>42</v>
      </c>
      <c r="E102" s="10">
        <v>948039895</v>
      </c>
      <c r="F102" s="10">
        <v>98890963872</v>
      </c>
      <c r="G102" s="10">
        <v>22916237978</v>
      </c>
      <c r="H102" s="10">
        <v>16320043246</v>
      </c>
      <c r="I102" s="10">
        <v>14420323854</v>
      </c>
      <c r="J102" s="10">
        <v>1747024623</v>
      </c>
      <c r="K102" s="10">
        <v>49805015656</v>
      </c>
      <c r="L102" s="10">
        <f>12424057683+179955628</f>
        <v>12604013311</v>
      </c>
      <c r="M102" s="10">
        <v>82570920626</v>
      </c>
      <c r="N102" s="10">
        <v>72974725894</v>
      </c>
      <c r="O102" s="10">
        <v>13879845755</v>
      </c>
      <c r="P102" s="10">
        <f>2514800477+Q102</f>
        <v>4644358083</v>
      </c>
      <c r="Q102" s="10">
        <v>2129557606</v>
      </c>
      <c r="R102" s="12">
        <v>101</v>
      </c>
      <c r="S102" s="12">
        <v>2.1800000000000002</v>
      </c>
      <c r="T102" s="11">
        <v>435000000</v>
      </c>
      <c r="U102" s="35">
        <f t="shared" si="17"/>
        <v>9.5867191286263531E-3</v>
      </c>
      <c r="V102" s="35">
        <f t="shared" si="18"/>
        <v>0.23173237554506743</v>
      </c>
      <c r="W102" s="35">
        <f t="shared" si="19"/>
        <v>1.131739024118591</v>
      </c>
      <c r="X102" s="19">
        <f t="shared" si="20"/>
        <v>-3.0677836588035277</v>
      </c>
      <c r="Y102" s="20">
        <f t="shared" si="21"/>
        <v>0</v>
      </c>
      <c r="Z102" s="19">
        <f t="shared" si="22"/>
        <v>0.12115016560570513</v>
      </c>
      <c r="AA102" s="19">
        <f t="shared" si="23"/>
        <v>92.369509333961673</v>
      </c>
      <c r="AB102" s="19">
        <f t="shared" si="24"/>
        <v>0.60317864059659465</v>
      </c>
      <c r="AC102" s="19">
        <f t="shared" si="25"/>
        <v>0.50363565796026988</v>
      </c>
      <c r="AD102" s="17">
        <f t="shared" si="26"/>
        <v>1.2991345748623744E-2</v>
      </c>
      <c r="AE102" s="17">
        <f t="shared" si="27"/>
        <v>1.9035028551101153E-2</v>
      </c>
      <c r="AF102" s="19">
        <f t="shared" si="28"/>
        <v>0.27868369424612155</v>
      </c>
      <c r="AG102" s="19">
        <f t="shared" si="29"/>
        <v>2.1809027705635122</v>
      </c>
      <c r="AH102" s="19">
        <f t="shared" si="30"/>
        <v>0.31402979178417412</v>
      </c>
      <c r="AI102" s="19">
        <f t="shared" si="31"/>
        <v>46.330275229357795</v>
      </c>
      <c r="AJ102" s="19">
        <f t="shared" si="32"/>
        <v>0.60205775988549948</v>
      </c>
    </row>
    <row r="103" spans="1:36" x14ac:dyDescent="0.35">
      <c r="A103" s="36"/>
      <c r="B103" s="2">
        <v>2020</v>
      </c>
      <c r="C103" s="36"/>
      <c r="D103" s="36"/>
      <c r="E103" s="10">
        <v>-9242134862</v>
      </c>
      <c r="F103" s="10">
        <v>86141743970</v>
      </c>
      <c r="G103" s="10">
        <v>22650488908</v>
      </c>
      <c r="H103" s="10">
        <v>10950372543</v>
      </c>
      <c r="I103" s="10">
        <v>16591014668</v>
      </c>
      <c r="J103" s="10">
        <v>1736720140</v>
      </c>
      <c r="K103" s="10">
        <v>42839805962</v>
      </c>
      <c r="L103" s="10">
        <f>8656652795+142020625</f>
        <v>8798673420</v>
      </c>
      <c r="M103" s="10">
        <v>75191371427</v>
      </c>
      <c r="N103" s="10">
        <v>63491255062</v>
      </c>
      <c r="O103" s="10">
        <v>2635993783</v>
      </c>
      <c r="P103" s="10">
        <f>-8913969494+Q103</f>
        <v>-7066103872</v>
      </c>
      <c r="Q103" s="10">
        <v>1847865622</v>
      </c>
      <c r="R103" s="12">
        <v>171</v>
      </c>
      <c r="S103" s="12">
        <v>-21.25</v>
      </c>
      <c r="T103" s="11">
        <v>435000000</v>
      </c>
      <c r="U103" s="35">
        <f t="shared" si="17"/>
        <v>-0.10728985084419344</v>
      </c>
      <c r="V103" s="35">
        <f t="shared" si="18"/>
        <v>0.26294439680590087</v>
      </c>
      <c r="W103" s="35">
        <f t="shared" si="19"/>
        <v>0.66001825458695929</v>
      </c>
      <c r="X103" s="19">
        <f t="shared" si="20"/>
        <v>-2.361179746697792</v>
      </c>
      <c r="Y103" s="20">
        <f t="shared" si="21"/>
        <v>0</v>
      </c>
      <c r="Z103" s="19">
        <f t="shared" si="22"/>
        <v>0.1046783560109622</v>
      </c>
      <c r="AA103" s="19">
        <f t="shared" si="23"/>
        <v>74.965694315905537</v>
      </c>
      <c r="AB103" s="19">
        <f t="shared" si="24"/>
        <v>0.56974364410404843</v>
      </c>
      <c r="AC103" s="19">
        <f t="shared" si="25"/>
        <v>0.4973176068610769</v>
      </c>
      <c r="AD103" s="17">
        <f t="shared" si="26"/>
        <v>-0.14556547752875479</v>
      </c>
      <c r="AE103" s="17">
        <f t="shared" si="27"/>
        <v>-0.21573708504184191</v>
      </c>
      <c r="AF103" s="19">
        <f t="shared" si="28"/>
        <v>6.1531412755188336E-2</v>
      </c>
      <c r="AG103" s="19">
        <f t="shared" si="29"/>
        <v>-3.8239273396688582</v>
      </c>
      <c r="AH103" s="19">
        <f t="shared" si="30"/>
        <v>0.35674974271467019</v>
      </c>
      <c r="AI103" s="19">
        <f t="shared" si="31"/>
        <v>-8.0470588235294116</v>
      </c>
      <c r="AJ103" s="19">
        <f t="shared" si="32"/>
        <v>1.1715786674458102</v>
      </c>
    </row>
    <row r="104" spans="1:36" x14ac:dyDescent="0.35">
      <c r="A104" s="36"/>
      <c r="B104" s="3">
        <v>2021</v>
      </c>
      <c r="C104" s="36"/>
      <c r="D104" s="36"/>
      <c r="E104" s="10">
        <v>-4928794993</v>
      </c>
      <c r="F104" s="10">
        <v>76740944634</v>
      </c>
      <c r="G104" s="10">
        <v>18063690866</v>
      </c>
      <c r="H104" s="10">
        <v>7315713528</v>
      </c>
      <c r="I104" s="10">
        <v>11305872300</v>
      </c>
      <c r="J104" s="10">
        <v>996983206</v>
      </c>
      <c r="K104" s="10">
        <v>39606222648</v>
      </c>
      <c r="L104" s="10">
        <f>5740997304+204997625</f>
        <v>5945994929</v>
      </c>
      <c r="M104" s="10">
        <v>69425231106</v>
      </c>
      <c r="N104" s="10">
        <v>58677253768</v>
      </c>
      <c r="O104" s="10">
        <v>5169911264</v>
      </c>
      <c r="P104" s="10">
        <f>-4247589186+Q104</f>
        <v>-2774552069</v>
      </c>
      <c r="Q104" s="10">
        <v>1473037117</v>
      </c>
      <c r="R104" s="12">
        <v>163</v>
      </c>
      <c r="S104" s="12">
        <v>-11.33</v>
      </c>
      <c r="T104" s="11">
        <v>435000000</v>
      </c>
      <c r="U104" s="35">
        <f t="shared" si="17"/>
        <v>-6.4226405037191875E-2</v>
      </c>
      <c r="V104" s="35">
        <f t="shared" si="18"/>
        <v>0.23538530770178842</v>
      </c>
      <c r="W104" s="35">
        <f t="shared" si="19"/>
        <v>0.6470720112414502</v>
      </c>
      <c r="X104" s="19">
        <f t="shared" si="20"/>
        <v>-2.7119813596736631</v>
      </c>
      <c r="Y104" s="20">
        <f t="shared" si="21"/>
        <v>0</v>
      </c>
      <c r="Z104" s="19">
        <f t="shared" si="22"/>
        <v>8.8182776131303028E-2</v>
      </c>
      <c r="AA104" s="19">
        <f t="shared" si="23"/>
        <v>54.796645677963767</v>
      </c>
      <c r="AB104" s="19">
        <f t="shared" si="24"/>
        <v>0.57048744407531504</v>
      </c>
      <c r="AC104" s="19">
        <f t="shared" si="25"/>
        <v>0.51610288141348348</v>
      </c>
      <c r="AD104" s="17">
        <f t="shared" si="26"/>
        <v>-8.3998392502955696E-2</v>
      </c>
      <c r="AE104" s="17">
        <f t="shared" si="27"/>
        <v>-0.1244449650451301</v>
      </c>
      <c r="AF104" s="19">
        <f t="shared" si="28"/>
        <v>0.1305328031392326</v>
      </c>
      <c r="AG104" s="19">
        <f t="shared" si="29"/>
        <v>-1.8835588302422932</v>
      </c>
      <c r="AH104" s="19">
        <f t="shared" si="30"/>
        <v>0.30784826667963699</v>
      </c>
      <c r="AI104" s="19">
        <f t="shared" si="31"/>
        <v>-14.386584289496911</v>
      </c>
      <c r="AJ104" s="19">
        <f t="shared" si="32"/>
        <v>1.2083898861447477</v>
      </c>
    </row>
    <row r="105" spans="1:36" x14ac:dyDescent="0.35">
      <c r="A105" s="36"/>
      <c r="B105" s="4">
        <v>2022</v>
      </c>
      <c r="C105" s="36"/>
      <c r="D105" s="36"/>
      <c r="E105" s="10">
        <v>-4266277212</v>
      </c>
      <c r="F105" s="10">
        <v>70849504985</v>
      </c>
      <c r="G105" s="10">
        <v>16416167347</v>
      </c>
      <c r="H105" s="10">
        <v>8509512704</v>
      </c>
      <c r="I105" s="10">
        <v>10321788986</v>
      </c>
      <c r="J105" s="10">
        <v>867421834</v>
      </c>
      <c r="K105" s="10">
        <v>38815826593</v>
      </c>
      <c r="L105" s="10">
        <f>6855425418+396037683</f>
        <v>7251463101</v>
      </c>
      <c r="M105" s="10">
        <v>62339992281</v>
      </c>
      <c r="N105" s="10">
        <v>54433337638</v>
      </c>
      <c r="O105" s="10">
        <v>6072301474</v>
      </c>
      <c r="P105" s="10">
        <f>-4517671581+Q105</f>
        <v>-3685535162</v>
      </c>
      <c r="Q105" s="10">
        <v>832136419</v>
      </c>
      <c r="R105" s="12">
        <v>100</v>
      </c>
      <c r="S105" s="12">
        <v>-9.81</v>
      </c>
      <c r="T105" s="11">
        <v>435000000</v>
      </c>
      <c r="U105" s="35">
        <f t="shared" si="17"/>
        <v>-6.0216048268837453E-2</v>
      </c>
      <c r="V105" s="35">
        <f t="shared" si="18"/>
        <v>0.23170475715356897</v>
      </c>
      <c r="W105" s="35">
        <f t="shared" si="19"/>
        <v>0.82442226977725586</v>
      </c>
      <c r="X105" s="19">
        <f t="shared" si="20"/>
        <v>-2.7516913473667275</v>
      </c>
      <c r="Y105" s="20">
        <f t="shared" si="21"/>
        <v>0</v>
      </c>
      <c r="Z105" s="19">
        <f t="shared" si="22"/>
        <v>8.4037935204500994E-2</v>
      </c>
      <c r="AA105" s="19">
        <f t="shared" si="23"/>
        <v>68.188269172201984</v>
      </c>
      <c r="AB105" s="19">
        <f t="shared" si="24"/>
        <v>0.62264727942275189</v>
      </c>
      <c r="AC105" s="19">
        <f t="shared" si="25"/>
        <v>0.54786305989319117</v>
      </c>
      <c r="AD105" s="17">
        <f t="shared" si="26"/>
        <v>-7.8376182632271751E-2</v>
      </c>
      <c r="AE105" s="17">
        <f t="shared" si="27"/>
        <v>-0.10991076543940907</v>
      </c>
      <c r="AF105" s="19">
        <f t="shared" si="28"/>
        <v>0.15643880362694818</v>
      </c>
      <c r="AG105" s="19">
        <f t="shared" si="29"/>
        <v>-4.4290035598117479</v>
      </c>
      <c r="AH105" s="19">
        <f t="shared" si="30"/>
        <v>0.30158296476642737</v>
      </c>
      <c r="AI105" s="19">
        <f t="shared" si="31"/>
        <v>-10.19367991845056</v>
      </c>
      <c r="AJ105" s="19">
        <f t="shared" si="32"/>
        <v>0.79914261898268357</v>
      </c>
    </row>
    <row r="106" spans="1:36" x14ac:dyDescent="0.35">
      <c r="A106" s="36"/>
      <c r="B106" s="5">
        <v>2023</v>
      </c>
      <c r="C106" s="36"/>
      <c r="D106" s="36"/>
      <c r="E106" s="10">
        <v>-3464696605</v>
      </c>
      <c r="F106" s="10">
        <v>65403191775</v>
      </c>
      <c r="G106" s="10">
        <v>14279894662</v>
      </c>
      <c r="H106" s="10">
        <v>9705102526</v>
      </c>
      <c r="I106" s="10">
        <v>8318044368</v>
      </c>
      <c r="J106" s="10">
        <v>884447404</v>
      </c>
      <c r="K106" s="10">
        <v>43374041037</v>
      </c>
      <c r="L106" s="10">
        <f>6846080730+309448493+475000000</f>
        <v>7630529223</v>
      </c>
      <c r="M106" s="10">
        <v>55698089249</v>
      </c>
      <c r="N106" s="10">
        <v>51123297113</v>
      </c>
      <c r="O106" s="10">
        <v>7694017045</v>
      </c>
      <c r="P106" s="10">
        <f>-3701873860+Q106</f>
        <v>-2990690447</v>
      </c>
      <c r="Q106" s="10">
        <v>711183413</v>
      </c>
      <c r="R106" s="12">
        <v>86</v>
      </c>
      <c r="S106" s="12">
        <v>-7.96</v>
      </c>
      <c r="T106" s="11">
        <v>435000000</v>
      </c>
      <c r="U106" s="35">
        <f t="shared" si="17"/>
        <v>-5.2974426950281664E-2</v>
      </c>
      <c r="V106" s="35">
        <f t="shared" si="18"/>
        <v>0.21833635751486993</v>
      </c>
      <c r="W106" s="35">
        <f t="shared" si="19"/>
        <v>1.1667529165071653</v>
      </c>
      <c r="X106" s="19">
        <f t="shared" si="20"/>
        <v>-2.8616612485124611</v>
      </c>
      <c r="Y106" s="20">
        <f t="shared" si="21"/>
        <v>0</v>
      </c>
      <c r="Z106" s="19">
        <f t="shared" si="22"/>
        <v>0.10632876730046315</v>
      </c>
      <c r="AA106" s="19">
        <f t="shared" si="23"/>
        <v>64.212213107354884</v>
      </c>
      <c r="AB106" s="19">
        <f t="shared" si="24"/>
        <v>0.77873481158563684</v>
      </c>
      <c r="AC106" s="19">
        <f t="shared" si="25"/>
        <v>0.66317927091716466</v>
      </c>
      <c r="AD106" s="17">
        <f t="shared" si="26"/>
        <v>-6.7771384097974618E-2</v>
      </c>
      <c r="AE106" s="17">
        <f t="shared" si="27"/>
        <v>-7.9879497555795154E-2</v>
      </c>
      <c r="AF106" s="19">
        <f t="shared" si="28"/>
        <v>0.17738760007251017</v>
      </c>
      <c r="AG106" s="19">
        <f t="shared" si="29"/>
        <v>-4.2052308762156123</v>
      </c>
      <c r="AH106" s="19">
        <f t="shared" si="30"/>
        <v>0.27932264678540863</v>
      </c>
      <c r="AI106" s="19">
        <f t="shared" si="31"/>
        <v>-10.804020100502512</v>
      </c>
      <c r="AJ106" s="19">
        <f t="shared" si="32"/>
        <v>0.73176031501471983</v>
      </c>
    </row>
    <row r="107" spans="1:36" x14ac:dyDescent="0.35">
      <c r="A107" s="36">
        <v>22</v>
      </c>
      <c r="B107" s="1">
        <v>2019</v>
      </c>
      <c r="C107" s="36" t="s">
        <v>43</v>
      </c>
      <c r="D107" s="36" t="s">
        <v>44</v>
      </c>
      <c r="E107" s="10">
        <v>4518959735</v>
      </c>
      <c r="F107" s="10">
        <v>269602629189</v>
      </c>
      <c r="G107" s="10">
        <v>117734528422</v>
      </c>
      <c r="H107" s="10">
        <v>20607998968</v>
      </c>
      <c r="I107" s="10">
        <v>39953268587</v>
      </c>
      <c r="J107" s="10">
        <v>4296025294</v>
      </c>
      <c r="K107" s="10">
        <v>146173217700</v>
      </c>
      <c r="L107" s="10">
        <f>2159259452+7017804405+850144351+54212521915</f>
        <v>64239730123</v>
      </c>
      <c r="M107" s="10">
        <v>284994630221</v>
      </c>
      <c r="N107" s="10">
        <v>151868100767</v>
      </c>
      <c r="O107" s="10">
        <v>57540500232</v>
      </c>
      <c r="P107" s="10">
        <v>13368068312</v>
      </c>
      <c r="Q107" s="10">
        <v>10042974980</v>
      </c>
      <c r="R107" s="12">
        <v>139.06</v>
      </c>
      <c r="S107" s="12">
        <v>4</v>
      </c>
      <c r="T107" s="11">
        <v>886411265</v>
      </c>
      <c r="U107" s="35">
        <f t="shared" si="17"/>
        <v>1.6761556623515219E-2</v>
      </c>
      <c r="V107" s="35">
        <f t="shared" si="18"/>
        <v>0.43669651433356149</v>
      </c>
      <c r="W107" s="35">
        <f t="shared" si="19"/>
        <v>0.51580257878338975</v>
      </c>
      <c r="X107" s="19">
        <f t="shared" si="20"/>
        <v>-1.9337086104567627</v>
      </c>
      <c r="Y107" s="20">
        <f t="shared" si="21"/>
        <v>0</v>
      </c>
      <c r="Z107" s="19">
        <f t="shared" si="22"/>
        <v>0.10752625369424321</v>
      </c>
      <c r="AA107" s="19">
        <f t="shared" si="23"/>
        <v>160.40901242947052</v>
      </c>
      <c r="AB107" s="19">
        <f t="shared" si="24"/>
        <v>0.51289814684104573</v>
      </c>
      <c r="AC107" s="19">
        <f t="shared" si="25"/>
        <v>0.54218023815163885</v>
      </c>
      <c r="AD107" s="17">
        <f t="shared" si="26"/>
        <v>2.9755819109986145E-2</v>
      </c>
      <c r="AE107" s="17">
        <f t="shared" si="27"/>
        <v>3.0915100632692715E-2</v>
      </c>
      <c r="AF107" s="19">
        <f t="shared" si="28"/>
        <v>0.39364598479383411</v>
      </c>
      <c r="AG107" s="19">
        <f t="shared" si="29"/>
        <v>1.3310864896728041</v>
      </c>
      <c r="AH107" s="19">
        <f t="shared" si="30"/>
        <v>0.77524198845833581</v>
      </c>
      <c r="AI107" s="19">
        <f t="shared" si="31"/>
        <v>34.765000000000001</v>
      </c>
      <c r="AJ107" s="19">
        <f t="shared" si="32"/>
        <v>0.81165399375090219</v>
      </c>
    </row>
    <row r="108" spans="1:36" x14ac:dyDescent="0.35">
      <c r="A108" s="36"/>
      <c r="B108" s="2">
        <v>2020</v>
      </c>
      <c r="C108" s="36"/>
      <c r="D108" s="36"/>
      <c r="E108" s="10">
        <v>-33601480667</v>
      </c>
      <c r="F108" s="10">
        <v>220884904490</v>
      </c>
      <c r="G108" s="10">
        <v>102887883668</v>
      </c>
      <c r="H108" s="10">
        <v>11358991009</v>
      </c>
      <c r="I108" s="10">
        <v>30824345288</v>
      </c>
      <c r="J108" s="10">
        <v>1550765075</v>
      </c>
      <c r="K108" s="10">
        <v>70513990516</v>
      </c>
      <c r="L108" s="10">
        <f>1948184528+5265944367+329335271+53456817728</f>
        <v>61000281894</v>
      </c>
      <c r="M108" s="10">
        <v>209525913481</v>
      </c>
      <c r="N108" s="10">
        <v>117997020822</v>
      </c>
      <c r="O108" s="10">
        <v>-1461569654</v>
      </c>
      <c r="P108" s="10">
        <v>39809716272</v>
      </c>
      <c r="Q108" s="10">
        <v>5722078470</v>
      </c>
      <c r="R108" s="12">
        <v>59.2</v>
      </c>
      <c r="S108" s="12">
        <v>-38</v>
      </c>
      <c r="T108" s="11">
        <v>886411265</v>
      </c>
      <c r="U108" s="35">
        <f t="shared" si="17"/>
        <v>-0.15212212325954227</v>
      </c>
      <c r="V108" s="35">
        <f t="shared" si="18"/>
        <v>0.46579861989916105</v>
      </c>
      <c r="W108" s="35">
        <f t="shared" si="19"/>
        <v>0.36850712976609712</v>
      </c>
      <c r="X108" s="19">
        <f t="shared" si="20"/>
        <v>-1.0056765238414145</v>
      </c>
      <c r="Y108" s="20">
        <f t="shared" si="21"/>
        <v>0</v>
      </c>
      <c r="Z108" s="19">
        <f t="shared" si="22"/>
        <v>5.0309749015292692E-2</v>
      </c>
      <c r="AA108" s="19">
        <f t="shared" si="23"/>
        <v>315.75440176312145</v>
      </c>
      <c r="AB108" s="19">
        <f t="shared" si="24"/>
        <v>0.33654066623312573</v>
      </c>
      <c r="AC108" s="19">
        <f t="shared" si="25"/>
        <v>0.31923408563753775</v>
      </c>
      <c r="AD108" s="17">
        <f t="shared" si="26"/>
        <v>-0.28476550028909847</v>
      </c>
      <c r="AE108" s="17">
        <f t="shared" si="27"/>
        <v>-0.47652218263517004</v>
      </c>
      <c r="AF108" s="19">
        <f t="shared" si="28"/>
        <v>-2.0727371168539413E-2</v>
      </c>
      <c r="AG108" s="19">
        <f t="shared" si="29"/>
        <v>6.9572125724448517</v>
      </c>
      <c r="AH108" s="19">
        <f t="shared" si="30"/>
        <v>0.87195323196513308</v>
      </c>
      <c r="AI108" s="19">
        <f t="shared" si="31"/>
        <v>-1.5578947368421054</v>
      </c>
      <c r="AJ108" s="19">
        <f t="shared" si="32"/>
        <v>0.44471925242214405</v>
      </c>
    </row>
    <row r="109" spans="1:36" x14ac:dyDescent="0.35">
      <c r="A109" s="36"/>
      <c r="B109" s="3">
        <v>2021</v>
      </c>
      <c r="C109" s="36"/>
      <c r="D109" s="36"/>
      <c r="E109" s="10">
        <v>-9622676055</v>
      </c>
      <c r="F109" s="10">
        <v>222474205879</v>
      </c>
      <c r="G109" s="10">
        <v>113973603428</v>
      </c>
      <c r="H109" s="10">
        <v>12590158246</v>
      </c>
      <c r="I109" s="10">
        <v>29778574564</v>
      </c>
      <c r="J109" s="10">
        <v>3273153026</v>
      </c>
      <c r="K109" s="10">
        <v>93434910443</v>
      </c>
      <c r="L109" s="10">
        <f>724158698+4949234941+445293206+20545980721</f>
        <v>26664667566</v>
      </c>
      <c r="M109" s="10">
        <v>209884047633</v>
      </c>
      <c r="N109" s="10">
        <v>108500602451</v>
      </c>
      <c r="O109" s="10">
        <v>31292039638</v>
      </c>
      <c r="P109" s="10">
        <v>-4374565548</v>
      </c>
      <c r="Q109" s="10">
        <v>6831888303</v>
      </c>
      <c r="R109" s="12">
        <v>199.2</v>
      </c>
      <c r="S109" s="12">
        <v>-11</v>
      </c>
      <c r="T109" s="11">
        <v>886411265</v>
      </c>
      <c r="U109" s="35">
        <f t="shared" si="17"/>
        <v>-4.3252996530454467E-2</v>
      </c>
      <c r="V109" s="35">
        <f t="shared" si="18"/>
        <v>0.51230030455750153</v>
      </c>
      <c r="W109" s="35">
        <f t="shared" si="19"/>
        <v>0.42279250871935725</v>
      </c>
      <c r="X109" s="19">
        <f t="shared" si="20"/>
        <v>-1.2331369671108852</v>
      </c>
      <c r="Y109" s="20">
        <f t="shared" si="21"/>
        <v>0</v>
      </c>
      <c r="Z109" s="19">
        <f t="shared" si="22"/>
        <v>0.10991637692278897</v>
      </c>
      <c r="AA109" s="19">
        <f t="shared" si="23"/>
        <v>104.16453138816222</v>
      </c>
      <c r="AB109" s="19">
        <f t="shared" si="24"/>
        <v>0.44517394960087125</v>
      </c>
      <c r="AC109" s="19">
        <f t="shared" si="25"/>
        <v>0.41998086957468539</v>
      </c>
      <c r="AD109" s="17">
        <f t="shared" si="26"/>
        <v>-8.8687766128724504E-2</v>
      </c>
      <c r="AE109" s="17">
        <f t="shared" si="27"/>
        <v>-0.10298801603572272</v>
      </c>
      <c r="AF109" s="19">
        <f t="shared" si="28"/>
        <v>0.33490736481295952</v>
      </c>
      <c r="AG109" s="19">
        <f t="shared" si="29"/>
        <v>-0.64031573029070932</v>
      </c>
      <c r="AH109" s="19">
        <f t="shared" si="30"/>
        <v>1.0504421252358638</v>
      </c>
      <c r="AI109" s="19">
        <f t="shared" si="31"/>
        <v>-18.109090909090909</v>
      </c>
      <c r="AJ109" s="19">
        <f t="shared" si="32"/>
        <v>1.6273930282344953</v>
      </c>
    </row>
    <row r="110" spans="1:36" x14ac:dyDescent="0.35">
      <c r="A110" s="36"/>
      <c r="B110" s="4">
        <v>2022</v>
      </c>
      <c r="C110" s="36"/>
      <c r="D110" s="36"/>
      <c r="E110" s="10">
        <v>19938518188</v>
      </c>
      <c r="F110" s="10">
        <v>291613017757</v>
      </c>
      <c r="G110" s="10">
        <v>94883159550</v>
      </c>
      <c r="H110" s="10">
        <v>45931247539</v>
      </c>
      <c r="I110" s="10">
        <v>29889169581</v>
      </c>
      <c r="J110" s="10">
        <v>31966211098</v>
      </c>
      <c r="K110" s="10">
        <v>183435869223</v>
      </c>
      <c r="L110" s="10">
        <f>1411319749+7063857236+647088976+19118111450</f>
        <v>28240377411</v>
      </c>
      <c r="M110" s="10">
        <v>245681770218</v>
      </c>
      <c r="N110" s="10">
        <v>196729858207</v>
      </c>
      <c r="O110" s="10">
        <v>78109515525</v>
      </c>
      <c r="P110" s="10">
        <v>28905799317</v>
      </c>
      <c r="Q110" s="10">
        <v>4263855058</v>
      </c>
      <c r="R110" s="12">
        <v>110</v>
      </c>
      <c r="S110" s="12">
        <v>18</v>
      </c>
      <c r="T110" s="11">
        <v>1460554819</v>
      </c>
      <c r="U110" s="35">
        <f t="shared" si="17"/>
        <v>6.8373210295483752E-2</v>
      </c>
      <c r="V110" s="35">
        <f t="shared" si="18"/>
        <v>0.325373538807742</v>
      </c>
      <c r="W110" s="35">
        <f t="shared" si="19"/>
        <v>1.5367187574256882</v>
      </c>
      <c r="X110" s="19">
        <f t="shared" si="20"/>
        <v>-2.802918846204054</v>
      </c>
      <c r="Y110" s="20">
        <f t="shared" si="21"/>
        <v>0</v>
      </c>
      <c r="Z110" s="19">
        <f t="shared" si="22"/>
        <v>1.0694914427572566</v>
      </c>
      <c r="AA110" s="19">
        <f t="shared" si="23"/>
        <v>56.19259634812235</v>
      </c>
      <c r="AB110" s="19">
        <f t="shared" si="24"/>
        <v>0.7466401315011385</v>
      </c>
      <c r="AC110" s="19">
        <f t="shared" si="25"/>
        <v>0.62903868501459148</v>
      </c>
      <c r="AD110" s="17">
        <f t="shared" si="26"/>
        <v>0.10134973089352103</v>
      </c>
      <c r="AE110" s="17">
        <f t="shared" si="27"/>
        <v>0.10869476222101943</v>
      </c>
      <c r="AF110" s="19">
        <f t="shared" si="28"/>
        <v>0.42581375090846346</v>
      </c>
      <c r="AG110" s="19">
        <f t="shared" si="29"/>
        <v>6.779264051850423</v>
      </c>
      <c r="AH110" s="19">
        <f t="shared" si="30"/>
        <v>0.48230177368482385</v>
      </c>
      <c r="AI110" s="19">
        <f t="shared" si="31"/>
        <v>6.1111111111111107</v>
      </c>
      <c r="AJ110" s="19">
        <f t="shared" si="32"/>
        <v>0.81665808919026306</v>
      </c>
    </row>
    <row r="111" spans="1:36" x14ac:dyDescent="0.35">
      <c r="A111" s="36"/>
      <c r="B111" s="5">
        <v>2023</v>
      </c>
      <c r="C111" s="36"/>
      <c r="D111" s="36"/>
      <c r="E111" s="10">
        <v>31737626741</v>
      </c>
      <c r="F111" s="10">
        <v>351818919026</v>
      </c>
      <c r="G111" s="10">
        <v>123678293667</v>
      </c>
      <c r="H111" s="10">
        <v>103549455692</v>
      </c>
      <c r="I111" s="10">
        <v>35656490790</v>
      </c>
      <c r="J111" s="10">
        <v>31218235612</v>
      </c>
      <c r="K111" s="10">
        <v>267168524107</v>
      </c>
      <c r="L111" s="10">
        <f>3493633462+7451161676+512099002+1783420717</f>
        <v>13240314857</v>
      </c>
      <c r="M111" s="10">
        <v>248269463334</v>
      </c>
      <c r="N111" s="10">
        <v>228140625359</v>
      </c>
      <c r="O111" s="10">
        <v>107724048003</v>
      </c>
      <c r="P111" s="10">
        <v>46133004265</v>
      </c>
      <c r="Q111" s="10">
        <v>8128748551</v>
      </c>
      <c r="R111" s="12">
        <v>167</v>
      </c>
      <c r="S111" s="12">
        <v>22</v>
      </c>
      <c r="T111" s="11">
        <v>1460554819</v>
      </c>
      <c r="U111" s="35">
        <f t="shared" si="17"/>
        <v>9.0210119537814104E-2</v>
      </c>
      <c r="V111" s="35">
        <f t="shared" si="18"/>
        <v>0.35153963297198343</v>
      </c>
      <c r="W111" s="35">
        <f t="shared" si="19"/>
        <v>2.9040843167056933</v>
      </c>
      <c r="X111" s="19">
        <f t="shared" si="20"/>
        <v>-2.7583410310930838</v>
      </c>
      <c r="Y111" s="20">
        <f t="shared" si="21"/>
        <v>0</v>
      </c>
      <c r="Z111" s="19">
        <f t="shared" si="22"/>
        <v>0.87552742629275437</v>
      </c>
      <c r="AA111" s="19">
        <f t="shared" si="23"/>
        <v>18.088638768201285</v>
      </c>
      <c r="AB111" s="19">
        <f t="shared" si="24"/>
        <v>1.0761231789008818</v>
      </c>
      <c r="AC111" s="19">
        <f t="shared" si="25"/>
        <v>0.75939214652426301</v>
      </c>
      <c r="AD111" s="17">
        <f t="shared" si="26"/>
        <v>0.13911431465157931</v>
      </c>
      <c r="AE111" s="17">
        <f t="shared" si="27"/>
        <v>0.11879253683450075</v>
      </c>
      <c r="AF111" s="19">
        <f t="shared" si="28"/>
        <v>0.40320635959293216</v>
      </c>
      <c r="AG111" s="19">
        <f t="shared" si="29"/>
        <v>5.6752898648002477</v>
      </c>
      <c r="AH111" s="19">
        <f t="shared" si="30"/>
        <v>0.54211429232466146</v>
      </c>
      <c r="AI111" s="19">
        <f t="shared" si="31"/>
        <v>7.5909090909090908</v>
      </c>
      <c r="AJ111" s="19">
        <f t="shared" si="32"/>
        <v>1.0691329279438122</v>
      </c>
    </row>
  </sheetData>
  <mergeCells count="66">
    <mergeCell ref="C37:C41"/>
    <mergeCell ref="C97:C101"/>
    <mergeCell ref="C102:C106"/>
    <mergeCell ref="C107:C111"/>
    <mergeCell ref="C72:C76"/>
    <mergeCell ref="C77:C81"/>
    <mergeCell ref="C82:C86"/>
    <mergeCell ref="C87:C91"/>
    <mergeCell ref="C92:C96"/>
    <mergeCell ref="D12:D16"/>
    <mergeCell ref="D17:D21"/>
    <mergeCell ref="D22:D26"/>
    <mergeCell ref="D27:D31"/>
    <mergeCell ref="C67:C71"/>
    <mergeCell ref="C42:C46"/>
    <mergeCell ref="C47:C51"/>
    <mergeCell ref="D67:D71"/>
    <mergeCell ref="C57:C61"/>
    <mergeCell ref="C62:C66"/>
    <mergeCell ref="C12:C16"/>
    <mergeCell ref="C17:C21"/>
    <mergeCell ref="C22:C26"/>
    <mergeCell ref="C27:C31"/>
    <mergeCell ref="C52:C56"/>
    <mergeCell ref="C32:C36"/>
    <mergeCell ref="D32:D36"/>
    <mergeCell ref="D37:D41"/>
    <mergeCell ref="D42:D46"/>
    <mergeCell ref="D47:D51"/>
    <mergeCell ref="D52:D56"/>
    <mergeCell ref="D107:D111"/>
    <mergeCell ref="A12:A16"/>
    <mergeCell ref="A17:A21"/>
    <mergeCell ref="A22:A26"/>
    <mergeCell ref="A27:A31"/>
    <mergeCell ref="A32:A36"/>
    <mergeCell ref="A37:A41"/>
    <mergeCell ref="D82:D86"/>
    <mergeCell ref="D87:D91"/>
    <mergeCell ref="D92:D96"/>
    <mergeCell ref="D97:D101"/>
    <mergeCell ref="D102:D106"/>
    <mergeCell ref="D57:D61"/>
    <mergeCell ref="D62:D66"/>
    <mergeCell ref="D72:D76"/>
    <mergeCell ref="D77:D81"/>
    <mergeCell ref="A97:A101"/>
    <mergeCell ref="A102:A106"/>
    <mergeCell ref="A107:A111"/>
    <mergeCell ref="A2:A6"/>
    <mergeCell ref="A67:A71"/>
    <mergeCell ref="A72:A76"/>
    <mergeCell ref="A77:A81"/>
    <mergeCell ref="A82:A86"/>
    <mergeCell ref="A87:A91"/>
    <mergeCell ref="A92:A96"/>
    <mergeCell ref="A42:A46"/>
    <mergeCell ref="A47:A51"/>
    <mergeCell ref="A52:A56"/>
    <mergeCell ref="A57:A61"/>
    <mergeCell ref="A62:A66"/>
    <mergeCell ref="C2:C6"/>
    <mergeCell ref="D2:D6"/>
    <mergeCell ref="A7:A11"/>
    <mergeCell ref="C7:C11"/>
    <mergeCell ref="D7:D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736B-BD94-4DBE-8F11-7D190B1B95F1}">
  <dimension ref="A1:B5"/>
  <sheetViews>
    <sheetView workbookViewId="0">
      <selection activeCell="G21" sqref="G21"/>
    </sheetView>
  </sheetViews>
  <sheetFormatPr defaultRowHeight="14.5" x14ac:dyDescent="0.35"/>
  <sheetData>
    <row r="1" spans="1:2" x14ac:dyDescent="0.35">
      <c r="A1">
        <v>2019</v>
      </c>
      <c r="B1">
        <v>13882.5</v>
      </c>
    </row>
    <row r="2" spans="1:2" x14ac:dyDescent="0.35">
      <c r="A2">
        <v>2020</v>
      </c>
      <c r="B2">
        <v>14040</v>
      </c>
    </row>
    <row r="3" spans="1:2" x14ac:dyDescent="0.35">
      <c r="A3">
        <v>2021</v>
      </c>
      <c r="B3">
        <v>14250</v>
      </c>
    </row>
    <row r="4" spans="1:2" x14ac:dyDescent="0.35">
      <c r="A4">
        <v>2022</v>
      </c>
      <c r="B4">
        <v>15565</v>
      </c>
    </row>
    <row r="5" spans="1:2" x14ac:dyDescent="0.35">
      <c r="A5">
        <v>2023</v>
      </c>
      <c r="B5">
        <v>15395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ABD2-5201-4AB1-854E-E264623C0930}">
  <dimension ref="A1:J36"/>
  <sheetViews>
    <sheetView tabSelected="1" topLeftCell="A20" workbookViewId="0">
      <selection activeCell="N32" sqref="N32"/>
    </sheetView>
  </sheetViews>
  <sheetFormatPr defaultRowHeight="14.5" x14ac:dyDescent="0.35"/>
  <sheetData>
    <row r="1" spans="1:10" x14ac:dyDescent="0.35">
      <c r="A1" t="s">
        <v>99</v>
      </c>
    </row>
    <row r="2" spans="1:10" x14ac:dyDescent="0.35">
      <c r="A2" t="s">
        <v>100</v>
      </c>
      <c r="B2" t="s">
        <v>91</v>
      </c>
      <c r="C2" t="s">
        <v>101</v>
      </c>
      <c r="D2" t="s">
        <v>102</v>
      </c>
      <c r="E2" t="s">
        <v>103</v>
      </c>
      <c r="F2" t="s">
        <v>104</v>
      </c>
      <c r="I2" t="s">
        <v>106</v>
      </c>
      <c r="J2" t="s">
        <v>107</v>
      </c>
    </row>
    <row r="3" spans="1:10" x14ac:dyDescent="0.35">
      <c r="A3" t="s">
        <v>46</v>
      </c>
      <c r="B3">
        <v>0</v>
      </c>
      <c r="C3" s="34">
        <v>2.9499999999999998E-2</v>
      </c>
      <c r="D3" s="34">
        <v>6.1000000000000004E-3</v>
      </c>
      <c r="E3" s="34">
        <v>-0.1164</v>
      </c>
      <c r="F3" s="34">
        <v>0.25140000000000001</v>
      </c>
      <c r="H3">
        <v>2019</v>
      </c>
      <c r="I3" t="s">
        <v>45</v>
      </c>
      <c r="J3" t="s">
        <v>33</v>
      </c>
    </row>
    <row r="4" spans="1:10" x14ac:dyDescent="0.35">
      <c r="A4" t="s">
        <v>105</v>
      </c>
      <c r="B4">
        <v>1</v>
      </c>
      <c r="C4" s="34">
        <v>-0.1308</v>
      </c>
      <c r="D4" s="34">
        <v>5.2200000000000003E-2</v>
      </c>
      <c r="E4" s="34">
        <v>-0.57599999999999996</v>
      </c>
      <c r="F4" s="34">
        <v>2.58E-2</v>
      </c>
      <c r="H4">
        <v>2020</v>
      </c>
      <c r="I4" t="s">
        <v>13</v>
      </c>
      <c r="J4" t="s">
        <v>33</v>
      </c>
    </row>
    <row r="5" spans="1:10" x14ac:dyDescent="0.35">
      <c r="A5" t="s">
        <v>105</v>
      </c>
      <c r="B5">
        <v>0</v>
      </c>
      <c r="C5" s="34">
        <v>-1.3299999999999999E-2</v>
      </c>
      <c r="D5" s="34">
        <v>6.1000000000000004E-3</v>
      </c>
      <c r="E5" s="34">
        <v>-0.15909999999999999</v>
      </c>
      <c r="F5" s="34">
        <v>0.1489</v>
      </c>
      <c r="H5">
        <v>2021</v>
      </c>
      <c r="I5" t="s">
        <v>15</v>
      </c>
      <c r="J5" t="s">
        <v>45</v>
      </c>
    </row>
    <row r="6" spans="1:10" x14ac:dyDescent="0.35">
      <c r="B6">
        <v>1</v>
      </c>
      <c r="C6" s="34">
        <v>-0.20080000000000001</v>
      </c>
      <c r="D6" s="34">
        <v>2.53E-2</v>
      </c>
      <c r="E6" s="34">
        <v>-0.45300000000000001</v>
      </c>
      <c r="F6" s="34">
        <v>-4.7000000000000002E-3</v>
      </c>
      <c r="H6">
        <v>2022</v>
      </c>
      <c r="I6" t="s">
        <v>17</v>
      </c>
      <c r="J6" t="s">
        <v>15</v>
      </c>
    </row>
    <row r="7" spans="1:10" x14ac:dyDescent="0.35">
      <c r="B7">
        <v>0</v>
      </c>
      <c r="C7" s="34">
        <v>0.157</v>
      </c>
      <c r="D7" s="34">
        <v>0.251</v>
      </c>
      <c r="E7" s="34">
        <v>-0.111</v>
      </c>
      <c r="F7" s="34">
        <v>2.0720000000000001</v>
      </c>
      <c r="H7">
        <v>2023</v>
      </c>
      <c r="I7" t="s">
        <v>13</v>
      </c>
      <c r="J7" t="s">
        <v>29</v>
      </c>
    </row>
    <row r="8" spans="1:10" x14ac:dyDescent="0.35">
      <c r="B8">
        <v>1</v>
      </c>
      <c r="C8" s="34">
        <v>-0.219</v>
      </c>
      <c r="D8" s="34">
        <v>7.6999999999999999E-2</v>
      </c>
      <c r="E8" s="34">
        <v>-0.57999999999999996</v>
      </c>
      <c r="F8" s="34">
        <v>3.0000000000000001E-3</v>
      </c>
    </row>
    <row r="9" spans="1:10" x14ac:dyDescent="0.35">
      <c r="B9">
        <v>0</v>
      </c>
      <c r="C9" s="34">
        <v>4.8300000000000003E-2</v>
      </c>
      <c r="D9" s="34">
        <v>2.0899999999999998E-2</v>
      </c>
      <c r="E9" s="34">
        <v>-0.2039</v>
      </c>
      <c r="F9" s="34">
        <v>0.32100000000000001</v>
      </c>
    </row>
    <row r="10" spans="1:10" x14ac:dyDescent="0.35">
      <c r="B10">
        <v>1</v>
      </c>
      <c r="C10" s="34">
        <v>-2E-3</v>
      </c>
      <c r="D10" s="34">
        <v>0.1</v>
      </c>
      <c r="E10" s="34">
        <v>-0.38</v>
      </c>
      <c r="F10" s="34">
        <v>0.59899999999999998</v>
      </c>
    </row>
    <row r="11" spans="1:10" x14ac:dyDescent="0.35">
      <c r="B11">
        <v>0</v>
      </c>
      <c r="C11" s="34">
        <v>5.8099999999999999E-2</v>
      </c>
      <c r="D11" s="34">
        <v>8.8999999999999999E-3</v>
      </c>
      <c r="E11" s="34">
        <v>-5.8799999999999998E-2</v>
      </c>
      <c r="F11" s="34">
        <v>0.27610000000000001</v>
      </c>
    </row>
    <row r="12" spans="1:10" x14ac:dyDescent="0.35">
      <c r="B12">
        <v>1</v>
      </c>
      <c r="C12" s="34">
        <v>-2.81E-2</v>
      </c>
      <c r="D12" s="34">
        <v>1.7899999999999999E-2</v>
      </c>
      <c r="E12" s="34">
        <v>-0.1767</v>
      </c>
      <c r="F12" s="34">
        <v>8.2900000000000001E-2</v>
      </c>
    </row>
    <row r="14" spans="1:10" x14ac:dyDescent="0.35">
      <c r="C14" t="s">
        <v>101</v>
      </c>
      <c r="D14" t="s">
        <v>102</v>
      </c>
      <c r="E14" t="s">
        <v>103</v>
      </c>
      <c r="F14" t="s">
        <v>104</v>
      </c>
      <c r="I14" t="s">
        <v>106</v>
      </c>
      <c r="J14" t="s">
        <v>107</v>
      </c>
    </row>
    <row r="15" spans="1:10" x14ac:dyDescent="0.35">
      <c r="A15" t="s">
        <v>47</v>
      </c>
      <c r="B15">
        <v>0</v>
      </c>
      <c r="C15" s="34">
        <v>0.38529999999999998</v>
      </c>
      <c r="D15" s="34">
        <v>4.1399999999999999E-2</v>
      </c>
      <c r="E15" s="34">
        <v>3.0300000000000001E-2</v>
      </c>
      <c r="F15" s="34">
        <v>0.72399999999999998</v>
      </c>
      <c r="H15">
        <v>2019</v>
      </c>
      <c r="I15" t="s">
        <v>23</v>
      </c>
      <c r="J15" t="s">
        <v>45</v>
      </c>
    </row>
    <row r="16" spans="1:10" x14ac:dyDescent="0.35">
      <c r="A16" t="s">
        <v>105</v>
      </c>
      <c r="B16">
        <v>1</v>
      </c>
      <c r="C16" s="34">
        <v>1.0860000000000001</v>
      </c>
      <c r="D16" s="34">
        <v>0.19400000000000001</v>
      </c>
      <c r="E16" s="34">
        <v>0.76500000000000001</v>
      </c>
      <c r="F16" s="34">
        <v>1.9470000000000001</v>
      </c>
      <c r="H16">
        <v>2020</v>
      </c>
      <c r="I16" t="s">
        <v>29</v>
      </c>
      <c r="J16" t="s">
        <v>45</v>
      </c>
    </row>
    <row r="17" spans="1:10" x14ac:dyDescent="0.35">
      <c r="A17" t="s">
        <v>105</v>
      </c>
      <c r="B17">
        <v>0</v>
      </c>
      <c r="C17" s="34">
        <v>0.41839999999999999</v>
      </c>
      <c r="D17" s="34">
        <v>4.4299999999999999E-2</v>
      </c>
      <c r="E17" s="34">
        <v>0.122</v>
      </c>
      <c r="F17" s="34">
        <v>0.72160000000000002</v>
      </c>
      <c r="H17">
        <v>2021</v>
      </c>
      <c r="I17" t="s">
        <v>21</v>
      </c>
      <c r="J17" t="s">
        <v>13</v>
      </c>
    </row>
    <row r="18" spans="1:10" x14ac:dyDescent="0.35">
      <c r="B18">
        <v>1</v>
      </c>
      <c r="C18" s="34">
        <v>1.4690000000000001</v>
      </c>
      <c r="D18" s="34">
        <v>0.71699999999999997</v>
      </c>
      <c r="E18" s="34">
        <v>0.84799999999999998</v>
      </c>
      <c r="F18" s="34">
        <v>3.1389999999999998</v>
      </c>
      <c r="H18">
        <v>2022</v>
      </c>
      <c r="I18" t="s">
        <v>23</v>
      </c>
      <c r="J18" t="s">
        <v>13</v>
      </c>
    </row>
    <row r="19" spans="1:10" x14ac:dyDescent="0.35">
      <c r="B19">
        <v>0</v>
      </c>
      <c r="C19" s="34">
        <v>0.38</v>
      </c>
      <c r="D19" s="34">
        <v>4.6600000000000003E-2</v>
      </c>
      <c r="E19" s="34">
        <v>9.6199999999999994E-2</v>
      </c>
      <c r="F19" s="34">
        <v>0.70730000000000004</v>
      </c>
      <c r="H19">
        <v>2023</v>
      </c>
      <c r="I19" t="s">
        <v>23</v>
      </c>
      <c r="J19" t="s">
        <v>13</v>
      </c>
    </row>
    <row r="20" spans="1:10" x14ac:dyDescent="0.35">
      <c r="B20">
        <v>1</v>
      </c>
      <c r="C20" s="34">
        <v>1.389</v>
      </c>
      <c r="D20" s="34">
        <v>0.26600000000000001</v>
      </c>
      <c r="E20" s="34">
        <v>0.84599999999999997</v>
      </c>
      <c r="F20" s="34">
        <v>2.0110000000000001</v>
      </c>
    </row>
    <row r="21" spans="1:10" x14ac:dyDescent="0.35">
      <c r="B21">
        <v>0</v>
      </c>
      <c r="C21" s="34">
        <v>0.31669999999999998</v>
      </c>
      <c r="D21" s="34">
        <v>3.0099999999999998E-2</v>
      </c>
      <c r="E21" s="34">
        <v>8.5300000000000001E-2</v>
      </c>
      <c r="F21" s="34">
        <v>0.66010000000000002</v>
      </c>
    </row>
    <row r="22" spans="1:10" x14ac:dyDescent="0.35">
      <c r="B22">
        <v>1</v>
      </c>
      <c r="C22" s="34">
        <v>1.155</v>
      </c>
      <c r="D22" s="34">
        <v>0.28100000000000003</v>
      </c>
      <c r="E22" s="34">
        <v>0.75800000000000001</v>
      </c>
      <c r="F22" s="34">
        <v>2.2719999999999998</v>
      </c>
    </row>
    <row r="23" spans="1:10" x14ac:dyDescent="0.35">
      <c r="B23">
        <v>0</v>
      </c>
      <c r="C23" s="34">
        <v>0.36680000000000001</v>
      </c>
      <c r="D23" s="34">
        <v>4.41E-2</v>
      </c>
      <c r="E23" s="34">
        <v>6.3700000000000007E-2</v>
      </c>
      <c r="F23" s="34">
        <v>0.75439999999999996</v>
      </c>
    </row>
    <row r="24" spans="1:10" x14ac:dyDescent="0.35">
      <c r="B24">
        <v>1</v>
      </c>
      <c r="C24" s="34">
        <v>1.429</v>
      </c>
      <c r="D24" s="34">
        <v>0.58499999999999996</v>
      </c>
      <c r="E24" s="34">
        <v>0.83499999999999996</v>
      </c>
      <c r="F24" s="34">
        <v>2.2919999999999998</v>
      </c>
    </row>
    <row r="26" spans="1:10" x14ac:dyDescent="0.35">
      <c r="C26" t="s">
        <v>101</v>
      </c>
      <c r="D26" t="s">
        <v>102</v>
      </c>
      <c r="E26" t="s">
        <v>103</v>
      </c>
      <c r="F26" t="s">
        <v>104</v>
      </c>
      <c r="I26" t="s">
        <v>106</v>
      </c>
      <c r="J26" t="s">
        <v>107</v>
      </c>
    </row>
    <row r="27" spans="1:10" x14ac:dyDescent="0.35">
      <c r="A27" t="s">
        <v>48</v>
      </c>
      <c r="B27">
        <v>0</v>
      </c>
      <c r="C27" s="34">
        <v>1.921</v>
      </c>
      <c r="D27" s="34">
        <v>3.0219999999999998</v>
      </c>
      <c r="E27" s="34">
        <v>0.24299999999999999</v>
      </c>
      <c r="F27" s="34">
        <v>5.782</v>
      </c>
      <c r="H27">
        <v>2019</v>
      </c>
      <c r="I27" t="s">
        <v>31</v>
      </c>
      <c r="J27" t="s">
        <v>29</v>
      </c>
    </row>
    <row r="28" spans="1:10" x14ac:dyDescent="0.35">
      <c r="A28" t="s">
        <v>105</v>
      </c>
      <c r="B28">
        <v>1</v>
      </c>
      <c r="C28" s="34">
        <v>0.443</v>
      </c>
      <c r="D28" s="34">
        <v>6.2E-2</v>
      </c>
      <c r="E28" s="34">
        <v>0.13300000000000001</v>
      </c>
      <c r="F28" s="34">
        <v>0.84399999999999997</v>
      </c>
      <c r="H28">
        <v>2020</v>
      </c>
      <c r="I28" t="s">
        <v>13</v>
      </c>
      <c r="J28" t="s">
        <v>29</v>
      </c>
    </row>
    <row r="29" spans="1:10" x14ac:dyDescent="0.35">
      <c r="B29">
        <v>0</v>
      </c>
      <c r="C29" s="34">
        <v>1.5509999999999999</v>
      </c>
      <c r="D29" s="34">
        <v>2.5110000000000001</v>
      </c>
      <c r="E29" s="34">
        <v>0.219</v>
      </c>
      <c r="F29" s="34">
        <v>6.7229999999999999</v>
      </c>
      <c r="H29">
        <v>2021</v>
      </c>
      <c r="I29" t="s">
        <v>13</v>
      </c>
      <c r="J29" t="s">
        <v>21</v>
      </c>
    </row>
    <row r="30" spans="1:10" x14ac:dyDescent="0.35">
      <c r="B30">
        <v>1</v>
      </c>
      <c r="C30" s="34">
        <v>0.28499999999999998</v>
      </c>
      <c r="D30" s="34">
        <v>0.09</v>
      </c>
      <c r="E30" s="34">
        <v>3.5000000000000003E-2</v>
      </c>
      <c r="F30" s="34">
        <v>0.86</v>
      </c>
      <c r="H30">
        <v>2022</v>
      </c>
      <c r="I30" t="s">
        <v>13</v>
      </c>
      <c r="J30" t="s">
        <v>45</v>
      </c>
    </row>
    <row r="31" spans="1:10" x14ac:dyDescent="0.35">
      <c r="B31">
        <v>0</v>
      </c>
      <c r="C31" s="34">
        <v>2.2530000000000001</v>
      </c>
      <c r="D31" s="34">
        <v>4.8920000000000003</v>
      </c>
      <c r="E31" s="34">
        <v>0.32</v>
      </c>
      <c r="F31" s="34">
        <v>7.8609999999999998</v>
      </c>
      <c r="H31">
        <v>2023</v>
      </c>
      <c r="I31" t="s">
        <v>13</v>
      </c>
      <c r="J31" t="s">
        <v>45</v>
      </c>
    </row>
    <row r="32" spans="1:10" x14ac:dyDescent="0.35">
      <c r="B32">
        <v>1</v>
      </c>
      <c r="C32" s="34">
        <v>0.255</v>
      </c>
      <c r="D32" s="34">
        <v>0.113</v>
      </c>
      <c r="E32" s="34">
        <v>2.5000000000000001E-2</v>
      </c>
      <c r="F32" s="34">
        <v>0.82599999999999996</v>
      </c>
    </row>
    <row r="33" spans="2:6" x14ac:dyDescent="0.35">
      <c r="B33">
        <v>0</v>
      </c>
      <c r="C33" s="34">
        <v>2.2429999999999999</v>
      </c>
      <c r="D33" s="34">
        <v>3.59</v>
      </c>
      <c r="E33" s="34">
        <v>0.46100000000000002</v>
      </c>
      <c r="F33" s="34">
        <v>7.6840000000000002</v>
      </c>
    </row>
    <row r="34" spans="2:6" x14ac:dyDescent="0.35">
      <c r="B34">
        <v>1</v>
      </c>
      <c r="C34" s="34">
        <v>0.49099999999999999</v>
      </c>
      <c r="D34" s="34">
        <v>0.14599999999999999</v>
      </c>
      <c r="E34" s="34">
        <v>3.9E-2</v>
      </c>
      <c r="F34" s="34">
        <v>1.1879999999999999</v>
      </c>
    </row>
    <row r="35" spans="2:6" x14ac:dyDescent="0.35">
      <c r="B35">
        <v>0</v>
      </c>
      <c r="C35" s="34">
        <v>1.8440000000000001</v>
      </c>
      <c r="D35" s="34">
        <v>2.6070000000000002</v>
      </c>
      <c r="E35" s="34">
        <v>0.30599999999999999</v>
      </c>
      <c r="F35" s="34">
        <v>7.5679999999999996</v>
      </c>
    </row>
    <row r="36" spans="2:6" x14ac:dyDescent="0.35">
      <c r="B36">
        <v>1</v>
      </c>
      <c r="C36" s="34">
        <v>0.35199999999999998</v>
      </c>
      <c r="D36" s="34">
        <v>0.23899999999999999</v>
      </c>
      <c r="E36" s="34">
        <v>3.9E-2</v>
      </c>
      <c r="F36" s="34">
        <v>0.91500000000000004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4111-A79C-407F-91AC-BAC301013D62}">
  <dimension ref="A1:G111"/>
  <sheetViews>
    <sheetView topLeftCell="A92" zoomScale="102" workbookViewId="0">
      <selection sqref="A1:G111"/>
    </sheetView>
  </sheetViews>
  <sheetFormatPr defaultRowHeight="14.5" x14ac:dyDescent="0.35"/>
  <cols>
    <col min="1" max="6" width="8.7265625" style="18"/>
    <col min="7" max="7" width="20.81640625" style="18" customWidth="1"/>
  </cols>
  <sheetData>
    <row r="1" spans="1:7" x14ac:dyDescent="0.35">
      <c r="A1" s="31" t="s">
        <v>0</v>
      </c>
      <c r="B1" s="33" t="s">
        <v>3</v>
      </c>
      <c r="C1" s="33" t="s">
        <v>46</v>
      </c>
      <c r="D1" s="33" t="s">
        <v>47</v>
      </c>
      <c r="E1" s="33" t="s">
        <v>48</v>
      </c>
      <c r="F1" s="33" t="s">
        <v>98</v>
      </c>
      <c r="G1" s="33" t="s">
        <v>91</v>
      </c>
    </row>
    <row r="2" spans="1:7" x14ac:dyDescent="0.35">
      <c r="A2" s="32">
        <v>1</v>
      </c>
      <c r="B2" s="18">
        <v>2019</v>
      </c>
      <c r="C2" s="19">
        <v>1.464784794301594E-2</v>
      </c>
      <c r="D2" s="19">
        <v>0.60035048024075821</v>
      </c>
      <c r="E2" s="19">
        <v>1.4927496930431572</v>
      </c>
      <c r="F2" s="18">
        <v>-0.99868635925173799</v>
      </c>
      <c r="G2" s="18" t="str">
        <f t="shared" ref="G2:G33" si="0">IF(F2&gt;0,"Financial Distress","Non-Financial Distress")</f>
        <v>Non-Financial Distress</v>
      </c>
    </row>
    <row r="3" spans="1:7" x14ac:dyDescent="0.35">
      <c r="A3" s="32">
        <v>2</v>
      </c>
      <c r="B3" s="18">
        <v>2019</v>
      </c>
      <c r="C3" s="19">
        <v>1.8892702805543019E-2</v>
      </c>
      <c r="D3" s="19">
        <v>0.72404814548892849</v>
      </c>
      <c r="E3" s="19">
        <v>0.5261140024422436</v>
      </c>
      <c r="F3" s="18">
        <v>-0.31149780553955991</v>
      </c>
      <c r="G3" s="18" t="str">
        <f t="shared" si="0"/>
        <v>Non-Financial Distress</v>
      </c>
    </row>
    <row r="4" spans="1:7" x14ac:dyDescent="0.35">
      <c r="A4" s="32">
        <v>3</v>
      </c>
      <c r="B4" s="18">
        <v>2019</v>
      </c>
      <c r="C4" s="19">
        <v>4.2511998431098728E-2</v>
      </c>
      <c r="D4" s="19">
        <v>0.27156781295593502</v>
      </c>
      <c r="E4" s="19">
        <v>1.2458743356137569</v>
      </c>
      <c r="F4" s="18">
        <v>-2.9906065364852492</v>
      </c>
      <c r="G4" s="18" t="str">
        <f t="shared" si="0"/>
        <v>Non-Financial Distress</v>
      </c>
    </row>
    <row r="5" spans="1:7" x14ac:dyDescent="0.35">
      <c r="A5" s="32">
        <v>4</v>
      </c>
      <c r="B5" s="18">
        <v>2019</v>
      </c>
      <c r="C5" s="19">
        <v>-1.2941239838013142E-2</v>
      </c>
      <c r="D5" s="19">
        <v>0.54530119274832023</v>
      </c>
      <c r="E5" s="19">
        <v>0.5456385956499773</v>
      </c>
      <c r="F5" s="18">
        <v>-1.1830132653759364</v>
      </c>
      <c r="G5" s="18" t="str">
        <f t="shared" si="0"/>
        <v>Non-Financial Distress</v>
      </c>
    </row>
    <row r="6" spans="1:7" x14ac:dyDescent="0.35">
      <c r="A6" s="32">
        <v>5</v>
      </c>
      <c r="B6" s="18">
        <v>2019</v>
      </c>
      <c r="C6" s="19">
        <v>1.5123562369371594E-2</v>
      </c>
      <c r="D6" s="19">
        <v>0.59246617624452658</v>
      </c>
      <c r="E6" s="19">
        <v>0.24300485016708945</v>
      </c>
      <c r="F6" s="18">
        <v>-1.0406092414809762</v>
      </c>
      <c r="G6" s="18" t="str">
        <f t="shared" si="0"/>
        <v>Non-Financial Distress</v>
      </c>
    </row>
    <row r="7" spans="1:7" x14ac:dyDescent="0.35">
      <c r="A7" s="32">
        <v>6</v>
      </c>
      <c r="B7" s="18">
        <v>2019</v>
      </c>
      <c r="C7" s="19">
        <v>-6.0223650454569309E-2</v>
      </c>
      <c r="D7" s="19">
        <v>0.92264759324134848</v>
      </c>
      <c r="E7" s="19">
        <v>0.4761584727875337</v>
      </c>
      <c r="F7" s="18">
        <v>1.1736003826279393</v>
      </c>
      <c r="G7" s="18" t="str">
        <f t="shared" si="0"/>
        <v>Financial Distress</v>
      </c>
    </row>
    <row r="8" spans="1:7" x14ac:dyDescent="0.35">
      <c r="A8" s="32">
        <v>7</v>
      </c>
      <c r="B8" s="18">
        <v>2019</v>
      </c>
      <c r="C8" s="19">
        <v>-1.0002414282489488E-2</v>
      </c>
      <c r="D8" s="19">
        <v>0.86925030039225648</v>
      </c>
      <c r="E8" s="19">
        <v>0.33390232757365712</v>
      </c>
      <c r="F8" s="18">
        <v>0.64427774227420465</v>
      </c>
      <c r="G8" s="18" t="str">
        <f t="shared" si="0"/>
        <v>Financial Distress</v>
      </c>
    </row>
    <row r="9" spans="1:7" x14ac:dyDescent="0.35">
      <c r="A9" s="32">
        <v>8</v>
      </c>
      <c r="B9" s="18">
        <v>2019</v>
      </c>
      <c r="C9" s="19">
        <v>0.1148400584891459</v>
      </c>
      <c r="D9" s="19">
        <v>0.35064154148071008</v>
      </c>
      <c r="E9" s="19">
        <v>4.5572327158489569</v>
      </c>
      <c r="F9" s="18">
        <v>-2.8812088007559584</v>
      </c>
      <c r="G9" s="18" t="str">
        <f t="shared" si="0"/>
        <v>Non-Financial Distress</v>
      </c>
    </row>
    <row r="10" spans="1:7" x14ac:dyDescent="0.35">
      <c r="A10" s="32">
        <v>9</v>
      </c>
      <c r="B10" s="18">
        <v>2019</v>
      </c>
      <c r="C10" s="19">
        <v>1.7931757559167924E-3</v>
      </c>
      <c r="D10" s="19">
        <v>0.86492058962640572</v>
      </c>
      <c r="E10" s="19">
        <v>0.84362692086165192</v>
      </c>
      <c r="F10" s="18">
        <v>0.56441691861845888</v>
      </c>
      <c r="G10" s="18" t="str">
        <f t="shared" si="0"/>
        <v>Financial Distress</v>
      </c>
    </row>
    <row r="11" spans="1:7" x14ac:dyDescent="0.35">
      <c r="A11" s="32">
        <v>10</v>
      </c>
      <c r="B11" s="18">
        <v>2019</v>
      </c>
      <c r="C11" s="19">
        <v>1.5916204101302112E-2</v>
      </c>
      <c r="D11" s="19">
        <v>0.30713686990623812</v>
      </c>
      <c r="E11" s="19">
        <v>0.80279239236269251</v>
      </c>
      <c r="F11" s="18">
        <v>-2.6668107144811009</v>
      </c>
      <c r="G11" s="18" t="str">
        <f t="shared" si="0"/>
        <v>Non-Financial Distress</v>
      </c>
    </row>
    <row r="12" spans="1:7" x14ac:dyDescent="0.35">
      <c r="A12" s="32">
        <v>11</v>
      </c>
      <c r="B12" s="18">
        <v>2019</v>
      </c>
      <c r="C12" s="19">
        <v>3.8443681509787841E-3</v>
      </c>
      <c r="D12" s="19">
        <v>3.0345219999616927E-2</v>
      </c>
      <c r="E12" s="19">
        <v>4.3510998256695279</v>
      </c>
      <c r="F12" s="18">
        <v>-4.1984235283902214</v>
      </c>
      <c r="G12" s="18" t="str">
        <f t="shared" si="0"/>
        <v>Non-Financial Distress</v>
      </c>
    </row>
    <row r="13" spans="1:7" x14ac:dyDescent="0.35">
      <c r="A13" s="32">
        <v>12</v>
      </c>
      <c r="B13" s="18">
        <v>2019</v>
      </c>
      <c r="C13" s="19">
        <v>-2.2657987086476237E-2</v>
      </c>
      <c r="D13" s="19">
        <v>0.13700458650192654</v>
      </c>
      <c r="E13" s="19">
        <v>2.2800336568307462</v>
      </c>
      <c r="F13" s="18">
        <v>-3.4648155921616151</v>
      </c>
      <c r="G13" s="18" t="str">
        <f t="shared" si="0"/>
        <v>Non-Financial Distress</v>
      </c>
    </row>
    <row r="14" spans="1:7" x14ac:dyDescent="0.35">
      <c r="A14" s="32">
        <v>13</v>
      </c>
      <c r="B14" s="18">
        <v>2019</v>
      </c>
      <c r="C14" s="19">
        <v>-9.1679247808253584E-3</v>
      </c>
      <c r="D14" s="19">
        <v>0.33266368053486417</v>
      </c>
      <c r="E14" s="19">
        <v>1.5877997407103965</v>
      </c>
      <c r="F14" s="18">
        <v>-2.4117793126694838</v>
      </c>
      <c r="G14" s="18" t="str">
        <f t="shared" si="0"/>
        <v>Non-Financial Distress</v>
      </c>
    </row>
    <row r="15" spans="1:7" x14ac:dyDescent="0.35">
      <c r="A15" s="32">
        <v>14</v>
      </c>
      <c r="B15" s="18">
        <v>2019</v>
      </c>
      <c r="C15" s="19">
        <v>9.9236661194124984E-2</v>
      </c>
      <c r="D15" s="19">
        <v>0.12405773591578501</v>
      </c>
      <c r="E15" s="19">
        <v>5.7815172184875818</v>
      </c>
      <c r="F15" s="18">
        <v>-4.1024572385772933</v>
      </c>
      <c r="G15" s="18" t="str">
        <f t="shared" si="0"/>
        <v>Non-Financial Distress</v>
      </c>
    </row>
    <row r="16" spans="1:7" x14ac:dyDescent="0.35">
      <c r="A16" s="32">
        <v>15</v>
      </c>
      <c r="B16" s="18">
        <v>2019</v>
      </c>
      <c r="C16" s="19">
        <v>2.5758615460239338E-2</v>
      </c>
      <c r="D16" s="19">
        <v>1.1440831904206279</v>
      </c>
      <c r="E16" s="19">
        <v>0.13321685952066126</v>
      </c>
      <c r="F16" s="18">
        <v>2.0444669393886037</v>
      </c>
      <c r="G16" s="18" t="str">
        <f t="shared" si="0"/>
        <v>Financial Distress</v>
      </c>
    </row>
    <row r="17" spans="1:7" x14ac:dyDescent="0.35">
      <c r="A17" s="32">
        <v>16</v>
      </c>
      <c r="B17" s="18">
        <v>2019</v>
      </c>
      <c r="C17" s="19">
        <v>0.25137421303692137</v>
      </c>
      <c r="D17" s="19">
        <v>0.32033883217914505</v>
      </c>
      <c r="E17" s="19">
        <v>3.8760793232157047</v>
      </c>
      <c r="F17" s="18">
        <v>-3.6667519127831238</v>
      </c>
      <c r="G17" s="18" t="str">
        <f t="shared" si="0"/>
        <v>Non-Financial Distress</v>
      </c>
    </row>
    <row r="18" spans="1:7" x14ac:dyDescent="0.35">
      <c r="A18" s="32">
        <v>17</v>
      </c>
      <c r="B18" s="18">
        <v>2019</v>
      </c>
      <c r="C18" s="19">
        <v>-0.16630206065269706</v>
      </c>
      <c r="D18" s="19">
        <v>0.76491976759028779</v>
      </c>
      <c r="E18" s="19">
        <v>0.58038808329334612</v>
      </c>
      <c r="F18" s="18">
        <v>0.7561790075376924</v>
      </c>
      <c r="G18" s="18" t="str">
        <f t="shared" si="0"/>
        <v>Financial Distress</v>
      </c>
    </row>
    <row r="19" spans="1:7" x14ac:dyDescent="0.35">
      <c r="A19" s="32">
        <v>18</v>
      </c>
      <c r="B19" s="18">
        <v>2019</v>
      </c>
      <c r="C19" s="19">
        <v>-0.11642485838902265</v>
      </c>
      <c r="D19" s="19">
        <v>0.52279617478777329</v>
      </c>
      <c r="E19" s="19">
        <v>1.2684284613394321</v>
      </c>
      <c r="F19" s="18">
        <v>-0.84668885131593397</v>
      </c>
      <c r="G19" s="18" t="str">
        <f t="shared" si="0"/>
        <v>Non-Financial Distress</v>
      </c>
    </row>
    <row r="20" spans="1:7" x14ac:dyDescent="0.35">
      <c r="A20" s="32">
        <v>19</v>
      </c>
      <c r="B20" s="18">
        <v>2019</v>
      </c>
      <c r="C20" s="19">
        <v>-0.57603361675247067</v>
      </c>
      <c r="D20" s="19">
        <v>1.947413717684495</v>
      </c>
      <c r="E20" s="19">
        <v>0.29085996214888449</v>
      </c>
      <c r="F20" s="18">
        <v>9.3218387752855509</v>
      </c>
      <c r="G20" s="18" t="str">
        <f t="shared" si="0"/>
        <v>Financial Distress</v>
      </c>
    </row>
    <row r="21" spans="1:7" x14ac:dyDescent="0.35">
      <c r="A21" s="32">
        <v>20</v>
      </c>
      <c r="B21" s="18">
        <v>2019</v>
      </c>
      <c r="C21" s="19">
        <v>3.0805373052256311E-2</v>
      </c>
      <c r="D21" s="19">
        <v>0.63775189818229472</v>
      </c>
      <c r="E21" s="19">
        <v>0.52842356079852959</v>
      </c>
      <c r="F21" s="18">
        <v>-0.85534531305077532</v>
      </c>
      <c r="G21" s="18" t="str">
        <f t="shared" si="0"/>
        <v>Non-Financial Distress</v>
      </c>
    </row>
    <row r="22" spans="1:7" x14ac:dyDescent="0.35">
      <c r="A22" s="32">
        <v>21</v>
      </c>
      <c r="B22" s="18">
        <v>2019</v>
      </c>
      <c r="C22" s="19">
        <v>9.5867191286263531E-3</v>
      </c>
      <c r="D22" s="19">
        <v>0.23173237554506743</v>
      </c>
      <c r="E22" s="19">
        <v>1.131739024118591</v>
      </c>
      <c r="F22" s="18">
        <v>-3.0677836588035277</v>
      </c>
      <c r="G22" s="18" t="str">
        <f t="shared" si="0"/>
        <v>Non-Financial Distress</v>
      </c>
    </row>
    <row r="23" spans="1:7" x14ac:dyDescent="0.35">
      <c r="A23" s="32">
        <v>22</v>
      </c>
      <c r="B23" s="18">
        <v>2019</v>
      </c>
      <c r="C23" s="19">
        <v>1.6761556623515219E-2</v>
      </c>
      <c r="D23" s="19">
        <v>0.43669651433356149</v>
      </c>
      <c r="E23" s="19">
        <v>0.51580257878338975</v>
      </c>
      <c r="F23" s="18">
        <v>-1.9337086104567627</v>
      </c>
      <c r="G23" s="18" t="str">
        <f t="shared" si="0"/>
        <v>Non-Financial Distress</v>
      </c>
    </row>
    <row r="24" spans="1:7" x14ac:dyDescent="0.35">
      <c r="A24" s="32">
        <v>1</v>
      </c>
      <c r="B24" s="18">
        <v>2020</v>
      </c>
      <c r="C24" s="19">
        <v>1.0179594325865272E-2</v>
      </c>
      <c r="D24" s="19">
        <v>0.64296027162865832</v>
      </c>
      <c r="E24" s="19">
        <v>1.4362415709275964</v>
      </c>
      <c r="F24" s="18">
        <v>-0.73631409289719008</v>
      </c>
      <c r="G24" s="18" t="str">
        <f t="shared" si="0"/>
        <v>Non-Financial Distress</v>
      </c>
    </row>
    <row r="25" spans="1:7" x14ac:dyDescent="0.35">
      <c r="A25" s="32">
        <v>2</v>
      </c>
      <c r="B25" s="18">
        <v>2020</v>
      </c>
      <c r="C25" s="19">
        <v>1.235693642313776E-2</v>
      </c>
      <c r="D25" s="19">
        <v>0.72164975534286491</v>
      </c>
      <c r="E25" s="19">
        <v>0.43682512858745026</v>
      </c>
      <c r="F25" s="18">
        <v>-0.2952651939998403</v>
      </c>
      <c r="G25" s="18" t="str">
        <f t="shared" si="0"/>
        <v>Non-Financial Distress</v>
      </c>
    </row>
    <row r="26" spans="1:7" x14ac:dyDescent="0.35">
      <c r="A26" s="32">
        <v>3</v>
      </c>
      <c r="B26" s="18">
        <v>2020</v>
      </c>
      <c r="C26" s="19">
        <v>-2.2498336576538023E-2</v>
      </c>
      <c r="D26" s="19">
        <v>0.27816893543931615</v>
      </c>
      <c r="E26" s="19">
        <v>1.940418588950152</v>
      </c>
      <c r="F26" s="18">
        <v>-2.6625052970260081</v>
      </c>
      <c r="G26" s="18" t="str">
        <f t="shared" si="0"/>
        <v>Non-Financial Distress</v>
      </c>
    </row>
    <row r="27" spans="1:7" x14ac:dyDescent="0.35">
      <c r="A27" s="32">
        <v>4</v>
      </c>
      <c r="B27" s="18">
        <v>2020</v>
      </c>
      <c r="C27" s="19">
        <v>-1.236727331653749E-2</v>
      </c>
      <c r="D27" s="19">
        <v>0.57751407218063788</v>
      </c>
      <c r="E27" s="19">
        <v>0.48014889083860968</v>
      </c>
      <c r="F27" s="18">
        <v>-1.0024046751719777</v>
      </c>
      <c r="G27" s="18" t="str">
        <f t="shared" si="0"/>
        <v>Non-Financial Distress</v>
      </c>
    </row>
    <row r="28" spans="1:7" x14ac:dyDescent="0.35">
      <c r="A28" s="32">
        <v>5</v>
      </c>
      <c r="B28" s="18">
        <v>2020</v>
      </c>
      <c r="C28" s="19">
        <v>5.8106657572967813E-3</v>
      </c>
      <c r="D28" s="19">
        <v>0.58145738208557896</v>
      </c>
      <c r="E28" s="19">
        <v>0.21853663723878694</v>
      </c>
      <c r="F28" s="18">
        <v>-1.0610012082476326</v>
      </c>
      <c r="G28" s="18" t="str">
        <f t="shared" si="0"/>
        <v>Non-Financial Distress</v>
      </c>
    </row>
    <row r="29" spans="1:7" x14ac:dyDescent="0.35">
      <c r="A29" s="32">
        <v>6</v>
      </c>
      <c r="B29" s="18">
        <v>2020</v>
      </c>
      <c r="C29" s="19">
        <v>-0.45301909158921821</v>
      </c>
      <c r="D29" s="19">
        <v>1.4786455227352726</v>
      </c>
      <c r="E29" s="19">
        <v>3.4830765942347568E-2</v>
      </c>
      <c r="F29" s="18">
        <v>6.105563760891985</v>
      </c>
      <c r="G29" s="18" t="str">
        <f t="shared" si="0"/>
        <v>Financial Distress</v>
      </c>
    </row>
    <row r="30" spans="1:7" x14ac:dyDescent="0.35">
      <c r="A30" s="32">
        <v>7</v>
      </c>
      <c r="B30" s="18">
        <v>2020</v>
      </c>
      <c r="C30" s="19">
        <v>-0.22953084765504153</v>
      </c>
      <c r="D30" s="19">
        <v>1.1800767168900013</v>
      </c>
      <c r="E30" s="19">
        <v>0.12492955585052921</v>
      </c>
      <c r="F30" s="18">
        <v>3.4010286724621173</v>
      </c>
      <c r="G30" s="18" t="str">
        <f t="shared" si="0"/>
        <v>Financial Distress</v>
      </c>
    </row>
    <row r="31" spans="1:7" x14ac:dyDescent="0.35">
      <c r="A31" s="32">
        <v>8</v>
      </c>
      <c r="B31" s="18">
        <v>2020</v>
      </c>
      <c r="C31" s="19">
        <v>1.9709919763520097E-2</v>
      </c>
      <c r="D31" s="19">
        <v>0.60649751549131103</v>
      </c>
      <c r="E31" s="19">
        <v>2.1077680520676774</v>
      </c>
      <c r="F31" s="18">
        <v>-0.98908254962588182</v>
      </c>
      <c r="G31" s="18" t="str">
        <f t="shared" si="0"/>
        <v>Non-Financial Distress</v>
      </c>
    </row>
    <row r="32" spans="1:7" x14ac:dyDescent="0.35">
      <c r="A32" s="32">
        <v>9</v>
      </c>
      <c r="B32" s="18">
        <v>2020</v>
      </c>
      <c r="C32" s="19">
        <v>-4.7233008234567461E-3</v>
      </c>
      <c r="D32" s="19">
        <v>0.84753019178558686</v>
      </c>
      <c r="E32" s="19">
        <v>0.85957781857338433</v>
      </c>
      <c r="F32" s="18">
        <v>0.49500190449231413</v>
      </c>
      <c r="G32" s="18" t="str">
        <f t="shared" si="0"/>
        <v>Financial Distress</v>
      </c>
    </row>
    <row r="33" spans="1:7" x14ac:dyDescent="0.35">
      <c r="A33" s="32">
        <v>10</v>
      </c>
      <c r="B33" s="18">
        <v>2020</v>
      </c>
      <c r="C33" s="19">
        <v>3.6826469624073731E-2</v>
      </c>
      <c r="D33" s="19">
        <v>0.18803608714601963</v>
      </c>
      <c r="E33" s="19">
        <v>1.7134333777211035</v>
      </c>
      <c r="F33" s="18">
        <v>-3.4411946520220837</v>
      </c>
      <c r="G33" s="18" t="str">
        <f t="shared" si="0"/>
        <v>Non-Financial Distress</v>
      </c>
    </row>
    <row r="34" spans="1:7" x14ac:dyDescent="0.35">
      <c r="A34" s="32">
        <v>11</v>
      </c>
      <c r="B34" s="18">
        <v>2020</v>
      </c>
      <c r="C34" s="19">
        <v>-2.2988175971638047E-2</v>
      </c>
      <c r="D34" s="19">
        <v>0.12544945139809105</v>
      </c>
      <c r="E34" s="19">
        <v>2.1516957517081972</v>
      </c>
      <c r="F34" s="18">
        <v>-3.5284337103570715</v>
      </c>
      <c r="G34" s="18" t="str">
        <f t="shared" ref="G34:G65" si="1">IF(F34&gt;0,"Financial Distress","Non-Financial Distress")</f>
        <v>Non-Financial Distress</v>
      </c>
    </row>
    <row r="35" spans="1:7" x14ac:dyDescent="0.35">
      <c r="A35" s="32">
        <v>12</v>
      </c>
      <c r="B35" s="18">
        <v>2020</v>
      </c>
      <c r="C35" s="19">
        <v>-0.15905985594692443</v>
      </c>
      <c r="D35" s="19">
        <v>0.19353452130139071</v>
      </c>
      <c r="E35" s="19">
        <v>0.79942377242682172</v>
      </c>
      <c r="F35" s="18">
        <v>-2.5222780187306397</v>
      </c>
      <c r="G35" s="18" t="str">
        <f t="shared" si="1"/>
        <v>Non-Financial Distress</v>
      </c>
    </row>
    <row r="36" spans="1:7" x14ac:dyDescent="0.35">
      <c r="A36" s="32">
        <v>13</v>
      </c>
      <c r="B36" s="18">
        <v>2020</v>
      </c>
      <c r="C36" s="19">
        <v>-5.7464796648434471E-2</v>
      </c>
      <c r="D36" s="19">
        <v>0.32071858798987307</v>
      </c>
      <c r="E36" s="19">
        <v>1.1712078230074563</v>
      </c>
      <c r="F36" s="18">
        <v>-2.259985342823156</v>
      </c>
      <c r="G36" s="18" t="str">
        <f t="shared" si="1"/>
        <v>Non-Financial Distress</v>
      </c>
    </row>
    <row r="37" spans="1:7" x14ac:dyDescent="0.35">
      <c r="A37" s="32">
        <v>14</v>
      </c>
      <c r="B37" s="18">
        <v>2020</v>
      </c>
      <c r="C37" s="19">
        <v>7.7359723653943169E-2</v>
      </c>
      <c r="D37" s="19">
        <v>0.12199439987768435</v>
      </c>
      <c r="E37" s="19">
        <v>6.7234066289247219</v>
      </c>
      <c r="F37" s="18">
        <v>-4.0192118624605753</v>
      </c>
      <c r="G37" s="18" t="str">
        <f t="shared" si="1"/>
        <v>Non-Financial Distress</v>
      </c>
    </row>
    <row r="38" spans="1:7" x14ac:dyDescent="0.35">
      <c r="A38" s="32">
        <v>15</v>
      </c>
      <c r="B38" s="18">
        <v>2020</v>
      </c>
      <c r="C38" s="19">
        <v>-5.4605969346427738E-2</v>
      </c>
      <c r="D38" s="19">
        <v>1.2139496583689211</v>
      </c>
      <c r="E38" s="19">
        <v>0.11193594969721875</v>
      </c>
      <c r="F38" s="18">
        <v>2.804009105738742</v>
      </c>
      <c r="G38" s="18" t="str">
        <f t="shared" si="1"/>
        <v>Financial Distress</v>
      </c>
    </row>
    <row r="39" spans="1:7" x14ac:dyDescent="0.35">
      <c r="A39" s="32">
        <v>16</v>
      </c>
      <c r="B39" s="18">
        <v>2020</v>
      </c>
      <c r="C39" s="19">
        <v>0.14890969827224557</v>
      </c>
      <c r="D39" s="19">
        <v>0.3442532419957241</v>
      </c>
      <c r="E39" s="19">
        <v>2.8612024923912394</v>
      </c>
      <c r="F39" s="18">
        <v>-3.0644601169784917</v>
      </c>
      <c r="G39" s="18" t="str">
        <f t="shared" si="1"/>
        <v>Non-Financial Distress</v>
      </c>
    </row>
    <row r="40" spans="1:7" x14ac:dyDescent="0.35">
      <c r="A40" s="32">
        <v>17</v>
      </c>
      <c r="B40" s="18">
        <v>2020</v>
      </c>
      <c r="C40" s="19">
        <v>-0.2443411929062197</v>
      </c>
      <c r="D40" s="19">
        <v>0.9563340867565765</v>
      </c>
      <c r="E40" s="19">
        <v>0.30211904631476205</v>
      </c>
      <c r="F40" s="18">
        <v>2.1965246060911086</v>
      </c>
      <c r="G40" s="18" t="str">
        <f t="shared" si="1"/>
        <v>Financial Distress</v>
      </c>
    </row>
    <row r="41" spans="1:7" x14ac:dyDescent="0.35">
      <c r="A41" s="32">
        <v>18</v>
      </c>
      <c r="B41" s="18">
        <v>2020</v>
      </c>
      <c r="C41" s="19">
        <v>-4.0423298581432881E-3</v>
      </c>
      <c r="D41" s="19">
        <v>0.57890286400902746</v>
      </c>
      <c r="E41" s="19">
        <v>1.2944742552517667</v>
      </c>
      <c r="F41" s="18">
        <v>-1.0353454976639398</v>
      </c>
      <c r="G41" s="18" t="str">
        <f t="shared" si="1"/>
        <v>Non-Financial Distress</v>
      </c>
    </row>
    <row r="42" spans="1:7" x14ac:dyDescent="0.35">
      <c r="A42" s="32">
        <v>19</v>
      </c>
      <c r="B42" s="18">
        <v>2020</v>
      </c>
      <c r="C42" s="19">
        <v>-0.21870714526916241</v>
      </c>
      <c r="D42" s="19">
        <v>3.1386009733346625</v>
      </c>
      <c r="E42" s="19">
        <v>0.27480346982987686</v>
      </c>
      <c r="F42" s="18">
        <v>14.474041060287959</v>
      </c>
      <c r="G42" s="18" t="str">
        <f t="shared" si="1"/>
        <v>Financial Distress</v>
      </c>
    </row>
    <row r="43" spans="1:7" x14ac:dyDescent="0.35">
      <c r="A43" s="32">
        <v>20</v>
      </c>
      <c r="B43" s="18">
        <v>2020</v>
      </c>
      <c r="C43" s="19">
        <v>1.3607885244876258E-2</v>
      </c>
      <c r="D43" s="19">
        <v>0.68440646957029372</v>
      </c>
      <c r="E43" s="19">
        <v>0.45434748415481646</v>
      </c>
      <c r="F43" s="18">
        <v>-0.51248543535704794</v>
      </c>
      <c r="G43" s="18" t="str">
        <f t="shared" si="1"/>
        <v>Non-Financial Distress</v>
      </c>
    </row>
    <row r="44" spans="1:7" x14ac:dyDescent="0.35">
      <c r="A44" s="32">
        <v>21</v>
      </c>
      <c r="B44" s="18">
        <v>2020</v>
      </c>
      <c r="C44" s="19">
        <v>-0.10728985084419344</v>
      </c>
      <c r="D44" s="19">
        <v>0.26294439680590087</v>
      </c>
      <c r="E44" s="19">
        <v>0.66001825458695929</v>
      </c>
      <c r="F44" s="18">
        <v>-2.361179746697792</v>
      </c>
      <c r="G44" s="18" t="str">
        <f t="shared" si="1"/>
        <v>Non-Financial Distress</v>
      </c>
    </row>
    <row r="45" spans="1:7" x14ac:dyDescent="0.35">
      <c r="A45" s="32">
        <v>22</v>
      </c>
      <c r="B45" s="18">
        <v>2020</v>
      </c>
      <c r="C45" s="19">
        <v>-0.15212212325954227</v>
      </c>
      <c r="D45" s="19">
        <v>0.46579861989916105</v>
      </c>
      <c r="E45" s="19">
        <v>0.36850712976609712</v>
      </c>
      <c r="F45" s="18">
        <v>-1.0056765238414145</v>
      </c>
      <c r="G45" s="18" t="str">
        <f t="shared" si="1"/>
        <v>Non-Financial Distress</v>
      </c>
    </row>
    <row r="46" spans="1:7" x14ac:dyDescent="0.35">
      <c r="A46" s="32">
        <v>1</v>
      </c>
      <c r="B46" s="18">
        <v>2021</v>
      </c>
      <c r="C46" s="19">
        <v>8.7781627234987725E-2</v>
      </c>
      <c r="D46" s="19">
        <v>0.52632930014838153</v>
      </c>
      <c r="E46" s="19">
        <v>1.7867022852587651</v>
      </c>
      <c r="F46" s="18">
        <v>-1.7502811973098766</v>
      </c>
      <c r="G46" s="18" t="str">
        <f t="shared" si="1"/>
        <v>Non-Financial Distress</v>
      </c>
    </row>
    <row r="47" spans="1:7" x14ac:dyDescent="0.35">
      <c r="A47" s="32">
        <v>2</v>
      </c>
      <c r="B47" s="18">
        <v>2021</v>
      </c>
      <c r="C47" s="19">
        <v>2.6455975001441461E-2</v>
      </c>
      <c r="D47" s="19">
        <v>0.70730709868689157</v>
      </c>
      <c r="E47" s="19">
        <v>0.89774195226411879</v>
      </c>
      <c r="F47" s="18">
        <v>-0.44218976954770511</v>
      </c>
      <c r="G47" s="18" t="str">
        <f t="shared" si="1"/>
        <v>Non-Financial Distress</v>
      </c>
    </row>
    <row r="48" spans="1:7" x14ac:dyDescent="0.35">
      <c r="A48" s="32">
        <v>3</v>
      </c>
      <c r="B48" s="18">
        <v>2021</v>
      </c>
      <c r="C48" s="19">
        <v>1.3215851686620027E-3</v>
      </c>
      <c r="D48" s="19">
        <v>0.21984357099587354</v>
      </c>
      <c r="E48" s="19">
        <v>2.4184174245762695</v>
      </c>
      <c r="F48" s="18">
        <v>-3.1031463438789113</v>
      </c>
      <c r="G48" s="18" t="str">
        <f t="shared" si="1"/>
        <v>Non-Financial Distress</v>
      </c>
    </row>
    <row r="49" spans="1:7" x14ac:dyDescent="0.35">
      <c r="A49" s="32">
        <v>4</v>
      </c>
      <c r="B49" s="18">
        <v>2021</v>
      </c>
      <c r="C49" s="19">
        <v>8.382614753662003E-2</v>
      </c>
      <c r="D49" s="19">
        <v>0.54398371385488853</v>
      </c>
      <c r="E49" s="19">
        <v>1.3257784480256078</v>
      </c>
      <c r="F49" s="18">
        <v>-1.6303270066429567</v>
      </c>
      <c r="G49" s="18" t="str">
        <f t="shared" si="1"/>
        <v>Non-Financial Distress</v>
      </c>
    </row>
    <row r="50" spans="1:7" x14ac:dyDescent="0.35">
      <c r="A50" s="32">
        <v>5</v>
      </c>
      <c r="B50" s="18">
        <v>2021</v>
      </c>
      <c r="C50" s="19">
        <v>1.3950976648025777E-2</v>
      </c>
      <c r="D50" s="19">
        <v>0.70037289057677998</v>
      </c>
      <c r="E50" s="19">
        <v>0.32015757484399737</v>
      </c>
      <c r="F50" s="18">
        <v>-0.42282374232638253</v>
      </c>
      <c r="G50" s="18" t="str">
        <f t="shared" si="1"/>
        <v>Non-Financial Distress</v>
      </c>
    </row>
    <row r="51" spans="1:7" x14ac:dyDescent="0.35">
      <c r="A51" s="32">
        <v>6</v>
      </c>
      <c r="B51" s="18">
        <v>2021</v>
      </c>
      <c r="C51" s="19">
        <v>-0.4565734027770198</v>
      </c>
      <c r="D51" s="19">
        <v>2.0110361484640027</v>
      </c>
      <c r="E51" s="19">
        <v>2.5076305066265514E-2</v>
      </c>
      <c r="F51" s="18">
        <v>9.1450897486394975</v>
      </c>
      <c r="G51" s="18" t="str">
        <f t="shared" si="1"/>
        <v>Financial Distress</v>
      </c>
    </row>
    <row r="52" spans="1:7" x14ac:dyDescent="0.35">
      <c r="A52" s="32">
        <v>7</v>
      </c>
      <c r="B52" s="18">
        <v>2021</v>
      </c>
      <c r="C52" s="19">
        <v>-0.58030759593024162</v>
      </c>
      <c r="D52" s="19">
        <v>1.8494753267617414</v>
      </c>
      <c r="E52" s="19">
        <v>5.2973217567640979E-2</v>
      </c>
      <c r="F52" s="18">
        <v>8.7858866682428385</v>
      </c>
      <c r="G52" s="18" t="str">
        <f t="shared" si="1"/>
        <v>Financial Distress</v>
      </c>
    </row>
    <row r="53" spans="1:7" x14ac:dyDescent="0.35">
      <c r="A53" s="32">
        <v>8</v>
      </c>
      <c r="B53" s="18">
        <v>2021</v>
      </c>
      <c r="C53" s="19">
        <v>1.144639668243755E-2</v>
      </c>
      <c r="D53" s="19">
        <v>0.53176931722509424</v>
      </c>
      <c r="E53" s="19">
        <v>1.0266330369899566</v>
      </c>
      <c r="F53" s="18">
        <v>-1.3718461678544902</v>
      </c>
      <c r="G53" s="18" t="str">
        <f t="shared" si="1"/>
        <v>Non-Financial Distress</v>
      </c>
    </row>
    <row r="54" spans="1:7" x14ac:dyDescent="0.35">
      <c r="A54" s="32">
        <v>9</v>
      </c>
      <c r="B54" s="18">
        <v>2021</v>
      </c>
      <c r="C54" s="19">
        <v>-3.2647427810358182E-3</v>
      </c>
      <c r="D54" s="19">
        <v>0.84559126188711964</v>
      </c>
      <c r="E54" s="19">
        <v>0.82636870347434743</v>
      </c>
      <c r="F54" s="18">
        <v>0.47754108561387049</v>
      </c>
      <c r="G54" s="18" t="str">
        <f t="shared" si="1"/>
        <v>Financial Distress</v>
      </c>
    </row>
    <row r="55" spans="1:7" x14ac:dyDescent="0.35">
      <c r="A55" s="32">
        <v>10</v>
      </c>
      <c r="B55" s="18">
        <v>2021</v>
      </c>
      <c r="C55" s="19">
        <v>4.6677374405092273E-2</v>
      </c>
      <c r="D55" s="19">
        <v>9.6197640047530772E-2</v>
      </c>
      <c r="E55" s="19">
        <v>7.8606061980425119</v>
      </c>
      <c r="F55" s="18">
        <v>-4.0317910176524236</v>
      </c>
      <c r="G55" s="18" t="str">
        <f t="shared" si="1"/>
        <v>Non-Financial Distress</v>
      </c>
    </row>
    <row r="56" spans="1:7" x14ac:dyDescent="0.35">
      <c r="A56" s="32">
        <v>11</v>
      </c>
      <c r="B56" s="18">
        <v>2021</v>
      </c>
      <c r="C56" s="19">
        <v>-2.6618581333044865E-2</v>
      </c>
      <c r="D56" s="19">
        <v>9.9771312555939351E-2</v>
      </c>
      <c r="E56" s="19">
        <v>2.7957425022711746</v>
      </c>
      <c r="F56" s="18">
        <v>-3.6604520284478741</v>
      </c>
      <c r="G56" s="18" t="str">
        <f t="shared" si="1"/>
        <v>Non-Financial Distress</v>
      </c>
    </row>
    <row r="57" spans="1:7" x14ac:dyDescent="0.35">
      <c r="A57" s="32">
        <v>12</v>
      </c>
      <c r="B57" s="18">
        <v>2021</v>
      </c>
      <c r="C57" s="19">
        <v>-0.11058535182549811</v>
      </c>
      <c r="D57" s="19">
        <v>0.19764284029833923</v>
      </c>
      <c r="E57" s="19">
        <v>1.0062764419196226</v>
      </c>
      <c r="F57" s="18">
        <v>-2.7185397229249375</v>
      </c>
      <c r="G57" s="18" t="str">
        <f t="shared" si="1"/>
        <v>Non-Financial Distress</v>
      </c>
    </row>
    <row r="58" spans="1:7" x14ac:dyDescent="0.35">
      <c r="A58" s="32">
        <v>13</v>
      </c>
      <c r="B58" s="18">
        <v>2021</v>
      </c>
      <c r="C58" s="19">
        <v>-4.3765809449080192E-2</v>
      </c>
      <c r="D58" s="19">
        <v>0.32588441486932535</v>
      </c>
      <c r="E58" s="19">
        <v>1.0984408973818769</v>
      </c>
      <c r="F58" s="18">
        <v>-2.2921810735029307</v>
      </c>
      <c r="G58" s="18" t="str">
        <f t="shared" si="1"/>
        <v>Non-Financial Distress</v>
      </c>
    </row>
    <row r="59" spans="1:7" x14ac:dyDescent="0.35">
      <c r="A59" s="32">
        <v>14</v>
      </c>
      <c r="B59" s="18">
        <v>2021</v>
      </c>
      <c r="C59" s="19">
        <v>9.2997398474934365E-2</v>
      </c>
      <c r="D59" s="19">
        <v>0.11009542213450342</v>
      </c>
      <c r="E59" s="19">
        <v>3.8476762836036618</v>
      </c>
      <c r="F59" s="18">
        <v>-4.1458560621499485</v>
      </c>
      <c r="G59" s="18" t="str">
        <f t="shared" si="1"/>
        <v>Non-Financial Distress</v>
      </c>
    </row>
    <row r="60" spans="1:7" x14ac:dyDescent="0.35">
      <c r="A60" s="32">
        <v>15</v>
      </c>
      <c r="B60" s="18">
        <v>2021</v>
      </c>
      <c r="C60" s="19">
        <v>2.6525183636851852E-3</v>
      </c>
      <c r="D60" s="19">
        <v>1.2285135903413176</v>
      </c>
      <c r="E60" s="19">
        <v>8.3970231877589674E-2</v>
      </c>
      <c r="F60" s="18">
        <v>2.6284219832455209</v>
      </c>
      <c r="G60" s="18" t="str">
        <f t="shared" si="1"/>
        <v>Financial Distress</v>
      </c>
    </row>
    <row r="61" spans="1:7" x14ac:dyDescent="0.35">
      <c r="A61" s="32">
        <v>16</v>
      </c>
      <c r="B61" s="18">
        <v>2021</v>
      </c>
      <c r="C61" s="19">
        <v>0.178452821045606</v>
      </c>
      <c r="D61" s="19">
        <v>0.33041659447592836</v>
      </c>
      <c r="E61" s="19">
        <v>3.0649466223898334</v>
      </c>
      <c r="F61" s="18">
        <v>-3.2771815278395819</v>
      </c>
      <c r="G61" s="18" t="str">
        <f t="shared" si="1"/>
        <v>Non-Financial Distress</v>
      </c>
    </row>
    <row r="62" spans="1:7" x14ac:dyDescent="0.35">
      <c r="A62" s="32">
        <v>17</v>
      </c>
      <c r="B62" s="18">
        <v>2021</v>
      </c>
      <c r="C62" s="19">
        <v>-5.7576969839163238E-2</v>
      </c>
      <c r="D62" s="19">
        <v>1.0111984490957036</v>
      </c>
      <c r="E62" s="19">
        <v>0.28877793775019611</v>
      </c>
      <c r="F62" s="18">
        <v>1.6652857455476435</v>
      </c>
      <c r="G62" s="18" t="str">
        <f t="shared" si="1"/>
        <v>Financial Distress</v>
      </c>
    </row>
    <row r="63" spans="1:7" x14ac:dyDescent="0.35">
      <c r="A63" s="32">
        <v>18</v>
      </c>
      <c r="B63" s="18">
        <v>2021</v>
      </c>
      <c r="C63" s="19">
        <v>0.16772830994762911</v>
      </c>
      <c r="D63" s="19">
        <v>0.53955761945287484</v>
      </c>
      <c r="E63" s="19">
        <v>1.4477222453218528</v>
      </c>
      <c r="F63" s="18">
        <v>-2.0346010309020612</v>
      </c>
      <c r="G63" s="18" t="str">
        <f t="shared" si="1"/>
        <v>Non-Financial Distress</v>
      </c>
    </row>
    <row r="64" spans="1:7" x14ac:dyDescent="0.35">
      <c r="A64" s="32">
        <v>19</v>
      </c>
      <c r="B64" s="18">
        <v>2021</v>
      </c>
      <c r="C64" s="19">
        <v>2.0717665913393812</v>
      </c>
      <c r="D64" s="19">
        <v>0.16445686065305334</v>
      </c>
      <c r="E64" s="19">
        <v>7.1983547917850856</v>
      </c>
      <c r="F64" s="18">
        <v>-12.780725534233078</v>
      </c>
      <c r="G64" s="18" t="str">
        <f t="shared" si="1"/>
        <v>Non-Financial Distress</v>
      </c>
    </row>
    <row r="65" spans="1:7" x14ac:dyDescent="0.35">
      <c r="A65" s="32">
        <v>20</v>
      </c>
      <c r="B65" s="18">
        <v>2021</v>
      </c>
      <c r="C65" s="19">
        <v>0.17217510885873008</v>
      </c>
      <c r="D65" s="19">
        <v>0.61941709521989052</v>
      </c>
      <c r="E65" s="19">
        <v>1.1417295431272509</v>
      </c>
      <c r="F65" s="18">
        <v>-1.5999235006981991</v>
      </c>
      <c r="G65" s="18" t="str">
        <f t="shared" si="1"/>
        <v>Non-Financial Distress</v>
      </c>
    </row>
    <row r="66" spans="1:7" x14ac:dyDescent="0.35">
      <c r="A66" s="32">
        <v>21</v>
      </c>
      <c r="B66" s="18">
        <v>2021</v>
      </c>
      <c r="C66" s="19">
        <v>-6.4226405037191875E-2</v>
      </c>
      <c r="D66" s="19">
        <v>0.23538530770178842</v>
      </c>
      <c r="E66" s="19">
        <v>0.6470720112414502</v>
      </c>
      <c r="F66" s="18">
        <v>-2.7119813596736631</v>
      </c>
      <c r="G66" s="18" t="str">
        <f t="shared" ref="G66:G97" si="2">IF(F66&gt;0,"Financial Distress","Non-Financial Distress")</f>
        <v>Non-Financial Distress</v>
      </c>
    </row>
    <row r="67" spans="1:7" x14ac:dyDescent="0.35">
      <c r="A67" s="32">
        <v>22</v>
      </c>
      <c r="B67" s="18">
        <v>2021</v>
      </c>
      <c r="C67" s="19">
        <v>-4.3252996530454467E-2</v>
      </c>
      <c r="D67" s="19">
        <v>0.51230030455750153</v>
      </c>
      <c r="E67" s="19">
        <v>0.42279250871935725</v>
      </c>
      <c r="F67" s="18">
        <v>-1.2331369671108852</v>
      </c>
      <c r="G67" s="18" t="str">
        <f t="shared" si="2"/>
        <v>Non-Financial Distress</v>
      </c>
    </row>
    <row r="68" spans="1:7" x14ac:dyDescent="0.35">
      <c r="A68" s="32">
        <v>1</v>
      </c>
      <c r="B68" s="18">
        <v>2022</v>
      </c>
      <c r="C68" s="19">
        <v>0.12827720954223126</v>
      </c>
      <c r="D68" s="19">
        <v>0.51471224277594663</v>
      </c>
      <c r="E68" s="19">
        <v>1.5059859432496356</v>
      </c>
      <c r="F68" s="18">
        <v>-1.9978881637124875</v>
      </c>
      <c r="G68" s="18" t="str">
        <f t="shared" si="2"/>
        <v>Non-Financial Distress</v>
      </c>
    </row>
    <row r="69" spans="1:7" x14ac:dyDescent="0.35">
      <c r="A69" s="32">
        <v>2</v>
      </c>
      <c r="B69" s="18">
        <v>2022</v>
      </c>
      <c r="C69" s="19">
        <v>5.0964584112095238E-4</v>
      </c>
      <c r="D69" s="19">
        <v>0.66005658537549017</v>
      </c>
      <c r="E69" s="19">
        <v>0.86216764418726788</v>
      </c>
      <c r="F69" s="18">
        <v>-0.59328735391031906</v>
      </c>
      <c r="G69" s="18" t="str">
        <f t="shared" si="2"/>
        <v>Non-Financial Distress</v>
      </c>
    </row>
    <row r="70" spans="1:7" x14ac:dyDescent="0.35">
      <c r="A70" s="32">
        <v>3</v>
      </c>
      <c r="B70" s="18">
        <v>2022</v>
      </c>
      <c r="C70" s="19">
        <v>5.2809886902378589E-2</v>
      </c>
      <c r="D70" s="19">
        <v>0.22376805412902065</v>
      </c>
      <c r="E70" s="19">
        <v>1.5191301887644062</v>
      </c>
      <c r="F70" s="18">
        <v>-3.3096287609467843</v>
      </c>
      <c r="G70" s="18" t="str">
        <f t="shared" si="2"/>
        <v>Non-Financial Distress</v>
      </c>
    </row>
    <row r="71" spans="1:7" x14ac:dyDescent="0.35">
      <c r="A71" s="32">
        <v>4</v>
      </c>
      <c r="B71" s="18">
        <v>2022</v>
      </c>
      <c r="C71" s="19">
        <v>0.11800839701075191</v>
      </c>
      <c r="D71" s="19">
        <v>0.48372538620347838</v>
      </c>
      <c r="E71" s="19">
        <v>1.1505105179885833</v>
      </c>
      <c r="F71" s="18">
        <v>-2.1260974695319241</v>
      </c>
      <c r="G71" s="18" t="str">
        <f t="shared" si="2"/>
        <v>Non-Financial Distress</v>
      </c>
    </row>
    <row r="72" spans="1:7" x14ac:dyDescent="0.35">
      <c r="A72" s="32">
        <v>5</v>
      </c>
      <c r="B72" s="18">
        <v>2022</v>
      </c>
      <c r="C72" s="19">
        <v>1.4562884255244768E-2</v>
      </c>
      <c r="D72" s="19">
        <v>0.7853918983525322</v>
      </c>
      <c r="E72" s="19">
        <v>0.3895118485511137</v>
      </c>
      <c r="F72" s="18">
        <v>5.6960246705906326E-2</v>
      </c>
      <c r="G72" s="18" t="str">
        <f t="shared" si="2"/>
        <v>Financial Distress</v>
      </c>
    </row>
    <row r="73" spans="1:7" x14ac:dyDescent="0.35">
      <c r="A73" s="32">
        <v>6</v>
      </c>
      <c r="B73" s="18">
        <v>2022</v>
      </c>
      <c r="C73" s="19">
        <v>-0.30743855888380694</v>
      </c>
      <c r="D73" s="19">
        <v>2.2722333519316451</v>
      </c>
      <c r="E73" s="19">
        <v>3.8564816032336663E-2</v>
      </c>
      <c r="F73" s="18">
        <v>9.9553291625983054</v>
      </c>
      <c r="G73" s="18" t="str">
        <f t="shared" si="2"/>
        <v>Financial Distress</v>
      </c>
    </row>
    <row r="74" spans="1:7" x14ac:dyDescent="0.35">
      <c r="A74" s="32">
        <v>7</v>
      </c>
      <c r="B74" s="18">
        <v>2022</v>
      </c>
      <c r="C74" s="19">
        <v>0.59930452674187662</v>
      </c>
      <c r="D74" s="19">
        <v>1.24620632668817</v>
      </c>
      <c r="E74" s="19">
        <v>0.47658517773028342</v>
      </c>
      <c r="F74" s="18">
        <v>3.4638059365106416E-2</v>
      </c>
      <c r="G74" s="18" t="str">
        <f t="shared" si="2"/>
        <v>Financial Distress</v>
      </c>
    </row>
    <row r="75" spans="1:7" x14ac:dyDescent="0.35">
      <c r="A75" s="32">
        <v>8</v>
      </c>
      <c r="B75" s="18">
        <v>2022</v>
      </c>
      <c r="C75" s="19">
        <v>-0.37958593968588172</v>
      </c>
      <c r="D75" s="19">
        <v>0.7579944138202297</v>
      </c>
      <c r="E75" s="19">
        <v>0.49220467579625149</v>
      </c>
      <c r="F75" s="18">
        <v>1.6797528031842832</v>
      </c>
      <c r="G75" s="18" t="str">
        <f t="shared" si="2"/>
        <v>Financial Distress</v>
      </c>
    </row>
    <row r="76" spans="1:7" x14ac:dyDescent="0.35">
      <c r="A76" s="32">
        <v>9</v>
      </c>
      <c r="B76" s="18">
        <v>2022</v>
      </c>
      <c r="C76" s="19">
        <v>3.3933406835904537E-3</v>
      </c>
      <c r="D76" s="19">
        <v>0.83575490744990777</v>
      </c>
      <c r="E76" s="19">
        <v>0.71443255606661837</v>
      </c>
      <c r="F76" s="18">
        <v>0.39208024267871622</v>
      </c>
      <c r="G76" s="18" t="str">
        <f t="shared" si="2"/>
        <v>Financial Distress</v>
      </c>
    </row>
    <row r="77" spans="1:7" x14ac:dyDescent="0.35">
      <c r="A77" s="32">
        <v>10</v>
      </c>
      <c r="B77" s="18">
        <v>2022</v>
      </c>
      <c r="C77" s="19">
        <v>3.296730244594883E-2</v>
      </c>
      <c r="D77" s="19">
        <v>0.10745521231215636</v>
      </c>
      <c r="E77" s="19">
        <v>4.4278327571810445</v>
      </c>
      <c r="F77" s="18">
        <v>-3.892254616246555</v>
      </c>
      <c r="G77" s="18" t="str">
        <f t="shared" si="2"/>
        <v>Non-Financial Distress</v>
      </c>
    </row>
    <row r="78" spans="1:7" x14ac:dyDescent="0.35">
      <c r="A78" s="32">
        <v>11</v>
      </c>
      <c r="B78" s="18">
        <v>2022</v>
      </c>
      <c r="C78" s="19">
        <v>-1.3826747674748495E-3</v>
      </c>
      <c r="D78" s="19">
        <v>8.5301941280828977E-2</v>
      </c>
      <c r="E78" s="19">
        <v>2.4463486120346256</v>
      </c>
      <c r="F78" s="18">
        <v>-3.855115658688697</v>
      </c>
      <c r="G78" s="18" t="str">
        <f t="shared" si="2"/>
        <v>Non-Financial Distress</v>
      </c>
    </row>
    <row r="79" spans="1:7" x14ac:dyDescent="0.35">
      <c r="A79" s="32">
        <v>12</v>
      </c>
      <c r="B79" s="18">
        <v>2022</v>
      </c>
      <c r="C79" s="19">
        <v>-9.4844331513642688E-2</v>
      </c>
      <c r="D79" s="19">
        <v>0.24029998505263994</v>
      </c>
      <c r="E79" s="19">
        <v>0.74632302869326494</v>
      </c>
      <c r="F79" s="18">
        <v>-2.5462892088797617</v>
      </c>
      <c r="G79" s="18" t="str">
        <f t="shared" si="2"/>
        <v>Non-Financial Distress</v>
      </c>
    </row>
    <row r="80" spans="1:7" x14ac:dyDescent="0.35">
      <c r="A80" s="32">
        <v>13</v>
      </c>
      <c r="B80" s="18">
        <v>2022</v>
      </c>
      <c r="C80" s="19">
        <v>-0.11702737176303868</v>
      </c>
      <c r="D80" s="19">
        <v>0.35519491558100386</v>
      </c>
      <c r="E80" s="19">
        <v>0.46066890173646768</v>
      </c>
      <c r="F80" s="18">
        <v>-1.7925462212558316</v>
      </c>
      <c r="G80" s="18" t="str">
        <f t="shared" si="2"/>
        <v>Non-Financial Distress</v>
      </c>
    </row>
    <row r="81" spans="1:7" x14ac:dyDescent="0.35">
      <c r="A81" s="32">
        <v>14</v>
      </c>
      <c r="B81" s="18">
        <v>2022</v>
      </c>
      <c r="C81" s="19">
        <v>0.1934295858084828</v>
      </c>
      <c r="D81" s="19">
        <v>0.10656690561727868</v>
      </c>
      <c r="E81" s="19">
        <v>4.0716706257502544</v>
      </c>
      <c r="F81" s="18">
        <v>-4.6200409462561582</v>
      </c>
      <c r="G81" s="18" t="str">
        <f t="shared" si="2"/>
        <v>Non-Financial Distress</v>
      </c>
    </row>
    <row r="82" spans="1:7" x14ac:dyDescent="0.35">
      <c r="A82" s="32">
        <v>15</v>
      </c>
      <c r="B82" s="18">
        <v>2022</v>
      </c>
      <c r="C82" s="19">
        <v>3.7851230294399241E-2</v>
      </c>
      <c r="D82" s="19">
        <v>1.2133811948913973</v>
      </c>
      <c r="E82" s="19">
        <v>0.14074072562719886</v>
      </c>
      <c r="F82" s="18">
        <v>2.3834062405671124</v>
      </c>
      <c r="G82" s="18" t="str">
        <f t="shared" si="2"/>
        <v>Financial Distress</v>
      </c>
    </row>
    <row r="83" spans="1:7" x14ac:dyDescent="0.35">
      <c r="A83" s="32">
        <v>16</v>
      </c>
      <c r="B83" s="18">
        <v>2022</v>
      </c>
      <c r="C83" s="19">
        <v>3.3269407252090127E-3</v>
      </c>
      <c r="D83" s="19">
        <v>0.32215114610149143</v>
      </c>
      <c r="E83" s="19">
        <v>2.6003101842883312</v>
      </c>
      <c r="F83" s="18">
        <v>-2.5319193655196526</v>
      </c>
      <c r="G83" s="18" t="str">
        <f t="shared" si="2"/>
        <v>Non-Financial Distress</v>
      </c>
    </row>
    <row r="84" spans="1:7" x14ac:dyDescent="0.35">
      <c r="A84" s="32">
        <v>17</v>
      </c>
      <c r="B84" s="18">
        <v>2022</v>
      </c>
      <c r="C84" s="19">
        <v>1.8710929903655922E-2</v>
      </c>
      <c r="D84" s="19">
        <v>0.97655202794199514</v>
      </c>
      <c r="E84" s="19">
        <v>1.1879721139576209</v>
      </c>
      <c r="F84" s="18">
        <v>1.1206446515715607</v>
      </c>
      <c r="G84" s="18" t="str">
        <f t="shared" si="2"/>
        <v>Financial Distress</v>
      </c>
    </row>
    <row r="85" spans="1:7" x14ac:dyDescent="0.35">
      <c r="A85" s="32">
        <v>18</v>
      </c>
      <c r="B85" s="18">
        <v>2022</v>
      </c>
      <c r="C85" s="19">
        <v>0.28350359914762169</v>
      </c>
      <c r="D85" s="19">
        <v>0.43950609518718375</v>
      </c>
      <c r="E85" s="19">
        <v>2.0443406842726484</v>
      </c>
      <c r="F85" s="18">
        <v>-3.1276739911222911</v>
      </c>
      <c r="G85" s="18" t="str">
        <f t="shared" si="2"/>
        <v>Non-Financial Distress</v>
      </c>
    </row>
    <row r="86" spans="1:7" x14ac:dyDescent="0.35">
      <c r="A86" s="32">
        <v>19</v>
      </c>
      <c r="B86" s="18">
        <v>2022</v>
      </c>
      <c r="C86" s="19">
        <v>-0.20390464244858483</v>
      </c>
      <c r="D86" s="19">
        <v>0.15958747246843472</v>
      </c>
      <c r="E86" s="19">
        <v>7.6842980114345814</v>
      </c>
      <c r="F86" s="18">
        <v>-2.5402182845270347</v>
      </c>
      <c r="G86" s="18" t="str">
        <f t="shared" si="2"/>
        <v>Non-Financial Distress</v>
      </c>
    </row>
    <row r="87" spans="1:7" x14ac:dyDescent="0.35">
      <c r="A87" s="32">
        <v>20</v>
      </c>
      <c r="B87" s="18">
        <v>2022</v>
      </c>
      <c r="C87" s="19">
        <v>0.32104048673641455</v>
      </c>
      <c r="D87" s="19">
        <v>0.49463766121645047</v>
      </c>
      <c r="E87" s="19">
        <v>1.7620811290971066</v>
      </c>
      <c r="F87" s="18">
        <v>-2.9828567631096052</v>
      </c>
      <c r="G87" s="18" t="str">
        <f t="shared" si="2"/>
        <v>Non-Financial Distress</v>
      </c>
    </row>
    <row r="88" spans="1:7" x14ac:dyDescent="0.35">
      <c r="A88" s="32">
        <v>21</v>
      </c>
      <c r="B88" s="18">
        <v>2022</v>
      </c>
      <c r="C88" s="19">
        <v>-6.0216048268837453E-2</v>
      </c>
      <c r="D88" s="19">
        <v>0.23170475715356897</v>
      </c>
      <c r="E88" s="19">
        <v>0.82442226977725586</v>
      </c>
      <c r="F88" s="18">
        <v>-2.7516913473667275</v>
      </c>
      <c r="G88" s="18" t="str">
        <f t="shared" si="2"/>
        <v>Non-Financial Distress</v>
      </c>
    </row>
    <row r="89" spans="1:7" x14ac:dyDescent="0.35">
      <c r="A89" s="32">
        <v>22</v>
      </c>
      <c r="B89" s="18">
        <v>2022</v>
      </c>
      <c r="C89" s="19">
        <v>6.8373210295483752E-2</v>
      </c>
      <c r="D89" s="19">
        <v>0.325373538807742</v>
      </c>
      <c r="E89" s="19">
        <v>1.5367187574256882</v>
      </c>
      <c r="F89" s="18">
        <v>-2.802918846204054</v>
      </c>
      <c r="G89" s="18" t="str">
        <f t="shared" si="2"/>
        <v>Non-Financial Distress</v>
      </c>
    </row>
    <row r="90" spans="1:7" x14ac:dyDescent="0.35">
      <c r="A90" s="32">
        <v>1</v>
      </c>
      <c r="B90" s="18">
        <v>2023</v>
      </c>
      <c r="C90" s="19">
        <v>3.6625245717941422E-2</v>
      </c>
      <c r="D90" s="19">
        <v>0.41350966274529416</v>
      </c>
      <c r="E90" s="19">
        <v>1.6078095150105502</v>
      </c>
      <c r="F90" s="18">
        <v>-2.1593995972545867</v>
      </c>
      <c r="G90" s="18" t="str">
        <f t="shared" si="2"/>
        <v>Non-Financial Distress</v>
      </c>
    </row>
    <row r="91" spans="1:7" x14ac:dyDescent="0.35">
      <c r="A91" s="32">
        <v>2</v>
      </c>
      <c r="B91" s="18">
        <v>2023</v>
      </c>
      <c r="C91" s="19">
        <v>2.6486791130192642E-3</v>
      </c>
      <c r="D91" s="19">
        <v>0.64523608606241312</v>
      </c>
      <c r="E91" s="19">
        <v>0.8814270334927562</v>
      </c>
      <c r="F91" s="18">
        <v>-0.68718346422258336</v>
      </c>
      <c r="G91" s="18" t="str">
        <f t="shared" si="2"/>
        <v>Non-Financial Distress</v>
      </c>
    </row>
    <row r="92" spans="1:7" x14ac:dyDescent="0.35">
      <c r="A92" s="32">
        <v>3</v>
      </c>
      <c r="B92" s="18">
        <v>2023</v>
      </c>
      <c r="C92" s="19">
        <v>6.1088959904087269E-2</v>
      </c>
      <c r="D92" s="19">
        <v>0.25708818103528341</v>
      </c>
      <c r="E92" s="19">
        <v>1.7095298509422736</v>
      </c>
      <c r="F92" s="18">
        <v>-3.158528815351541</v>
      </c>
      <c r="G92" s="18" t="str">
        <f t="shared" si="2"/>
        <v>Non-Financial Distress</v>
      </c>
    </row>
    <row r="93" spans="1:7" x14ac:dyDescent="0.35">
      <c r="A93" s="32">
        <v>4</v>
      </c>
      <c r="B93" s="18">
        <v>2023</v>
      </c>
      <c r="C93" s="19">
        <v>0.16792298255606464</v>
      </c>
      <c r="D93" s="19">
        <v>0.38042758603930332</v>
      </c>
      <c r="E93" s="19">
        <v>2.5169214528603878</v>
      </c>
      <c r="F93" s="18">
        <v>-2.9434558449697579</v>
      </c>
      <c r="G93" s="18" t="str">
        <f t="shared" si="2"/>
        <v>Non-Financial Distress</v>
      </c>
    </row>
    <row r="94" spans="1:7" x14ac:dyDescent="0.35">
      <c r="A94" s="32">
        <v>5</v>
      </c>
      <c r="B94" s="18">
        <v>2023</v>
      </c>
      <c r="C94" s="19">
        <v>1.7785679526778245E-2</v>
      </c>
      <c r="D94" s="19">
        <v>0.6722816697488857</v>
      </c>
      <c r="E94" s="19">
        <v>0.67267112643472937</v>
      </c>
      <c r="F94" s="18">
        <v>-0.60106985370616728</v>
      </c>
      <c r="G94" s="18" t="str">
        <f t="shared" si="2"/>
        <v>Non-Financial Distress</v>
      </c>
    </row>
    <row r="95" spans="1:7" x14ac:dyDescent="0.35">
      <c r="A95" s="32">
        <v>6</v>
      </c>
      <c r="B95" s="18">
        <v>2023</v>
      </c>
      <c r="C95" s="19">
        <v>-0.17669451509335754</v>
      </c>
      <c r="D95" s="19">
        <v>2.2919776484311054</v>
      </c>
      <c r="E95" s="19">
        <v>3.8702887136708206E-2</v>
      </c>
      <c r="F95" s="18">
        <v>9.4774086005080225</v>
      </c>
      <c r="G95" s="18" t="str">
        <f t="shared" si="2"/>
        <v>Financial Distress</v>
      </c>
    </row>
    <row r="96" spans="1:7" x14ac:dyDescent="0.35">
      <c r="A96" s="32">
        <v>7</v>
      </c>
      <c r="B96" s="18">
        <v>2023</v>
      </c>
      <c r="C96" s="19">
        <v>3.7456878003340764E-2</v>
      </c>
      <c r="D96" s="19">
        <v>0.17318921298923645</v>
      </c>
      <c r="E96" s="19">
        <v>0.56110353667181423</v>
      </c>
      <c r="F96" s="18">
        <v>-3.5237457640098913</v>
      </c>
      <c r="G96" s="18" t="str">
        <f t="shared" si="2"/>
        <v>Non-Financial Distress</v>
      </c>
    </row>
    <row r="97" spans="1:7" x14ac:dyDescent="0.35">
      <c r="A97" s="32">
        <v>8</v>
      </c>
      <c r="B97" s="18">
        <v>2023</v>
      </c>
      <c r="C97" s="19">
        <v>3.2440818558504571E-3</v>
      </c>
      <c r="D97" s="19">
        <v>0.72838658213355323</v>
      </c>
      <c r="E97" s="19">
        <v>0.30648147485523969</v>
      </c>
      <c r="F97" s="18">
        <v>-0.21535906737842495</v>
      </c>
      <c r="G97" s="18" t="str">
        <f t="shared" si="2"/>
        <v>Non-Financial Distress</v>
      </c>
    </row>
    <row r="98" spans="1:7" x14ac:dyDescent="0.35">
      <c r="A98" s="32">
        <v>9</v>
      </c>
      <c r="B98" s="18">
        <v>2023</v>
      </c>
      <c r="C98" s="19">
        <v>9.3900031337266297E-3</v>
      </c>
      <c r="D98" s="19">
        <v>0.83498676507575331</v>
      </c>
      <c r="E98" s="19">
        <v>0.915317769079937</v>
      </c>
      <c r="F98" s="18">
        <v>0.35985148364637531</v>
      </c>
      <c r="G98" s="18" t="str">
        <f t="shared" ref="G98:G111" si="3">IF(F98&gt;0,"Financial Distress","Non-Financial Distress")</f>
        <v>Financial Distress</v>
      </c>
    </row>
    <row r="99" spans="1:7" x14ac:dyDescent="0.35">
      <c r="A99" s="32">
        <v>10</v>
      </c>
      <c r="B99" s="18">
        <v>2023</v>
      </c>
      <c r="C99" s="19">
        <v>6.1364549757895098E-2</v>
      </c>
      <c r="D99" s="19">
        <v>0.2705337312668285</v>
      </c>
      <c r="E99" s="19">
        <v>1.6907673822845108</v>
      </c>
      <c r="F99" s="18">
        <v>-3.0833402227222</v>
      </c>
      <c r="G99" s="18" t="str">
        <f t="shared" si="3"/>
        <v>Non-Financial Distress</v>
      </c>
    </row>
    <row r="100" spans="1:7" x14ac:dyDescent="0.35">
      <c r="A100" s="32">
        <v>11</v>
      </c>
      <c r="B100" s="18">
        <v>2023</v>
      </c>
      <c r="C100" s="19">
        <v>3.4362986058860735E-4</v>
      </c>
      <c r="D100" s="19">
        <v>6.3653198886557696E-2</v>
      </c>
      <c r="E100" s="19">
        <v>2.4045303684635519</v>
      </c>
      <c r="F100" s="18">
        <v>-3.9856824065579297</v>
      </c>
      <c r="G100" s="18" t="str">
        <f t="shared" si="3"/>
        <v>Non-Financial Distress</v>
      </c>
    </row>
    <row r="101" spans="1:7" x14ac:dyDescent="0.35">
      <c r="A101" s="32">
        <v>12</v>
      </c>
      <c r="B101" s="18">
        <v>2023</v>
      </c>
      <c r="C101" s="19">
        <v>-2.1663385180414403E-3</v>
      </c>
      <c r="D101" s="19">
        <v>0.14545467044701163</v>
      </c>
      <c r="E101" s="19">
        <v>0.84611143708297487</v>
      </c>
      <c r="F101" s="18">
        <v>-3.5035706865478327</v>
      </c>
      <c r="G101" s="18" t="str">
        <f t="shared" si="3"/>
        <v>Non-Financial Distress</v>
      </c>
    </row>
    <row r="102" spans="1:7" x14ac:dyDescent="0.35">
      <c r="A102" s="32">
        <v>13</v>
      </c>
      <c r="B102" s="18">
        <v>2023</v>
      </c>
      <c r="C102" s="19">
        <v>-4.1850036697574373E-2</v>
      </c>
      <c r="D102" s="19">
        <v>0.33500978976707912</v>
      </c>
      <c r="E102" s="19">
        <v>0.71712244066623942</v>
      </c>
      <c r="F102" s="18">
        <v>-2.2474786780592697</v>
      </c>
      <c r="G102" s="18" t="str">
        <f t="shared" si="3"/>
        <v>Non-Financial Distress</v>
      </c>
    </row>
    <row r="103" spans="1:7" x14ac:dyDescent="0.35">
      <c r="A103" s="32">
        <v>14</v>
      </c>
      <c r="B103" s="18">
        <v>2023</v>
      </c>
      <c r="C103" s="19">
        <v>0.27613407873506035</v>
      </c>
      <c r="D103" s="19">
        <v>0.11938013246040785</v>
      </c>
      <c r="E103" s="19">
        <v>2.6656050524397239</v>
      </c>
      <c r="F103" s="18">
        <v>-4.9148957452984297</v>
      </c>
      <c r="G103" s="18" t="str">
        <f t="shared" si="3"/>
        <v>Non-Financial Distress</v>
      </c>
    </row>
    <row r="104" spans="1:7" x14ac:dyDescent="0.35">
      <c r="A104" s="32">
        <v>15</v>
      </c>
      <c r="B104" s="18">
        <v>2023</v>
      </c>
      <c r="C104" s="19">
        <v>8.2885037564508324E-2</v>
      </c>
      <c r="D104" s="19">
        <v>1.1611545804466297</v>
      </c>
      <c r="E104" s="19">
        <v>0.10328717698489373</v>
      </c>
      <c r="F104" s="18">
        <v>1.8837235391198444</v>
      </c>
      <c r="G104" s="18" t="str">
        <f t="shared" si="3"/>
        <v>Financial Distress</v>
      </c>
    </row>
    <row r="105" spans="1:7" x14ac:dyDescent="0.35">
      <c r="A105" s="32">
        <v>16</v>
      </c>
      <c r="B105" s="18">
        <v>2023</v>
      </c>
      <c r="C105" s="19">
        <v>3.5645423422031638E-3</v>
      </c>
      <c r="D105" s="19">
        <v>0.45377317497209052</v>
      </c>
      <c r="E105" s="19">
        <v>1.7722757429430389</v>
      </c>
      <c r="F105" s="18">
        <v>-1.7821980218956326</v>
      </c>
      <c r="G105" s="18" t="str">
        <f t="shared" si="3"/>
        <v>Non-Financial Distress</v>
      </c>
    </row>
    <row r="106" spans="1:7" x14ac:dyDescent="0.35">
      <c r="A106" s="32">
        <v>17</v>
      </c>
      <c r="B106" s="18">
        <v>2023</v>
      </c>
      <c r="C106" s="19">
        <v>0.2143956134674061</v>
      </c>
      <c r="D106" s="19">
        <v>0.75443623681200533</v>
      </c>
      <c r="E106" s="19">
        <v>0.42354756447208325</v>
      </c>
      <c r="F106" s="18">
        <v>-1.0208182049809136</v>
      </c>
      <c r="G106" s="18" t="str">
        <f t="shared" si="3"/>
        <v>Non-Financial Distress</v>
      </c>
    </row>
    <row r="107" spans="1:7" x14ac:dyDescent="0.35">
      <c r="A107" s="32">
        <v>18</v>
      </c>
      <c r="B107" s="18">
        <v>2023</v>
      </c>
      <c r="C107" s="19">
        <v>8.7509741483119977E-2</v>
      </c>
      <c r="D107" s="19">
        <v>0.45462707932918095</v>
      </c>
      <c r="E107" s="19">
        <v>2.4006933649947308</v>
      </c>
      <c r="F107" s="18">
        <v>-2.1587070532628809</v>
      </c>
      <c r="G107" s="18" t="str">
        <f t="shared" si="3"/>
        <v>Non-Financial Distress</v>
      </c>
    </row>
    <row r="108" spans="1:7" x14ac:dyDescent="0.35">
      <c r="A108" s="32">
        <v>19</v>
      </c>
      <c r="B108" s="18">
        <v>2023</v>
      </c>
      <c r="C108" s="19">
        <v>-5.8829986500087847E-2</v>
      </c>
      <c r="D108" s="19">
        <v>0.16769262957909406</v>
      </c>
      <c r="E108" s="19">
        <v>7.5680783757438181</v>
      </c>
      <c r="F108" s="18">
        <v>-3.1484461410484035</v>
      </c>
      <c r="G108" s="18" t="str">
        <f t="shared" si="3"/>
        <v>Non-Financial Distress</v>
      </c>
    </row>
    <row r="109" spans="1:7" x14ac:dyDescent="0.35">
      <c r="A109" s="32">
        <v>20</v>
      </c>
      <c r="B109" s="18">
        <v>2023</v>
      </c>
      <c r="C109" s="19">
        <v>0.2002508905779872</v>
      </c>
      <c r="D109" s="19">
        <v>0.36514361076961571</v>
      </c>
      <c r="E109" s="19">
        <v>2.2165848147198175</v>
      </c>
      <c r="F109" s="18">
        <v>-3.1749480428766881</v>
      </c>
      <c r="G109" s="18" t="str">
        <f t="shared" si="3"/>
        <v>Non-Financial Distress</v>
      </c>
    </row>
    <row r="110" spans="1:7" x14ac:dyDescent="0.35">
      <c r="A110" s="32">
        <v>21</v>
      </c>
      <c r="B110" s="18">
        <v>2023</v>
      </c>
      <c r="C110" s="19">
        <v>-5.2974426950281664E-2</v>
      </c>
      <c r="D110" s="19">
        <v>0.21833635751486993</v>
      </c>
      <c r="E110" s="19">
        <v>1.1667529165071653</v>
      </c>
      <c r="F110" s="18">
        <v>-2.8616612485124611</v>
      </c>
      <c r="G110" s="18" t="str">
        <f t="shared" si="3"/>
        <v>Non-Financial Distress</v>
      </c>
    </row>
    <row r="111" spans="1:7" x14ac:dyDescent="0.35">
      <c r="A111" s="32">
        <v>22</v>
      </c>
      <c r="B111" s="18">
        <v>2023</v>
      </c>
      <c r="C111" s="19">
        <v>9.0210119537814104E-2</v>
      </c>
      <c r="D111" s="19">
        <v>0.35153963297198343</v>
      </c>
      <c r="E111" s="19">
        <v>2.9040843167056933</v>
      </c>
      <c r="F111" s="18">
        <v>-2.7583410310930838</v>
      </c>
      <c r="G111" s="18" t="str">
        <f t="shared" si="3"/>
        <v>Non-Financial Distress</v>
      </c>
    </row>
  </sheetData>
  <sortState xmlns:xlrd2="http://schemas.microsoft.com/office/spreadsheetml/2017/richdata2" ref="A2:G111">
    <sortCondition ref="B2:B1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479E4-B2FA-49B3-AE0E-B86C8E7E1DC7}">
  <dimension ref="A1:M111"/>
  <sheetViews>
    <sheetView topLeftCell="A90" workbookViewId="0">
      <selection sqref="A1:M111"/>
    </sheetView>
  </sheetViews>
  <sheetFormatPr defaultRowHeight="14.5" x14ac:dyDescent="0.35"/>
  <cols>
    <col min="1" max="2" width="8.7265625" style="18"/>
    <col min="3" max="3" width="8.81640625" style="18" bestFit="1" customWidth="1"/>
    <col min="4" max="4" width="10.36328125" style="18" bestFit="1" customWidth="1"/>
    <col min="5" max="9" width="8.81640625" style="18" bestFit="1" customWidth="1"/>
    <col min="10" max="10" width="11" style="18" bestFit="1" customWidth="1"/>
    <col min="11" max="11" width="9" style="18" bestFit="1" customWidth="1"/>
    <col min="12" max="12" width="10.36328125" style="18" bestFit="1" customWidth="1"/>
    <col min="13" max="13" width="9" style="18" bestFit="1" customWidth="1"/>
  </cols>
  <sheetData>
    <row r="1" spans="1:13" x14ac:dyDescent="0.35">
      <c r="A1" s="31" t="s">
        <v>0</v>
      </c>
      <c r="B1" s="33" t="s">
        <v>3</v>
      </c>
      <c r="C1" s="33" t="s">
        <v>78</v>
      </c>
      <c r="D1" s="33" t="s">
        <v>79</v>
      </c>
      <c r="E1" s="33" t="s">
        <v>80</v>
      </c>
      <c r="F1" s="33" t="s">
        <v>81</v>
      </c>
      <c r="G1" s="33" t="s">
        <v>82</v>
      </c>
      <c r="H1" s="33" t="s">
        <v>83</v>
      </c>
      <c r="I1" s="33" t="s">
        <v>84</v>
      </c>
      <c r="J1" s="33" t="s">
        <v>85</v>
      </c>
      <c r="K1" s="33" t="s">
        <v>86</v>
      </c>
      <c r="L1" s="33" t="s">
        <v>87</v>
      </c>
      <c r="M1" s="33" t="s">
        <v>88</v>
      </c>
    </row>
    <row r="2" spans="1:13" x14ac:dyDescent="0.35">
      <c r="A2" s="32">
        <v>1</v>
      </c>
      <c r="B2" s="18">
        <v>2019</v>
      </c>
      <c r="C2" s="19">
        <v>0.48191380030058634</v>
      </c>
      <c r="D2" s="19">
        <v>84.454210604831488</v>
      </c>
      <c r="E2" s="19">
        <v>3.4757237689686096</v>
      </c>
      <c r="F2" s="19">
        <v>1.6630743345495618</v>
      </c>
      <c r="G2" s="19">
        <v>3.6651734129044232E-2</v>
      </c>
      <c r="H2" s="19">
        <v>8.8076928605739443E-3</v>
      </c>
      <c r="I2" s="19">
        <v>0.16716666748227266</v>
      </c>
      <c r="J2" s="19">
        <v>1.3557196700383249</v>
      </c>
      <c r="K2" s="19">
        <v>1.5021924225066587</v>
      </c>
      <c r="L2" s="19">
        <v>197.75474956822106</v>
      </c>
      <c r="M2" s="19">
        <v>7.2334140776542792</v>
      </c>
    </row>
    <row r="3" spans="1:13" x14ac:dyDescent="0.35">
      <c r="A3" s="32">
        <v>2</v>
      </c>
      <c r="B3" s="18">
        <v>2019</v>
      </c>
      <c r="C3" s="19">
        <v>0.20524889891620915</v>
      </c>
      <c r="D3" s="19">
        <v>50.181182782812641</v>
      </c>
      <c r="E3" s="19">
        <v>0.55620192500579857</v>
      </c>
      <c r="F3" s="19">
        <v>0.48135998051811502</v>
      </c>
      <c r="G3" s="19">
        <v>6.8463764590446063E-2</v>
      </c>
      <c r="H3" s="19">
        <v>3.9248594752741457E-2</v>
      </c>
      <c r="I3" s="19">
        <v>0.31894375448294504</v>
      </c>
      <c r="J3" s="19">
        <v>1.4315555123659391</v>
      </c>
      <c r="K3" s="19">
        <v>2.623820545695513</v>
      </c>
      <c r="L3" s="19">
        <v>21.012</v>
      </c>
      <c r="M3" s="19">
        <v>1.7338227161171538</v>
      </c>
    </row>
    <row r="4" spans="1:13" x14ac:dyDescent="0.35">
      <c r="A4" s="32">
        <v>3</v>
      </c>
      <c r="B4" s="18">
        <v>2019</v>
      </c>
      <c r="C4" s="19">
        <v>0.6143832571348945</v>
      </c>
      <c r="D4" s="19">
        <v>27.666911827014463</v>
      </c>
      <c r="E4" s="19">
        <v>0.62411211808954692</v>
      </c>
      <c r="F4" s="19">
        <v>0.5451946741404986</v>
      </c>
      <c r="G4" s="19">
        <v>5.836095547014461E-2</v>
      </c>
      <c r="H4" s="19">
        <v>7.7975813865238233E-2</v>
      </c>
      <c r="I4" s="19">
        <v>0.2706392360484039</v>
      </c>
      <c r="J4" s="19">
        <v>4.6092619212848218</v>
      </c>
      <c r="K4" s="19">
        <v>0.37281138558407367</v>
      </c>
      <c r="L4" s="19">
        <v>19.761904761904763</v>
      </c>
      <c r="M4" s="19">
        <v>1.152017657950978</v>
      </c>
    </row>
    <row r="5" spans="1:13" x14ac:dyDescent="0.35">
      <c r="A5" s="32">
        <v>4</v>
      </c>
      <c r="B5" s="18">
        <v>2019</v>
      </c>
      <c r="C5" s="19">
        <v>6.042918707923732E-2</v>
      </c>
      <c r="D5" s="19">
        <v>50.086102838963747</v>
      </c>
      <c r="E5" s="19">
        <v>0.32241951754002318</v>
      </c>
      <c r="F5" s="19">
        <v>0.29745011131371246</v>
      </c>
      <c r="G5" s="19">
        <v>-4.2242123231722425E-2</v>
      </c>
      <c r="H5" s="19">
        <v>-4.3507261708046134E-2</v>
      </c>
      <c r="I5" s="19">
        <v>0.11687409678108213</v>
      </c>
      <c r="J5" s="19">
        <v>1.0318274636502556</v>
      </c>
      <c r="K5" s="19">
        <v>1.779943843928965</v>
      </c>
      <c r="L5" s="19">
        <v>102.90447891744489</v>
      </c>
      <c r="M5" s="19">
        <v>4.5238064481640166</v>
      </c>
    </row>
    <row r="6" spans="1:13" x14ac:dyDescent="0.35">
      <c r="A6" s="32">
        <v>5</v>
      </c>
      <c r="B6" s="18">
        <v>2019</v>
      </c>
      <c r="C6" s="19">
        <v>5.5029108043475718E-3</v>
      </c>
      <c r="D6" s="19">
        <v>53.076673360046541</v>
      </c>
      <c r="E6" s="19">
        <v>0.32790976023620411</v>
      </c>
      <c r="F6" s="19">
        <v>0.30327524419963464</v>
      </c>
      <c r="G6" s="19">
        <v>3.7109952851649114E-2</v>
      </c>
      <c r="H6" s="19">
        <v>4.9867447668812445E-2</v>
      </c>
      <c r="I6" s="19">
        <v>0.40932954990707204</v>
      </c>
      <c r="J6" s="19">
        <v>1.3550042426674123</v>
      </c>
      <c r="K6" s="19">
        <v>1.4537839253507032</v>
      </c>
      <c r="L6" s="19">
        <v>10.393881453154874</v>
      </c>
      <c r="M6" s="19">
        <v>0.38563293113731556</v>
      </c>
    </row>
    <row r="7" spans="1:13" x14ac:dyDescent="0.35">
      <c r="A7" s="32">
        <v>6</v>
      </c>
      <c r="B7" s="18">
        <v>2019</v>
      </c>
      <c r="C7" s="19">
        <v>0.1569937534725861</v>
      </c>
      <c r="D7" s="19">
        <v>18.772019976787711</v>
      </c>
      <c r="E7" s="19">
        <v>4.0240775189956564</v>
      </c>
      <c r="F7" s="19">
        <v>2.5674017210443862</v>
      </c>
      <c r="G7" s="19">
        <v>-0.77856207683975631</v>
      </c>
      <c r="H7" s="19">
        <v>-2.345704217650485E-2</v>
      </c>
      <c r="I7" s="19">
        <v>1.6984077581779798E-5</v>
      </c>
      <c r="J7" s="19">
        <v>5.3403806962662462E-2</v>
      </c>
      <c r="K7" s="19">
        <v>11.927845970198657</v>
      </c>
      <c r="L7" s="19">
        <v>-12.483039348710991</v>
      </c>
      <c r="M7" s="19">
        <v>9.726856752076035</v>
      </c>
    </row>
    <row r="8" spans="1:13" x14ac:dyDescent="0.35">
      <c r="A8" s="32">
        <v>7</v>
      </c>
      <c r="B8" s="18">
        <v>2019</v>
      </c>
      <c r="C8" s="19">
        <v>8.8150575000924297E-2</v>
      </c>
      <c r="D8" s="19">
        <v>30.82402457216293</v>
      </c>
      <c r="E8" s="19">
        <v>1.3765612477542148</v>
      </c>
      <c r="F8" s="19">
        <v>1.0262501840197855</v>
      </c>
      <c r="G8" s="19">
        <v>-7.650047619610062E-2</v>
      </c>
      <c r="H8" s="19">
        <v>-9.7465651536454648E-3</v>
      </c>
      <c r="I8" s="19">
        <v>2.0992124952304039E-2</v>
      </c>
      <c r="J8" s="19">
        <v>1.0088231468636391</v>
      </c>
      <c r="K8" s="19">
        <v>6.6482011278041684</v>
      </c>
      <c r="L8" s="19">
        <v>-21.927846809532387</v>
      </c>
      <c r="M8" s="19">
        <v>1.4615294855453769</v>
      </c>
    </row>
    <row r="9" spans="1:13" x14ac:dyDescent="0.35">
      <c r="A9" s="32">
        <v>8</v>
      </c>
      <c r="B9" s="18">
        <v>2019</v>
      </c>
      <c r="C9" s="19">
        <v>3.6637019214389728</v>
      </c>
      <c r="D9" s="19">
        <v>4.9556544005672967</v>
      </c>
      <c r="E9" s="19">
        <v>2.9042292089013939</v>
      </c>
      <c r="F9" s="19">
        <v>1.6460982227647714</v>
      </c>
      <c r="G9" s="19">
        <v>0.17685156323521495</v>
      </c>
      <c r="H9" s="19">
        <v>6.976500970656635E-2</v>
      </c>
      <c r="I9" s="19">
        <v>0.17274474439571413</v>
      </c>
      <c r="J9" s="19">
        <v>3.2216182246262828</v>
      </c>
      <c r="K9" s="19">
        <v>0.53998147999837576</v>
      </c>
      <c r="L9" s="19">
        <v>7.7777777777777777</v>
      </c>
      <c r="M9" s="19">
        <v>1.3709255103689078</v>
      </c>
    </row>
    <row r="10" spans="1:13" x14ac:dyDescent="0.35">
      <c r="A10" s="32">
        <v>9</v>
      </c>
      <c r="B10" s="18">
        <v>2019</v>
      </c>
      <c r="C10" s="19">
        <v>6.7371129078432623E-2</v>
      </c>
      <c r="D10" s="19">
        <v>1403.430248653048</v>
      </c>
      <c r="E10" s="19">
        <v>0.23737596259014987</v>
      </c>
      <c r="F10" s="19">
        <v>0.163237795878243</v>
      </c>
      <c r="G10" s="19">
        <v>1.3274974705303632E-2</v>
      </c>
      <c r="H10" s="19">
        <v>1.0985052489034461E-2</v>
      </c>
      <c r="I10" s="19">
        <v>0.42081586639073515</v>
      </c>
      <c r="J10" s="19">
        <v>1.0398479209210902</v>
      </c>
      <c r="K10" s="19">
        <v>6.4030527467825191</v>
      </c>
      <c r="L10" s="19">
        <v>21.712155108128265</v>
      </c>
      <c r="M10" s="19">
        <v>0.51185530461836215</v>
      </c>
    </row>
    <row r="11" spans="1:13" x14ac:dyDescent="0.35">
      <c r="A11" s="32">
        <v>10</v>
      </c>
      <c r="B11" s="18">
        <v>2019</v>
      </c>
      <c r="C11" s="19">
        <v>2.7682172316614267E-2</v>
      </c>
      <c r="D11" s="19">
        <v>75.508965184141303</v>
      </c>
      <c r="E11" s="19">
        <v>0.818147714194008</v>
      </c>
      <c r="F11" s="19">
        <v>0.68558519025985365</v>
      </c>
      <c r="G11" s="19">
        <v>2.2971642464433412E-2</v>
      </c>
      <c r="H11" s="19">
        <v>2.3215501629009049E-2</v>
      </c>
      <c r="I11" s="19">
        <v>0.32238177124081907</v>
      </c>
      <c r="J11" s="19">
        <v>1.9074448118274516</v>
      </c>
      <c r="K11" s="19">
        <v>0.4432864970960062</v>
      </c>
      <c r="L11" s="19">
        <v>17.931297709923662</v>
      </c>
      <c r="M11" s="19">
        <v>0.4123132363458426</v>
      </c>
    </row>
    <row r="12" spans="1:13" x14ac:dyDescent="0.35">
      <c r="A12" s="32">
        <v>11</v>
      </c>
      <c r="B12" s="18">
        <v>2019</v>
      </c>
      <c r="C12" s="19">
        <v>1.1795690012442828</v>
      </c>
      <c r="D12" s="19">
        <v>32.691300623805134</v>
      </c>
      <c r="E12" s="19">
        <v>0.20233482944613138</v>
      </c>
      <c r="F12" s="19">
        <v>0.18643133689796487</v>
      </c>
      <c r="G12" s="19">
        <v>3.9646771513643913E-3</v>
      </c>
      <c r="H12" s="19">
        <v>2.0620825956329608E-2</v>
      </c>
      <c r="I12" s="19">
        <v>0.67052978998023205</v>
      </c>
      <c r="J12" s="19">
        <v>51.001836000134446</v>
      </c>
      <c r="K12" s="19">
        <v>3.1294869705695609E-2</v>
      </c>
      <c r="L12" s="19">
        <v>3433.3333333333335</v>
      </c>
      <c r="M12" s="19">
        <v>15.697581737852722</v>
      </c>
    </row>
    <row r="13" spans="1:13" x14ac:dyDescent="0.35">
      <c r="A13" s="32">
        <v>12</v>
      </c>
      <c r="B13" s="18">
        <v>2019</v>
      </c>
      <c r="C13" s="19">
        <v>0.99372518784456609</v>
      </c>
      <c r="D13" s="19">
        <v>106.44371394307389</v>
      </c>
      <c r="E13" s="19">
        <v>0.47070995073798061</v>
      </c>
      <c r="F13" s="19">
        <v>0.41164680348491106</v>
      </c>
      <c r="G13" s="19">
        <v>-2.6255049252966647E-2</v>
      </c>
      <c r="H13" s="19">
        <v>-5.5042300570923214E-2</v>
      </c>
      <c r="I13" s="19">
        <v>0.24260374367879969</v>
      </c>
      <c r="J13" s="19">
        <v>-2.6585132064680272</v>
      </c>
      <c r="K13" s="19">
        <v>0.158754709884947</v>
      </c>
      <c r="L13" s="19">
        <v>-6.6734589913397864</v>
      </c>
      <c r="M13" s="19">
        <v>0.17555336089702148</v>
      </c>
    </row>
    <row r="14" spans="1:13" x14ac:dyDescent="0.35">
      <c r="A14" s="32">
        <v>13</v>
      </c>
      <c r="B14" s="18">
        <v>2019</v>
      </c>
      <c r="C14" s="19">
        <v>7.9820993661012252E-2</v>
      </c>
      <c r="D14" s="19">
        <v>174.95406180317011</v>
      </c>
      <c r="E14" s="19">
        <v>0.48295594757770205</v>
      </c>
      <c r="F14" s="19">
        <v>0.37280040551202914</v>
      </c>
      <c r="G14" s="19">
        <v>-1.3738087548079756E-2</v>
      </c>
      <c r="H14" s="19">
        <v>-2.459204616001829E-2</v>
      </c>
      <c r="I14" s="19">
        <v>0.14337633959715185</v>
      </c>
      <c r="J14" s="19">
        <v>0.78268045545594866</v>
      </c>
      <c r="K14" s="19">
        <v>0.49849479315241096</v>
      </c>
      <c r="L14" s="19">
        <v>-70.422535211267615</v>
      </c>
      <c r="M14" s="19">
        <v>0.8444525543542617</v>
      </c>
    </row>
    <row r="15" spans="1:13" x14ac:dyDescent="0.35">
      <c r="A15" s="32">
        <v>14</v>
      </c>
      <c r="B15" s="18">
        <v>2019</v>
      </c>
      <c r="C15" s="19">
        <v>2.2382607384538948</v>
      </c>
      <c r="D15" s="19">
        <v>50.047364356061657</v>
      </c>
      <c r="E15" s="19">
        <v>0.63583093709763416</v>
      </c>
      <c r="F15" s="19">
        <v>0.47428636480245673</v>
      </c>
      <c r="G15" s="19">
        <v>0.11329132668107468</v>
      </c>
      <c r="H15" s="19">
        <v>0.20923363722559826</v>
      </c>
      <c r="I15" s="19">
        <v>0.33494880487560613</v>
      </c>
      <c r="J15" s="19">
        <v>19.457572998219391</v>
      </c>
      <c r="K15" s="19">
        <v>0.14162775447932699</v>
      </c>
      <c r="L15" s="19">
        <v>6.3342318059299183</v>
      </c>
      <c r="M15" s="19">
        <v>0.71715902703783119</v>
      </c>
    </row>
    <row r="16" spans="1:13" x14ac:dyDescent="0.35">
      <c r="A16" s="32">
        <v>15</v>
      </c>
      <c r="B16" s="18">
        <v>2019</v>
      </c>
      <c r="C16" s="19">
        <v>2.9982415858536067E-2</v>
      </c>
      <c r="D16" s="19">
        <v>32.763835813896968</v>
      </c>
      <c r="E16" s="19">
        <v>0.54237032987586442</v>
      </c>
      <c r="F16" s="19">
        <v>0.50376959695916113</v>
      </c>
      <c r="G16" s="19">
        <v>-0.17877599312967263</v>
      </c>
      <c r="H16" s="19">
        <v>5.1131738826087791E-2</v>
      </c>
      <c r="I16" s="19">
        <v>0.35275664440650961</v>
      </c>
      <c r="J16" s="19">
        <v>1.2785066973903709</v>
      </c>
      <c r="K16" s="19">
        <v>-7.9404348772599622</v>
      </c>
      <c r="L16" s="19">
        <v>13.890761968981794</v>
      </c>
      <c r="M16" s="19">
        <v>-2.4604436643177459</v>
      </c>
    </row>
    <row r="17" spans="1:13" x14ac:dyDescent="0.35">
      <c r="A17" s="32">
        <v>16</v>
      </c>
      <c r="B17" s="18">
        <v>2019</v>
      </c>
      <c r="C17" s="19">
        <v>1.2570383857628429</v>
      </c>
      <c r="D17" s="19">
        <v>61.097052205134105</v>
      </c>
      <c r="E17" s="19">
        <v>11.584022179560042</v>
      </c>
      <c r="F17" s="19">
        <v>2.5117732384317351</v>
      </c>
      <c r="G17" s="19">
        <v>0.36985225129586718</v>
      </c>
      <c r="H17" s="19">
        <v>0.10007838653216594</v>
      </c>
      <c r="I17" s="19">
        <v>0.34812270408119739</v>
      </c>
      <c r="J17" s="19">
        <v>18.296274308042268</v>
      </c>
      <c r="K17" s="19">
        <v>0.47132136915549061</v>
      </c>
      <c r="L17" s="19">
        <v>17.506855093862054</v>
      </c>
      <c r="M17" s="19">
        <v>6.4750797947005596</v>
      </c>
    </row>
    <row r="18" spans="1:13" x14ac:dyDescent="0.35">
      <c r="A18" s="32">
        <v>17</v>
      </c>
      <c r="B18" s="18">
        <v>2019</v>
      </c>
      <c r="C18" s="19">
        <v>0.10383370181461642</v>
      </c>
      <c r="D18" s="19">
        <v>125.90479714556288</v>
      </c>
      <c r="E18" s="19">
        <v>0.69458021743429943</v>
      </c>
      <c r="F18" s="19">
        <v>0.48789402937150145</v>
      </c>
      <c r="G18" s="19">
        <v>-0.70742681742314972</v>
      </c>
      <c r="H18" s="19">
        <v>-0.34085692925352079</v>
      </c>
      <c r="I18" s="19">
        <v>4.4099155060963978E-2</v>
      </c>
      <c r="J18" s="19">
        <v>-15.198313897683841</v>
      </c>
      <c r="K18" s="19">
        <v>3.2538668170837051</v>
      </c>
      <c r="L18" s="19">
        <v>-1.5639662183296841</v>
      </c>
      <c r="M18" s="19">
        <v>1.1085007661454713</v>
      </c>
    </row>
    <row r="19" spans="1:13" x14ac:dyDescent="0.35">
      <c r="A19" s="32">
        <v>18</v>
      </c>
      <c r="B19" s="18">
        <v>2019</v>
      </c>
      <c r="C19" s="19">
        <v>0.39178388697669575</v>
      </c>
      <c r="D19" s="19">
        <v>100.84038969263831</v>
      </c>
      <c r="E19" s="19">
        <v>1.4928580425642626</v>
      </c>
      <c r="F19" s="19">
        <v>0.84849946704942758</v>
      </c>
      <c r="G19" s="19">
        <v>-0.24397301999254734</v>
      </c>
      <c r="H19" s="19">
        <v>-0.13721264763297791</v>
      </c>
      <c r="I19" s="19">
        <v>0.13581050689441518</v>
      </c>
      <c r="J19" s="19">
        <v>-3.8115392114510653</v>
      </c>
      <c r="K19" s="19">
        <v>1.0955406205205298</v>
      </c>
      <c r="L19" s="19">
        <v>-0.30494027252536166</v>
      </c>
      <c r="M19" s="19">
        <v>4.8555630949626241E-2</v>
      </c>
    </row>
    <row r="20" spans="1:13" x14ac:dyDescent="0.35">
      <c r="A20" s="32">
        <v>19</v>
      </c>
      <c r="B20" s="18">
        <v>2019</v>
      </c>
      <c r="C20" s="19">
        <v>2.7238953929528697E-2</v>
      </c>
      <c r="D20" s="19">
        <v>408.89363672490646</v>
      </c>
      <c r="E20" s="19">
        <v>0.49803448271909295</v>
      </c>
      <c r="F20" s="19">
        <v>0.28011853626024119</v>
      </c>
      <c r="G20" s="19">
        <v>0.60800641367143449</v>
      </c>
      <c r="H20" s="19">
        <v>-2.0563923560464157</v>
      </c>
      <c r="I20" s="19">
        <v>-1.1893053869360015</v>
      </c>
      <c r="J20" s="19">
        <v>-37.361470671682625</v>
      </c>
      <c r="K20" s="19">
        <v>-2.0555050885731605</v>
      </c>
      <c r="L20" s="19">
        <v>-0.83180835135584763</v>
      </c>
      <c r="M20" s="19">
        <v>-0.67673495794078364</v>
      </c>
    </row>
    <row r="21" spans="1:13" x14ac:dyDescent="0.35">
      <c r="A21" s="32">
        <v>20</v>
      </c>
      <c r="B21" s="18">
        <v>2019</v>
      </c>
      <c r="C21" s="19">
        <v>4.1017050979833103E-2</v>
      </c>
      <c r="D21" s="19">
        <v>32.962857480628074</v>
      </c>
      <c r="E21" s="19">
        <v>0.91448014531106103</v>
      </c>
      <c r="F21" s="19">
        <v>0.76918335986303144</v>
      </c>
      <c r="G21" s="19">
        <v>8.5039432636581619E-2</v>
      </c>
      <c r="H21" s="19">
        <v>4.0049453302970342E-2</v>
      </c>
      <c r="I21" s="19">
        <v>0.14542351953552746</v>
      </c>
      <c r="J21" s="19">
        <v>1.9847854674454877</v>
      </c>
      <c r="K21" s="19">
        <v>1.7605389648203915</v>
      </c>
      <c r="L21" s="19">
        <v>0.63749999999999996</v>
      </c>
      <c r="M21" s="19">
        <v>4.9184115041368132E-2</v>
      </c>
    </row>
    <row r="22" spans="1:13" x14ac:dyDescent="0.35">
      <c r="A22" s="32">
        <v>21</v>
      </c>
      <c r="B22" s="18">
        <v>2019</v>
      </c>
      <c r="C22" s="19">
        <v>0.12115016560570513</v>
      </c>
      <c r="D22" s="19">
        <v>92.369509333961673</v>
      </c>
      <c r="E22" s="19">
        <v>0.60317864059659465</v>
      </c>
      <c r="F22" s="19">
        <v>0.50363565796026988</v>
      </c>
      <c r="G22" s="19">
        <v>1.2991345748623744E-2</v>
      </c>
      <c r="H22" s="19">
        <v>1.9035028551101153E-2</v>
      </c>
      <c r="I22" s="19">
        <v>0.27868369424612155</v>
      </c>
      <c r="J22" s="19">
        <v>2.1809027705635122</v>
      </c>
      <c r="K22" s="19">
        <v>0.31402979178417412</v>
      </c>
      <c r="L22" s="19">
        <v>46.330275229357795</v>
      </c>
      <c r="M22" s="19">
        <v>0.60205775988549948</v>
      </c>
    </row>
    <row r="23" spans="1:13" x14ac:dyDescent="0.35">
      <c r="A23" s="32">
        <v>22</v>
      </c>
      <c r="B23" s="18">
        <v>2019</v>
      </c>
      <c r="C23" s="19">
        <v>0.10752625369424321</v>
      </c>
      <c r="D23" s="19">
        <v>160.40901242947052</v>
      </c>
      <c r="E23" s="19">
        <v>0.51289814684104573</v>
      </c>
      <c r="F23" s="19">
        <v>0.54218023815163885</v>
      </c>
      <c r="G23" s="19">
        <v>2.9755819109986145E-2</v>
      </c>
      <c r="H23" s="19">
        <v>3.0915100632692715E-2</v>
      </c>
      <c r="I23" s="19">
        <v>0.39364598479383411</v>
      </c>
      <c r="J23" s="19">
        <v>1.3310864896728041</v>
      </c>
      <c r="K23" s="19">
        <v>0.77524198845833581</v>
      </c>
      <c r="L23" s="19">
        <v>34.765000000000001</v>
      </c>
      <c r="M23" s="19">
        <v>0.81165399375090219</v>
      </c>
    </row>
    <row r="24" spans="1:13" x14ac:dyDescent="0.35">
      <c r="A24" s="32">
        <v>1</v>
      </c>
      <c r="B24" s="18">
        <v>2020</v>
      </c>
      <c r="C24" s="19">
        <v>0.60203806366828128</v>
      </c>
      <c r="D24" s="19">
        <v>74.256820404106179</v>
      </c>
      <c r="E24" s="19">
        <v>3.9174669282083414</v>
      </c>
      <c r="F24" s="19">
        <v>1.7488611124207283</v>
      </c>
      <c r="G24" s="19">
        <v>2.8511096992763541E-2</v>
      </c>
      <c r="H24" s="19">
        <v>5.8206991130215829E-3</v>
      </c>
      <c r="I24" s="19">
        <v>0.109157437041342</v>
      </c>
      <c r="J24" s="19">
        <v>0.63085931313174726</v>
      </c>
      <c r="K24" s="19">
        <v>1.8008087631075689</v>
      </c>
      <c r="L24" s="19">
        <v>98.806682577565624</v>
      </c>
      <c r="M24" s="19">
        <v>2.799106796776329</v>
      </c>
    </row>
    <row r="25" spans="1:13" x14ac:dyDescent="0.35">
      <c r="A25" s="32">
        <v>2</v>
      </c>
      <c r="B25" s="18">
        <v>2020</v>
      </c>
      <c r="C25" s="19">
        <v>0.13349145007096677</v>
      </c>
      <c r="D25" s="19">
        <v>47.418092151267558</v>
      </c>
      <c r="E25" s="19">
        <v>0.66854964177787535</v>
      </c>
      <c r="F25" s="19">
        <v>0.58739527881448528</v>
      </c>
      <c r="G25" s="19">
        <v>4.4393481451251202E-2</v>
      </c>
      <c r="H25" s="19">
        <v>2.1036833064231014E-2</v>
      </c>
      <c r="I25" s="19">
        <v>0.26013071417421568</v>
      </c>
      <c r="J25" s="19">
        <v>1.2326676162426529</v>
      </c>
      <c r="K25" s="19">
        <v>2.5925960878237242</v>
      </c>
      <c r="L25" s="19">
        <v>22.845614035087721</v>
      </c>
      <c r="M25" s="19">
        <v>1.3832234260672527</v>
      </c>
    </row>
    <row r="26" spans="1:13" x14ac:dyDescent="0.35">
      <c r="A26" s="32">
        <v>3</v>
      </c>
      <c r="B26" s="18">
        <v>2020</v>
      </c>
      <c r="C26" s="19">
        <v>1.2484684245402149</v>
      </c>
      <c r="D26" s="19">
        <v>44.773340466907058</v>
      </c>
      <c r="E26" s="19">
        <v>0.3404568901989683</v>
      </c>
      <c r="F26" s="19">
        <v>0.28217673126328913</v>
      </c>
      <c r="G26" s="19">
        <v>-3.1168423861379274E-2</v>
      </c>
      <c r="H26" s="19">
        <v>-7.9731367203150494E-2</v>
      </c>
      <c r="I26" s="19">
        <v>0.16344238906315656</v>
      </c>
      <c r="J26" s="19">
        <v>-2.1691268499144907</v>
      </c>
      <c r="K26" s="19">
        <v>0.38536570271967097</v>
      </c>
      <c r="L26" s="19">
        <v>-20.3125</v>
      </c>
      <c r="M26" s="19">
        <v>0.62128081568928262</v>
      </c>
    </row>
    <row r="27" spans="1:13" x14ac:dyDescent="0.35">
      <c r="A27" s="32">
        <v>4</v>
      </c>
      <c r="B27" s="18">
        <v>2020</v>
      </c>
      <c r="C27" s="19">
        <v>7.5171208316406959E-2</v>
      </c>
      <c r="D27" s="19">
        <v>62.350288072270288</v>
      </c>
      <c r="E27" s="19">
        <v>0.30771560068690978</v>
      </c>
      <c r="F27" s="19">
        <v>0.27794727272719016</v>
      </c>
      <c r="G27" s="19">
        <v>-2.9272627801760147E-2</v>
      </c>
      <c r="H27" s="19">
        <v>-4.4495033878875913E-2</v>
      </c>
      <c r="I27" s="19">
        <v>0.26897414166943828</v>
      </c>
      <c r="J27" s="19">
        <v>0.35228968111198705</v>
      </c>
      <c r="K27" s="19">
        <v>1.3669427409368284</v>
      </c>
      <c r="L27" s="19">
        <v>111.2891737891738</v>
      </c>
      <c r="M27" s="19">
        <v>3.3093226776869415</v>
      </c>
    </row>
    <row r="28" spans="1:13" x14ac:dyDescent="0.35">
      <c r="A28" s="32">
        <v>5</v>
      </c>
      <c r="B28" s="18">
        <v>2020</v>
      </c>
      <c r="C28" s="19">
        <v>6.755820180691199E-3</v>
      </c>
      <c r="D28" s="19">
        <v>45.474558499313254</v>
      </c>
      <c r="E28" s="19">
        <v>0.32235152785326682</v>
      </c>
      <c r="F28" s="19">
        <v>0.30254781147898119</v>
      </c>
      <c r="G28" s="19">
        <v>1.3883092207553597E-2</v>
      </c>
      <c r="H28" s="19">
        <v>1.9205776861818298E-2</v>
      </c>
      <c r="I28" s="19">
        <v>0.36283191267212106</v>
      </c>
      <c r="J28" s="19">
        <v>1.3668767589076187</v>
      </c>
      <c r="K28" s="19">
        <v>1.3892429520868264</v>
      </c>
      <c r="L28" s="19">
        <v>24.616915422885572</v>
      </c>
      <c r="M28" s="19">
        <v>0.34167350146637171</v>
      </c>
    </row>
    <row r="29" spans="1:13" x14ac:dyDescent="0.35">
      <c r="A29" s="32">
        <v>6</v>
      </c>
      <c r="B29" s="18">
        <v>2020</v>
      </c>
      <c r="C29" s="19">
        <v>3.7767870474279645E-3</v>
      </c>
      <c r="D29" s="19">
        <v>8.7207772090015059</v>
      </c>
      <c r="E29" s="19">
        <v>0.27268327900939959</v>
      </c>
      <c r="F29" s="19">
        <v>0.26494023933591238</v>
      </c>
      <c r="G29" s="19">
        <v>0.94646052260217672</v>
      </c>
      <c r="H29" s="19">
        <v>-1.7098916069704477</v>
      </c>
      <c r="I29" s="19">
        <v>-1.7399799203428437</v>
      </c>
      <c r="J29" s="19">
        <v>-10.486066843362741</v>
      </c>
      <c r="K29" s="19">
        <v>-3.0892287768313169</v>
      </c>
      <c r="L29" s="19">
        <v>-0.71370389046196814</v>
      </c>
      <c r="M29" s="19">
        <v>-0.675527393373485</v>
      </c>
    </row>
    <row r="30" spans="1:13" x14ac:dyDescent="0.35">
      <c r="A30" s="32">
        <v>7</v>
      </c>
      <c r="B30" s="18">
        <v>2020</v>
      </c>
      <c r="C30" s="19">
        <v>4.6796128820273168E-2</v>
      </c>
      <c r="D30" s="19">
        <v>31.131217747945623</v>
      </c>
      <c r="E30" s="19">
        <v>0.14554452790389463</v>
      </c>
      <c r="F30" s="19">
        <v>0.13830711852190669</v>
      </c>
      <c r="G30" s="19">
        <v>1.2746281230529595</v>
      </c>
      <c r="H30" s="19">
        <v>-1.6595736366142699</v>
      </c>
      <c r="I30" s="19">
        <v>-1.4762539134085284</v>
      </c>
      <c r="J30" s="19">
        <v>5.6825429559353315</v>
      </c>
      <c r="K30" s="19">
        <v>-6.5531887590489752</v>
      </c>
      <c r="L30" s="19">
        <v>-0.27819816947717763</v>
      </c>
      <c r="M30" s="19">
        <v>-0.34977165950383182</v>
      </c>
    </row>
    <row r="31" spans="1:13" x14ac:dyDescent="0.35">
      <c r="A31" s="32">
        <v>8</v>
      </c>
      <c r="B31" s="18">
        <v>2020</v>
      </c>
      <c r="C31" s="19">
        <v>4.753205126873012E-2</v>
      </c>
      <c r="D31" s="19">
        <v>292.91319458243976</v>
      </c>
      <c r="E31" s="19">
        <v>0.76350792142101231</v>
      </c>
      <c r="F31" s="19">
        <v>0.42837623328747843</v>
      </c>
      <c r="G31" s="19">
        <v>5.0088425205571684E-2</v>
      </c>
      <c r="H31" s="19">
        <v>4.6010768646665312E-2</v>
      </c>
      <c r="I31" s="19">
        <v>0.22547655076628942</v>
      </c>
      <c r="J31" s="19">
        <v>2.0543996209041424</v>
      </c>
      <c r="K31" s="19">
        <v>1.5412800156740025</v>
      </c>
      <c r="L31" s="19">
        <v>27</v>
      </c>
      <c r="M31" s="19">
        <v>1.3388767094203009</v>
      </c>
    </row>
    <row r="32" spans="1:13" x14ac:dyDescent="0.35">
      <c r="A32" s="32">
        <v>9</v>
      </c>
      <c r="B32" s="18">
        <v>2020</v>
      </c>
      <c r="C32" s="19">
        <v>0.15226934937735775</v>
      </c>
      <c r="D32" s="19">
        <v>1104.6468571433625</v>
      </c>
      <c r="E32" s="19">
        <v>0.26951326409211801</v>
      </c>
      <c r="F32" s="19">
        <v>0.17524415969274845</v>
      </c>
      <c r="G32" s="19">
        <v>-3.0978597525449281E-2</v>
      </c>
      <c r="H32" s="19">
        <v>-2.6952686079456233E-2</v>
      </c>
      <c r="I32" s="19">
        <v>0.38238673228811315</v>
      </c>
      <c r="J32" s="19">
        <v>0.72935185098722877</v>
      </c>
      <c r="K32" s="19">
        <v>5.5586755286904639</v>
      </c>
      <c r="L32" s="19">
        <v>-48.122065727699535</v>
      </c>
      <c r="M32" s="19">
        <v>0.98443704415294764</v>
      </c>
    </row>
    <row r="33" spans="1:13" x14ac:dyDescent="0.35">
      <c r="A33" s="32">
        <v>10</v>
      </c>
      <c r="B33" s="18">
        <v>2020</v>
      </c>
      <c r="C33" s="19">
        <v>0.52066948707987992</v>
      </c>
      <c r="D33" s="19">
        <v>74.139981532124821</v>
      </c>
      <c r="E33" s="19">
        <v>1.056642075969582</v>
      </c>
      <c r="F33" s="19">
        <v>0.79651789521158534</v>
      </c>
      <c r="G33" s="19">
        <v>4.5354810775557731E-2</v>
      </c>
      <c r="H33" s="19">
        <v>4.6234327998734066E-2</v>
      </c>
      <c r="I33" s="19">
        <v>0.29810985771850107</v>
      </c>
      <c r="J33" s="19">
        <v>2.796549686212165</v>
      </c>
      <c r="K33" s="19">
        <v>0.23158182792273321</v>
      </c>
      <c r="L33" s="19">
        <v>13.465923172242874</v>
      </c>
      <c r="M33" s="19">
        <v>0.61054991086865251</v>
      </c>
    </row>
    <row r="34" spans="1:13" x14ac:dyDescent="0.35">
      <c r="A34" s="32">
        <v>11</v>
      </c>
      <c r="B34" s="18">
        <v>2020</v>
      </c>
      <c r="C34" s="19">
        <v>3.2432330512904624E-2</v>
      </c>
      <c r="D34" s="19">
        <v>178.28770056840807</v>
      </c>
      <c r="E34" s="19">
        <v>0.2090779649095508</v>
      </c>
      <c r="F34" s="19">
        <v>0.17992114069620058</v>
      </c>
      <c r="G34" s="19">
        <v>-2.6285702991539886E-2</v>
      </c>
      <c r="H34" s="19">
        <v>-0.12776806484599779</v>
      </c>
      <c r="I34" s="19">
        <v>0.53091702151355002</v>
      </c>
      <c r="J34" s="19">
        <v>-1.8148514430163138</v>
      </c>
      <c r="K34" s="19">
        <v>0.14344448311036967</v>
      </c>
      <c r="L34" s="19">
        <v>-340.77380952380952</v>
      </c>
      <c r="M34" s="19">
        <v>8.9511542215690056</v>
      </c>
    </row>
    <row r="35" spans="1:13" x14ac:dyDescent="0.35">
      <c r="A35" s="32">
        <v>12</v>
      </c>
      <c r="B35" s="18">
        <v>2020</v>
      </c>
      <c r="C35" s="19">
        <v>3.6519337455706097E-2</v>
      </c>
      <c r="D35" s="19">
        <v>231.2820792268088</v>
      </c>
      <c r="E35" s="19">
        <v>0.25904351881882043</v>
      </c>
      <c r="F35" s="19">
        <v>0.24046101194166469</v>
      </c>
      <c r="G35" s="19">
        <v>-0.19723083026888985</v>
      </c>
      <c r="H35" s="19">
        <v>-0.66147877638272601</v>
      </c>
      <c r="I35" s="19">
        <v>-0.14542386153308248</v>
      </c>
      <c r="J35" s="19">
        <v>-24.538828404863633</v>
      </c>
      <c r="K35" s="19">
        <v>0.23997868031958011</v>
      </c>
      <c r="L35" s="19">
        <v>-1.6272068993572533</v>
      </c>
      <c r="M35" s="19">
        <v>0.3208715441559441</v>
      </c>
    </row>
    <row r="36" spans="1:13" x14ac:dyDescent="0.35">
      <c r="A36" s="32">
        <v>13</v>
      </c>
      <c r="B36" s="18">
        <v>2020</v>
      </c>
      <c r="C36" s="19">
        <v>7.4065672398816507E-2</v>
      </c>
      <c r="D36" s="19">
        <v>158.14354787384627</v>
      </c>
      <c r="E36" s="19">
        <v>0.33213402185132956</v>
      </c>
      <c r="F36" s="19">
        <v>0.27429218854262899</v>
      </c>
      <c r="G36" s="19">
        <v>-8.4596450944218929E-2</v>
      </c>
      <c r="H36" s="19">
        <v>-0.20950212601298199</v>
      </c>
      <c r="I36" s="19">
        <v>-5.73956451421756E-3</v>
      </c>
      <c r="J36" s="19">
        <v>-0.63210221319604698</v>
      </c>
      <c r="K36" s="19">
        <v>0.47214391902879232</v>
      </c>
      <c r="L36" s="19">
        <v>-10.989010989010989</v>
      </c>
      <c r="M36" s="19">
        <v>0.91975387060894098</v>
      </c>
    </row>
    <row r="37" spans="1:13" x14ac:dyDescent="0.35">
      <c r="A37" s="32">
        <v>14</v>
      </c>
      <c r="B37" s="18">
        <v>2020</v>
      </c>
      <c r="C37" s="19">
        <v>3.3540199172534528</v>
      </c>
      <c r="D37" s="19">
        <v>40.205778448354032</v>
      </c>
      <c r="E37" s="19">
        <v>0.5469655430543533</v>
      </c>
      <c r="F37" s="19">
        <v>0.40606072957444644</v>
      </c>
      <c r="G37" s="19">
        <v>8.8108462683115146E-2</v>
      </c>
      <c r="H37" s="19">
        <v>0.19051269433273324</v>
      </c>
      <c r="I37" s="19">
        <v>0.32817477348192542</v>
      </c>
      <c r="J37" s="19">
        <v>9.3298249501437045</v>
      </c>
      <c r="K37" s="19">
        <v>0.13894489950939859</v>
      </c>
      <c r="L37" s="19">
        <v>7.6017130620985016</v>
      </c>
      <c r="M37" s="19">
        <v>0.66907320280194726</v>
      </c>
    </row>
    <row r="38" spans="1:13" x14ac:dyDescent="0.35">
      <c r="A38" s="32">
        <v>15</v>
      </c>
      <c r="B38" s="18">
        <v>2020</v>
      </c>
      <c r="C38" s="19">
        <v>2.5160424209924759E-2</v>
      </c>
      <c r="D38" s="19">
        <v>35.134856756235187</v>
      </c>
      <c r="E38" s="19">
        <v>0.47805376333030858</v>
      </c>
      <c r="F38" s="19">
        <v>0.44691478147020064</v>
      </c>
      <c r="G38" s="19">
        <v>0.25522812124832206</v>
      </c>
      <c r="H38" s="19">
        <v>-0.12218429913370131</v>
      </c>
      <c r="I38" s="19">
        <v>0.25829857443449455</v>
      </c>
      <c r="J38" s="19">
        <v>0.60119226256681091</v>
      </c>
      <c r="K38" s="19">
        <v>-5.6739967132514817</v>
      </c>
      <c r="L38" s="19">
        <v>-6.6407629812787006</v>
      </c>
      <c r="M38" s="19">
        <v>-1.6780409723680763</v>
      </c>
    </row>
    <row r="39" spans="1:13" x14ac:dyDescent="0.35">
      <c r="A39" s="32">
        <v>16</v>
      </c>
      <c r="B39" s="18">
        <v>2020</v>
      </c>
      <c r="C39" s="19">
        <v>1.1611348557650212</v>
      </c>
      <c r="D39" s="19">
        <v>60.88855337617246</v>
      </c>
      <c r="E39" s="19">
        <v>10.422819572769164</v>
      </c>
      <c r="F39" s="19">
        <v>2.1461857344126658</v>
      </c>
      <c r="G39" s="19">
        <v>0.22708415475120744</v>
      </c>
      <c r="H39" s="19">
        <v>6.938341630203633E-2</v>
      </c>
      <c r="I39" s="19">
        <v>0.36506400295834879</v>
      </c>
      <c r="J39" s="19">
        <v>14.838148114447261</v>
      </c>
      <c r="K39" s="19">
        <v>0.52497894620697361</v>
      </c>
      <c r="L39" s="19">
        <v>58.244680851063826</v>
      </c>
      <c r="M39" s="19">
        <v>13.226355019629279</v>
      </c>
    </row>
    <row r="40" spans="1:13" x14ac:dyDescent="0.35">
      <c r="A40" s="32">
        <v>17</v>
      </c>
      <c r="B40" s="18">
        <v>2020</v>
      </c>
      <c r="C40" s="19">
        <v>2.7719081260938635E-2</v>
      </c>
      <c r="D40" s="19">
        <v>102.52279590077687</v>
      </c>
      <c r="E40" s="19">
        <v>0.66138427992675142</v>
      </c>
      <c r="F40" s="19">
        <v>0.50235961052752831</v>
      </c>
      <c r="G40" s="19">
        <v>-5.5956963855100383</v>
      </c>
      <c r="H40" s="19">
        <v>-0.48638701795639339</v>
      </c>
      <c r="I40" s="19">
        <v>-6.8295313379195935E-2</v>
      </c>
      <c r="J40" s="19">
        <v>-95.928775890051526</v>
      </c>
      <c r="K40" s="19">
        <v>21.901158494620741</v>
      </c>
      <c r="L40" s="19">
        <v>-1.3376136971642589</v>
      </c>
      <c r="M40" s="19">
        <v>7.336480205078221</v>
      </c>
    </row>
    <row r="41" spans="1:13" x14ac:dyDescent="0.35">
      <c r="A41" s="32">
        <v>18</v>
      </c>
      <c r="B41" s="18">
        <v>2020</v>
      </c>
      <c r="C41" s="19">
        <v>0.54241492663010404</v>
      </c>
      <c r="D41" s="19">
        <v>80.865801976319432</v>
      </c>
      <c r="E41" s="19">
        <v>1.5080061896253334</v>
      </c>
      <c r="F41" s="19">
        <v>0.85490671384367001</v>
      </c>
      <c r="G41" s="19">
        <v>-9.5995187633618733E-3</v>
      </c>
      <c r="H41" s="19">
        <v>-4.7283870774261771E-3</v>
      </c>
      <c r="I41" s="19">
        <v>0.13491168032706727</v>
      </c>
      <c r="J41" s="19">
        <v>1.0329061455209134</v>
      </c>
      <c r="K41" s="19">
        <v>1.374748993831765</v>
      </c>
      <c r="L41" s="19">
        <v>-4.0455840455840457</v>
      </c>
      <c r="M41" s="19">
        <v>5.4803112022018749E-2</v>
      </c>
    </row>
    <row r="42" spans="1:13" x14ac:dyDescent="0.35">
      <c r="A42" s="32">
        <v>19</v>
      </c>
      <c r="B42" s="18">
        <v>2020</v>
      </c>
      <c r="C42" s="19">
        <v>3.8542753721686425E-2</v>
      </c>
      <c r="D42" s="19">
        <v>1279.9826928170817</v>
      </c>
      <c r="E42" s="19">
        <v>0.25921537318881732</v>
      </c>
      <c r="F42" s="19">
        <v>8.853854051933302E-2</v>
      </c>
      <c r="G42" s="19">
        <v>0.10226645736915489</v>
      </c>
      <c r="H42" s="19">
        <v>-2.4701914441587856</v>
      </c>
      <c r="I42" s="19">
        <v>-3.4302620683277785</v>
      </c>
      <c r="J42" s="19">
        <v>-13.05083206113464</v>
      </c>
      <c r="K42" s="19">
        <v>-1.4675954104896562</v>
      </c>
      <c r="L42" s="19">
        <v>-5.7870370370370363</v>
      </c>
      <c r="M42" s="19">
        <v>-0.59055214317221016</v>
      </c>
    </row>
    <row r="43" spans="1:13" x14ac:dyDescent="0.35">
      <c r="A43" s="32">
        <v>20</v>
      </c>
      <c r="B43" s="18">
        <v>2020</v>
      </c>
      <c r="C43" s="19">
        <v>0.13356919266546891</v>
      </c>
      <c r="D43" s="19">
        <v>26.758421006231249</v>
      </c>
      <c r="E43" s="19">
        <v>0.78778273729622716</v>
      </c>
      <c r="F43" s="19">
        <v>0.70356785438775726</v>
      </c>
      <c r="G43" s="19">
        <v>4.3118391008675046E-2</v>
      </c>
      <c r="H43" s="19">
        <v>1.934125494792226E-2</v>
      </c>
      <c r="I43" s="19">
        <v>0.15575759237047612</v>
      </c>
      <c r="J43" s="19">
        <v>1.5633400245678162</v>
      </c>
      <c r="K43" s="19">
        <v>2.1686327620164416</v>
      </c>
      <c r="L43" s="19">
        <v>1.2545454545454546</v>
      </c>
      <c r="M43" s="19">
        <v>6.5016222867264828E-2</v>
      </c>
    </row>
    <row r="44" spans="1:13" x14ac:dyDescent="0.35">
      <c r="A44" s="32">
        <v>21</v>
      </c>
      <c r="B44" s="18">
        <v>2020</v>
      </c>
      <c r="C44" s="19">
        <v>0.1046783560109622</v>
      </c>
      <c r="D44" s="19">
        <v>74.965694315905537</v>
      </c>
      <c r="E44" s="19">
        <v>0.56974364410404843</v>
      </c>
      <c r="F44" s="19">
        <v>0.4973176068610769</v>
      </c>
      <c r="G44" s="19">
        <v>-0.14556547752875479</v>
      </c>
      <c r="H44" s="19">
        <v>-0.21573708504184191</v>
      </c>
      <c r="I44" s="19">
        <v>6.1531412755188336E-2</v>
      </c>
      <c r="J44" s="19">
        <v>-3.8239273396688582</v>
      </c>
      <c r="K44" s="19">
        <v>0.35674974271467019</v>
      </c>
      <c r="L44" s="19">
        <v>-8.0470588235294116</v>
      </c>
      <c r="M44" s="19">
        <v>1.1715786674458102</v>
      </c>
    </row>
    <row r="45" spans="1:13" x14ac:dyDescent="0.35">
      <c r="A45" s="32">
        <v>22</v>
      </c>
      <c r="B45" s="18">
        <v>2020</v>
      </c>
      <c r="C45" s="19">
        <v>5.0309749015292692E-2</v>
      </c>
      <c r="D45" s="19">
        <v>315.75440176312145</v>
      </c>
      <c r="E45" s="19">
        <v>0.33654066623312573</v>
      </c>
      <c r="F45" s="19">
        <v>0.31923408563753775</v>
      </c>
      <c r="G45" s="19">
        <v>-0.28476550028909847</v>
      </c>
      <c r="H45" s="19">
        <v>-0.47652218263517004</v>
      </c>
      <c r="I45" s="19">
        <v>-2.0727371168539413E-2</v>
      </c>
      <c r="J45" s="19">
        <v>6.9572125724448517</v>
      </c>
      <c r="K45" s="19">
        <v>0.87195323196513308</v>
      </c>
      <c r="L45" s="19">
        <v>-1.5578947368421054</v>
      </c>
      <c r="M45" s="19">
        <v>0.44471925242214405</v>
      </c>
    </row>
    <row r="46" spans="1:13" x14ac:dyDescent="0.35">
      <c r="A46" s="32">
        <v>1</v>
      </c>
      <c r="B46" s="18">
        <v>2021</v>
      </c>
      <c r="C46" s="19">
        <v>1.0439325707808038</v>
      </c>
      <c r="D46" s="19">
        <v>53.209917751446405</v>
      </c>
      <c r="E46" s="19">
        <v>3.8082160978597925</v>
      </c>
      <c r="F46" s="19">
        <v>1.7378702096349845</v>
      </c>
      <c r="G46" s="19">
        <v>0.18532205446206848</v>
      </c>
      <c r="H46" s="19">
        <v>5.051103744590054E-2</v>
      </c>
      <c r="I46" s="19">
        <v>0.1840566266004815</v>
      </c>
      <c r="J46" s="19">
        <v>5.8081586864262436</v>
      </c>
      <c r="K46" s="19">
        <v>1.1111713270701753</v>
      </c>
      <c r="L46" s="19">
        <v>26.37067938021454</v>
      </c>
      <c r="M46" s="19">
        <v>4.8742161507381576</v>
      </c>
    </row>
    <row r="47" spans="1:13" x14ac:dyDescent="0.35">
      <c r="A47" s="32">
        <v>2</v>
      </c>
      <c r="B47" s="18">
        <v>2021</v>
      </c>
      <c r="C47" s="19">
        <v>0.37786028703428431</v>
      </c>
      <c r="D47" s="19">
        <v>38.830017320315712</v>
      </c>
      <c r="E47" s="19">
        <v>1.0237288856034299</v>
      </c>
      <c r="F47" s="19">
        <v>0.84352438839894484</v>
      </c>
      <c r="G47" s="19">
        <v>9.0388167539260419E-2</v>
      </c>
      <c r="H47" s="19">
        <v>3.1363615996517116E-2</v>
      </c>
      <c r="I47" s="19">
        <v>0.20768122375282141</v>
      </c>
      <c r="J47" s="19">
        <v>1.9515852420537971</v>
      </c>
      <c r="K47" s="19">
        <v>2.4165502323893033</v>
      </c>
      <c r="L47" s="19">
        <v>80.562970152875508</v>
      </c>
      <c r="M47" s="19">
        <v>6.6977602917023891</v>
      </c>
    </row>
    <row r="48" spans="1:13" x14ac:dyDescent="0.35">
      <c r="A48" s="32">
        <v>3</v>
      </c>
      <c r="B48" s="18">
        <v>2021</v>
      </c>
      <c r="C48" s="19">
        <v>1.6735723602358059</v>
      </c>
      <c r="D48" s="19">
        <v>50.604520990021342</v>
      </c>
      <c r="E48" s="19">
        <v>0.42450252617156559</v>
      </c>
      <c r="F48" s="19">
        <v>0.33658606967390947</v>
      </c>
      <c r="G48" s="19">
        <v>1.6940002280683793E-3</v>
      </c>
      <c r="H48" s="19">
        <v>3.9264404790797722E-3</v>
      </c>
      <c r="I48" s="19">
        <v>0.22242339726256855</v>
      </c>
      <c r="J48" s="19">
        <v>-0.21072136966280405</v>
      </c>
      <c r="K48" s="19">
        <v>0.28179421821403811</v>
      </c>
      <c r="L48" s="19">
        <v>460</v>
      </c>
      <c r="M48" s="19">
        <v>0.67078096324505165</v>
      </c>
    </row>
    <row r="49" spans="1:13" x14ac:dyDescent="0.35">
      <c r="A49" s="32">
        <v>4</v>
      </c>
      <c r="B49" s="18">
        <v>2021</v>
      </c>
      <c r="C49" s="19">
        <v>0.38043519568006995</v>
      </c>
      <c r="D49" s="19">
        <v>499.36841433545015</v>
      </c>
      <c r="E49" s="19">
        <v>3.5037950354810832E-2</v>
      </c>
      <c r="F49" s="19">
        <v>2.7964060096288379E-2</v>
      </c>
      <c r="G49" s="19">
        <v>0.18382270564333583</v>
      </c>
      <c r="H49" s="19">
        <v>2.9976386564748556</v>
      </c>
      <c r="I49" s="19">
        <v>2.3858701759363639</v>
      </c>
      <c r="J49" s="19">
        <v>4.4465844254150158</v>
      </c>
      <c r="K49" s="19">
        <v>1.1929041360636505</v>
      </c>
      <c r="L49" s="19">
        <v>15.38935056940597</v>
      </c>
      <c r="M49" s="19">
        <v>2.8380175641090979</v>
      </c>
    </row>
    <row r="50" spans="1:13" x14ac:dyDescent="0.35">
      <c r="A50" s="32">
        <v>5</v>
      </c>
      <c r="B50" s="18">
        <v>2021</v>
      </c>
      <c r="C50" s="19">
        <v>7.841651447657208E-3</v>
      </c>
      <c r="D50" s="19">
        <v>49.933856955762018</v>
      </c>
      <c r="E50" s="19">
        <v>0.27697605099997147</v>
      </c>
      <c r="F50" s="19">
        <v>0.25962076214880436</v>
      </c>
      <c r="G50" s="19">
        <v>4.6561129514887042E-2</v>
      </c>
      <c r="H50" s="19">
        <v>5.3735982178611849E-2</v>
      </c>
      <c r="I50" s="19">
        <v>0.38501736130076891</v>
      </c>
      <c r="J50" s="19">
        <v>1.4454463497134185</v>
      </c>
      <c r="K50" s="19">
        <v>2.3374817182764027</v>
      </c>
      <c r="L50" s="19">
        <v>41.385034013605448</v>
      </c>
      <c r="M50" s="19">
        <v>1.9266280457679437</v>
      </c>
    </row>
    <row r="51" spans="1:13" x14ac:dyDescent="0.35">
      <c r="A51" s="32">
        <v>6</v>
      </c>
      <c r="B51" s="18">
        <v>2021</v>
      </c>
      <c r="C51" s="19">
        <v>3.2013259278033581E-3</v>
      </c>
      <c r="D51" s="19">
        <v>19.159545606166578</v>
      </c>
      <c r="E51" s="19">
        <v>0.12592057004457424</v>
      </c>
      <c r="F51" s="19">
        <v>0.12186256088707378</v>
      </c>
      <c r="G51" s="19">
        <v>0.45158959298404933</v>
      </c>
      <c r="H51" s="19">
        <v>-3.746625702377222</v>
      </c>
      <c r="I51" s="19">
        <v>-2.6778659698478227</v>
      </c>
      <c r="J51" s="19">
        <v>6.3830371920127416</v>
      </c>
      <c r="K51" s="19">
        <v>-1.9890843186163332</v>
      </c>
      <c r="L51" s="19">
        <v>-0.83907154909024584</v>
      </c>
      <c r="M51" s="19">
        <v>-0.37855194792389013</v>
      </c>
    </row>
    <row r="52" spans="1:13" x14ac:dyDescent="0.35">
      <c r="A52" s="32">
        <v>7</v>
      </c>
      <c r="B52" s="18">
        <v>2021</v>
      </c>
      <c r="C52" s="19">
        <v>9.4332844631442401E-3</v>
      </c>
      <c r="D52" s="19">
        <v>28.367584363799917</v>
      </c>
      <c r="E52" s="19">
        <v>0.19408661594671281</v>
      </c>
      <c r="F52" s="19">
        <v>0.18583703483144021</v>
      </c>
      <c r="G52" s="19">
        <v>0.68313649337222559</v>
      </c>
      <c r="H52" s="19">
        <v>-3.1226692594218264</v>
      </c>
      <c r="I52" s="19">
        <v>-3.3909080663205415</v>
      </c>
      <c r="J52" s="19">
        <v>-6.9276281574640004</v>
      </c>
      <c r="K52" s="19">
        <v>-2.177197228096158</v>
      </c>
      <c r="L52" s="19">
        <v>-8.8898497176473676E-2</v>
      </c>
      <c r="M52" s="19">
        <v>-0.21386546717900526</v>
      </c>
    </row>
    <row r="53" spans="1:13" x14ac:dyDescent="0.35">
      <c r="A53" s="32">
        <v>8</v>
      </c>
      <c r="B53" s="18">
        <v>2021</v>
      </c>
      <c r="C53" s="19">
        <v>0.12575369172594247</v>
      </c>
      <c r="D53" s="19">
        <v>407.53702936279836</v>
      </c>
      <c r="E53" s="19">
        <v>0.32600623130156875</v>
      </c>
      <c r="F53" s="19">
        <v>0.2102929388828764</v>
      </c>
      <c r="G53" s="19">
        <v>2.4446062813743921E-2</v>
      </c>
      <c r="H53" s="19">
        <v>5.4430722891806997E-2</v>
      </c>
      <c r="I53" s="19">
        <v>0.3358712491272855</v>
      </c>
      <c r="J53" s="19">
        <v>1.2855515996123847</v>
      </c>
      <c r="K53" s="19">
        <v>1.1356994250646613</v>
      </c>
      <c r="L53" s="19">
        <v>81.5</v>
      </c>
      <c r="M53" s="19">
        <v>1.9234270211369255</v>
      </c>
    </row>
    <row r="54" spans="1:13" x14ac:dyDescent="0.35">
      <c r="A54" s="32">
        <v>9</v>
      </c>
      <c r="B54" s="18">
        <v>2021</v>
      </c>
      <c r="C54" s="19">
        <v>0.15232306032130932</v>
      </c>
      <c r="D54" s="19">
        <v>1175.4867037646734</v>
      </c>
      <c r="E54" s="19">
        <v>0.2510057705597234</v>
      </c>
      <c r="F54" s="19">
        <v>0.1637014835769475</v>
      </c>
      <c r="G54" s="19">
        <v>-2.114351053532431E-2</v>
      </c>
      <c r="H54" s="19">
        <v>-1.9943269356512784E-2</v>
      </c>
      <c r="I54" s="19">
        <v>0.34733780724340868</v>
      </c>
      <c r="J54" s="19">
        <v>0.8350293230164666</v>
      </c>
      <c r="K54" s="19">
        <v>5.476317417146114</v>
      </c>
      <c r="L54" s="19">
        <v>-591.54929577464793</v>
      </c>
      <c r="M54" s="19">
        <v>0.95399075097846275</v>
      </c>
    </row>
    <row r="55" spans="1:13" x14ac:dyDescent="0.35">
      <c r="A55" s="32">
        <v>10</v>
      </c>
      <c r="B55" s="18">
        <v>2021</v>
      </c>
      <c r="C55" s="19">
        <v>0.50684108888314938</v>
      </c>
      <c r="D55" s="19">
        <v>86.493655677624602</v>
      </c>
      <c r="E55" s="19">
        <v>1.0790770012691759</v>
      </c>
      <c r="F55" s="19">
        <v>0.59394571338169144</v>
      </c>
      <c r="G55" s="19">
        <v>5.1645554905994082E-2</v>
      </c>
      <c r="H55" s="19">
        <v>7.8588620733248182E-2</v>
      </c>
      <c r="I55" s="19">
        <v>0.30733585666145719</v>
      </c>
      <c r="J55" s="19">
        <v>5.8989586980278625</v>
      </c>
      <c r="K55" s="19">
        <v>0.10643658869466747</v>
      </c>
      <c r="L55" s="19">
        <v>14.476614699331847</v>
      </c>
      <c r="M55" s="19">
        <v>1.3269828257067722</v>
      </c>
    </row>
    <row r="56" spans="1:13" x14ac:dyDescent="0.35">
      <c r="A56" s="32">
        <v>11</v>
      </c>
      <c r="B56" s="18">
        <v>2021</v>
      </c>
      <c r="C56" s="19">
        <v>0.12315714591058706</v>
      </c>
      <c r="D56" s="19">
        <v>199.80614985307224</v>
      </c>
      <c r="E56" s="19">
        <v>0.13708772625859814</v>
      </c>
      <c r="F56" s="19">
        <v>0.12218216448547252</v>
      </c>
      <c r="G56" s="19">
        <v>-2.9568688161472213E-2</v>
      </c>
      <c r="H56" s="19">
        <v>-0.21785979520938853</v>
      </c>
      <c r="I56" s="19">
        <v>0.53712866439801121</v>
      </c>
      <c r="J56" s="19">
        <v>-2.4510233347445665</v>
      </c>
      <c r="K56" s="19">
        <v>0.11082885265433072</v>
      </c>
      <c r="L56" s="19">
        <v>-298.91304347826087</v>
      </c>
      <c r="M56" s="19">
        <v>8.8370131166810886</v>
      </c>
    </row>
    <row r="57" spans="1:13" x14ac:dyDescent="0.35">
      <c r="A57" s="32">
        <v>12</v>
      </c>
      <c r="B57" s="18">
        <v>2021</v>
      </c>
      <c r="C57" s="19">
        <v>5.2962669155503114E-2</v>
      </c>
      <c r="D57" s="19">
        <v>200.24907070937195</v>
      </c>
      <c r="E57" s="19">
        <v>0.31908254095008676</v>
      </c>
      <c r="F57" s="19">
        <v>0.29331776098075263</v>
      </c>
      <c r="G57" s="19">
        <v>-0.1378255936129702</v>
      </c>
      <c r="H57" s="19">
        <v>-0.3770155324237412</v>
      </c>
      <c r="I57" s="19">
        <v>-2.2418158155734232E-2</v>
      </c>
      <c r="J57" s="19">
        <v>-15.26226255688902</v>
      </c>
      <c r="K57" s="19">
        <v>0.24632775804210241</v>
      </c>
      <c r="L57" s="19">
        <v>-2.7063236870310825</v>
      </c>
      <c r="M57" s="19">
        <v>0.36816910326489377</v>
      </c>
    </row>
    <row r="58" spans="1:13" x14ac:dyDescent="0.35">
      <c r="A58" s="32">
        <v>13</v>
      </c>
      <c r="B58" s="18">
        <v>2021</v>
      </c>
      <c r="C58" s="19">
        <v>3.7068320595359451E-2</v>
      </c>
      <c r="D58" s="19">
        <v>161.27187380992768</v>
      </c>
      <c r="E58" s="19">
        <v>0.34647704163714954</v>
      </c>
      <c r="F58" s="19">
        <v>0.28392131136947529</v>
      </c>
      <c r="G58" s="19">
        <v>-6.4923301603212497E-2</v>
      </c>
      <c r="H58" s="19">
        <v>-0.15414767295198364</v>
      </c>
      <c r="I58" s="19">
        <v>-2.8077220996418541E-3</v>
      </c>
      <c r="J58" s="19">
        <v>-0.69226531053822604</v>
      </c>
      <c r="K58" s="19">
        <v>0.48342513072821264</v>
      </c>
      <c r="L58" s="19">
        <v>-15.105740181268882</v>
      </c>
      <c r="M58" s="19">
        <v>0.97452711796789537</v>
      </c>
    </row>
    <row r="59" spans="1:13" x14ac:dyDescent="0.35">
      <c r="A59" s="32">
        <v>14</v>
      </c>
      <c r="B59" s="18">
        <v>2021</v>
      </c>
      <c r="C59" s="19">
        <v>1.5748080589951918</v>
      </c>
      <c r="D59" s="19">
        <v>16.749573308904239</v>
      </c>
      <c r="E59" s="19">
        <v>0.43991172252742305</v>
      </c>
      <c r="F59" s="19">
        <v>0.36056332773580924</v>
      </c>
      <c r="G59" s="19">
        <v>0.10450266330576212</v>
      </c>
      <c r="H59" s="19">
        <v>0.25792250992057381</v>
      </c>
      <c r="I59" s="19">
        <v>0.34907735821169766</v>
      </c>
      <c r="J59" s="19">
        <v>21.795659960092738</v>
      </c>
      <c r="K59" s="19">
        <v>0.12371598581791277</v>
      </c>
      <c r="L59" s="19">
        <v>14.089661482159196</v>
      </c>
      <c r="M59" s="19">
        <v>1.4713692299075443</v>
      </c>
    </row>
    <row r="60" spans="1:13" x14ac:dyDescent="0.35">
      <c r="A60" s="32">
        <v>15</v>
      </c>
      <c r="B60" s="18">
        <v>2021</v>
      </c>
      <c r="C60" s="19">
        <v>3.2849926278062248E-2</v>
      </c>
      <c r="D60" s="19">
        <v>34.519381832937128</v>
      </c>
      <c r="E60" s="19">
        <v>0.59343481082158989</v>
      </c>
      <c r="F60" s="19">
        <v>0.53936800858982725</v>
      </c>
      <c r="G60" s="19">
        <v>-1.1607705081011907E-2</v>
      </c>
      <c r="H60" s="19">
        <v>4.9178266442241741E-3</v>
      </c>
      <c r="I60" s="19">
        <v>0.32606262321603385</v>
      </c>
      <c r="J60" s="19">
        <v>1.0438910809673034</v>
      </c>
      <c r="K60" s="19">
        <v>-5.3761073400770503</v>
      </c>
      <c r="L60" s="19">
        <v>198.19819819819818</v>
      </c>
      <c r="M60" s="19">
        <v>-1.983317277232743</v>
      </c>
    </row>
    <row r="61" spans="1:13" x14ac:dyDescent="0.35">
      <c r="A61" s="32">
        <v>16</v>
      </c>
      <c r="B61" s="18">
        <v>2021</v>
      </c>
      <c r="C61" s="19">
        <v>1.0264513015290129</v>
      </c>
      <c r="D61" s="19">
        <v>64.44636954588276</v>
      </c>
      <c r="E61" s="19">
        <v>9.6385283730175093</v>
      </c>
      <c r="F61" s="19">
        <v>2.3504227291421529</v>
      </c>
      <c r="G61" s="19">
        <v>0.26651320742624141</v>
      </c>
      <c r="H61" s="19">
        <v>7.5923713140204768E-2</v>
      </c>
      <c r="I61" s="19">
        <v>0.33853051950847418</v>
      </c>
      <c r="J61" s="19">
        <v>21.788598196604529</v>
      </c>
      <c r="K61" s="19">
        <v>0.49346592485713842</v>
      </c>
      <c r="L61" s="19">
        <v>23.370577281191807</v>
      </c>
      <c r="M61" s="19">
        <v>6.2285426606060685</v>
      </c>
    </row>
    <row r="62" spans="1:13" x14ac:dyDescent="0.35">
      <c r="A62" s="32">
        <v>17</v>
      </c>
      <c r="B62" s="18">
        <v>2021</v>
      </c>
      <c r="C62" s="19">
        <v>1.8680219780154363E-2</v>
      </c>
      <c r="D62" s="19">
        <v>142.40366154502925</v>
      </c>
      <c r="E62" s="19">
        <v>0.66636953659657805</v>
      </c>
      <c r="F62" s="19">
        <v>0.48831321677521539</v>
      </c>
      <c r="G62" s="19">
        <v>5.1415128422786536</v>
      </c>
      <c r="H62" s="19">
        <v>-0.11790991490952737</v>
      </c>
      <c r="I62" s="19">
        <v>0.25135005147063222</v>
      </c>
      <c r="J62" s="19">
        <v>-23.065819515900152</v>
      </c>
      <c r="K62" s="19">
        <v>-90.298079712097859</v>
      </c>
      <c r="L62" s="19">
        <v>-8.1829121540312872</v>
      </c>
      <c r="M62" s="19">
        <v>-40.741216298886812</v>
      </c>
    </row>
    <row r="63" spans="1:13" x14ac:dyDescent="0.35">
      <c r="A63" s="32">
        <v>18</v>
      </c>
      <c r="B63" s="18">
        <v>2021</v>
      </c>
      <c r="C63" s="19">
        <v>0.7915043615151599</v>
      </c>
      <c r="D63" s="19">
        <v>90.165750317955471</v>
      </c>
      <c r="E63" s="19">
        <v>1.6834225555346296</v>
      </c>
      <c r="F63" s="19">
        <v>0.81154532087229525</v>
      </c>
      <c r="G63" s="19">
        <v>0.36427643725654513</v>
      </c>
      <c r="H63" s="19">
        <v>0.20667768716520371</v>
      </c>
      <c r="I63" s="19">
        <v>0.28210380853816075</v>
      </c>
      <c r="J63" s="19">
        <v>14.76160700193812</v>
      </c>
      <c r="K63" s="19">
        <v>1.171824406805777</v>
      </c>
      <c r="L63" s="19">
        <v>0.49874686716791983</v>
      </c>
      <c r="M63" s="19">
        <v>0.11979554934425179</v>
      </c>
    </row>
    <row r="64" spans="1:13" x14ac:dyDescent="0.35">
      <c r="A64" s="32">
        <v>19</v>
      </c>
      <c r="B64" s="18">
        <v>2021</v>
      </c>
      <c r="C64" s="19">
        <v>1.4119409096211115</v>
      </c>
      <c r="D64" s="19">
        <v>3170.0109898567557</v>
      </c>
      <c r="E64" s="19">
        <v>0.77302231198462956</v>
      </c>
      <c r="F64" s="19">
        <v>7.9778355774537471E-2</v>
      </c>
      <c r="G64" s="19">
        <v>2.4795447341697479</v>
      </c>
      <c r="H64" s="19">
        <v>25.969030963666697</v>
      </c>
      <c r="I64" s="19">
        <v>-2.0936709742627797</v>
      </c>
      <c r="J64" s="19">
        <v>-1344.7753996352324</v>
      </c>
      <c r="K64" s="19">
        <v>0.19682629526656328</v>
      </c>
      <c r="L64" s="19">
        <v>2.7100271002710028</v>
      </c>
      <c r="M64" s="19">
        <v>6.7200479027645974</v>
      </c>
    </row>
    <row r="65" spans="1:13" x14ac:dyDescent="0.35">
      <c r="A65" s="32">
        <v>20</v>
      </c>
      <c r="B65" s="18">
        <v>2021</v>
      </c>
      <c r="C65" s="19">
        <v>0.6843984470358383</v>
      </c>
      <c r="D65" s="19">
        <v>34.583836746852825</v>
      </c>
      <c r="E65" s="19">
        <v>1.1568206211426573</v>
      </c>
      <c r="F65" s="19">
        <v>0.83180681428625369</v>
      </c>
      <c r="G65" s="19">
        <v>0.45239843066048441</v>
      </c>
      <c r="H65" s="19">
        <v>0.20698929835825874</v>
      </c>
      <c r="I65" s="19">
        <v>0.21689754456841537</v>
      </c>
      <c r="J65" s="19">
        <v>7.4358896874302003</v>
      </c>
      <c r="K65" s="19">
        <v>1.6275483933724588</v>
      </c>
      <c r="L65" s="19">
        <v>1.1229508196721312</v>
      </c>
      <c r="M65" s="19">
        <v>0.50686135339321037</v>
      </c>
    </row>
    <row r="66" spans="1:13" x14ac:dyDescent="0.35">
      <c r="A66" s="32">
        <v>21</v>
      </c>
      <c r="B66" s="18">
        <v>2021</v>
      </c>
      <c r="C66" s="19">
        <v>8.8182776131303028E-2</v>
      </c>
      <c r="D66" s="19">
        <v>54.796645677963767</v>
      </c>
      <c r="E66" s="19">
        <v>0.57048744407531504</v>
      </c>
      <c r="F66" s="19">
        <v>0.51610288141348348</v>
      </c>
      <c r="G66" s="19">
        <v>-8.3998392502955696E-2</v>
      </c>
      <c r="H66" s="19">
        <v>-0.1244449650451301</v>
      </c>
      <c r="I66" s="19">
        <v>0.1305328031392326</v>
      </c>
      <c r="J66" s="19">
        <v>-1.8835588302422932</v>
      </c>
      <c r="K66" s="19">
        <v>0.30784826667963699</v>
      </c>
      <c r="L66" s="19">
        <v>-14.386584289496911</v>
      </c>
      <c r="M66" s="19">
        <v>1.2083898861447477</v>
      </c>
    </row>
    <row r="67" spans="1:13" x14ac:dyDescent="0.35">
      <c r="A67" s="32">
        <v>22</v>
      </c>
      <c r="B67" s="18">
        <v>2021</v>
      </c>
      <c r="C67" s="19">
        <v>0.10991637692278897</v>
      </c>
      <c r="D67" s="19">
        <v>104.16453138816222</v>
      </c>
      <c r="E67" s="19">
        <v>0.44517394960087125</v>
      </c>
      <c r="F67" s="19">
        <v>0.41998086957468539</v>
      </c>
      <c r="G67" s="19">
        <v>-8.8687766128724504E-2</v>
      </c>
      <c r="H67" s="19">
        <v>-0.10298801603572272</v>
      </c>
      <c r="I67" s="19">
        <v>0.33490736481295952</v>
      </c>
      <c r="J67" s="19">
        <v>-0.64031573029070932</v>
      </c>
      <c r="K67" s="19">
        <v>1.0504421252358638</v>
      </c>
      <c r="L67" s="19">
        <v>-18.109090909090909</v>
      </c>
      <c r="M67" s="19">
        <v>1.6273930282344953</v>
      </c>
    </row>
    <row r="68" spans="1:13" x14ac:dyDescent="0.35">
      <c r="A68" s="32">
        <v>1</v>
      </c>
      <c r="B68" s="18">
        <v>2022</v>
      </c>
      <c r="C68" s="19">
        <v>0.72476270848457414</v>
      </c>
      <c r="D68" s="19">
        <v>76.722323169898132</v>
      </c>
      <c r="E68" s="19">
        <v>2.5853531181309917</v>
      </c>
      <c r="F68" s="19">
        <v>1.3222071036560874</v>
      </c>
      <c r="G68" s="19">
        <v>0.26433225984517622</v>
      </c>
      <c r="H68" s="19">
        <v>9.701748628299367E-2</v>
      </c>
      <c r="I68" s="19">
        <v>0.2267523055536983</v>
      </c>
      <c r="J68" s="19">
        <v>6.7798473270585919</v>
      </c>
      <c r="K68" s="19">
        <v>1.0606330679352134</v>
      </c>
      <c r="L68" s="19">
        <v>4.460852176588217</v>
      </c>
      <c r="M68" s="19">
        <v>1.1750893706037959</v>
      </c>
    </row>
    <row r="69" spans="1:13" x14ac:dyDescent="0.35">
      <c r="A69" s="32">
        <v>2</v>
      </c>
      <c r="B69" s="18">
        <v>2022</v>
      </c>
      <c r="C69" s="19">
        <v>0.52011168666449892</v>
      </c>
      <c r="D69" s="19">
        <v>31.062145905128919</v>
      </c>
      <c r="E69" s="19">
        <v>1.0256660657895731</v>
      </c>
      <c r="F69" s="19">
        <v>0.80761434048439651</v>
      </c>
      <c r="G69" s="19">
        <v>1.4992078657675727E-3</v>
      </c>
      <c r="H69" s="19">
        <v>6.3105100488343663E-4</v>
      </c>
      <c r="I69" s="19">
        <v>0.18431563568200768</v>
      </c>
      <c r="J69" s="19">
        <v>1.0131722799229192</v>
      </c>
      <c r="K69" s="19">
        <v>1.9416660449344687</v>
      </c>
      <c r="L69" s="19">
        <v>26.825891311872621</v>
      </c>
      <c r="M69" s="19">
        <v>1.1186221988799327</v>
      </c>
    </row>
    <row r="70" spans="1:13" x14ac:dyDescent="0.35">
      <c r="A70" s="32">
        <v>3</v>
      </c>
      <c r="B70" s="18">
        <v>2022</v>
      </c>
      <c r="C70" s="19">
        <v>0.98083843673524651</v>
      </c>
      <c r="D70" s="19">
        <v>39.962421659563802</v>
      </c>
      <c r="E70" s="19">
        <v>0.6511813170219678</v>
      </c>
      <c r="F70" s="19">
        <v>0.52082063959055058</v>
      </c>
      <c r="G70" s="19">
        <v>6.8033642757542909E-2</v>
      </c>
      <c r="H70" s="19">
        <v>0.10139745410991337</v>
      </c>
      <c r="I70" s="19">
        <v>0.29871842009971866</v>
      </c>
      <c r="J70" s="19">
        <v>8.8512468118294301</v>
      </c>
      <c r="K70" s="19">
        <v>0.28827472937607496</v>
      </c>
      <c r="L70" s="19">
        <v>9.86013986013986</v>
      </c>
      <c r="M70" s="19">
        <v>0.65934680212331453</v>
      </c>
    </row>
    <row r="71" spans="1:13" x14ac:dyDescent="0.35">
      <c r="A71" s="32">
        <v>4</v>
      </c>
      <c r="B71" s="18">
        <v>2022</v>
      </c>
      <c r="C71" s="19">
        <v>0.1691507275444184</v>
      </c>
      <c r="D71" s="19">
        <v>72.587413741995576</v>
      </c>
      <c r="E71" s="19">
        <v>0.36832665922979879</v>
      </c>
      <c r="F71" s="19">
        <v>0.30762462990846223</v>
      </c>
      <c r="G71" s="19">
        <v>0.22857679587023497</v>
      </c>
      <c r="H71" s="19">
        <v>0.38361166674419689</v>
      </c>
      <c r="I71" s="19">
        <v>0.28751321267370866</v>
      </c>
      <c r="J71" s="19">
        <v>6.3979738416943288</v>
      </c>
      <c r="K71" s="19">
        <v>0.93695365465738012</v>
      </c>
      <c r="L71" s="19">
        <v>9.2043993347060162</v>
      </c>
      <c r="M71" s="19">
        <v>2.107394812732108</v>
      </c>
    </row>
    <row r="72" spans="1:13" x14ac:dyDescent="0.35">
      <c r="A72" s="32">
        <v>5</v>
      </c>
      <c r="B72" s="18">
        <v>2022</v>
      </c>
      <c r="C72" s="19">
        <v>0.11177555278217925</v>
      </c>
      <c r="D72" s="19">
        <v>46.90757882791744</v>
      </c>
      <c r="E72" s="19">
        <v>0.29029092606343093</v>
      </c>
      <c r="F72" s="19">
        <v>0.26849193050104486</v>
      </c>
      <c r="G72" s="19">
        <v>6.7846342470084225E-2</v>
      </c>
      <c r="H72" s="19">
        <v>5.4239560302867633E-2</v>
      </c>
      <c r="I72" s="19">
        <v>0.38274153286779877</v>
      </c>
      <c r="J72" s="19">
        <v>1.4632425669720528</v>
      </c>
      <c r="K72" s="19">
        <v>3.6590256967581634</v>
      </c>
      <c r="L72" s="19">
        <v>10.09332191780822</v>
      </c>
      <c r="M72" s="19">
        <v>0.68452545222045824</v>
      </c>
    </row>
    <row r="73" spans="1:13" x14ac:dyDescent="0.35">
      <c r="A73" s="32">
        <v>6</v>
      </c>
      <c r="B73" s="18">
        <v>2022</v>
      </c>
      <c r="C73" s="19">
        <v>3.5863192531790352E-3</v>
      </c>
      <c r="D73" s="19">
        <v>8.6628622832347233</v>
      </c>
      <c r="E73" s="19">
        <v>0.74574223539933338</v>
      </c>
      <c r="F73" s="19">
        <v>0.70572187989739743</v>
      </c>
      <c r="G73" s="19">
        <v>0.24165264840527864</v>
      </c>
      <c r="H73" s="19">
        <v>-0.43563699474430978</v>
      </c>
      <c r="I73" s="19">
        <v>-0.34801056697353705</v>
      </c>
      <c r="J73" s="19">
        <v>4.0019002683368399</v>
      </c>
      <c r="K73" s="19">
        <v>-1.7860193245851399</v>
      </c>
      <c r="L73" s="19">
        <v>-1.2434427822032252</v>
      </c>
      <c r="M73" s="19">
        <v>-0.30102003285056705</v>
      </c>
    </row>
    <row r="74" spans="1:13" x14ac:dyDescent="0.35">
      <c r="A74" s="32">
        <v>7</v>
      </c>
      <c r="B74" s="18">
        <v>2022</v>
      </c>
      <c r="C74" s="19">
        <v>0.31033520567149159</v>
      </c>
      <c r="D74" s="19">
        <v>21.90084668449499</v>
      </c>
      <c r="E74" s="19">
        <v>0.38648044997908682</v>
      </c>
      <c r="F74" s="19">
        <v>0.3368205068240025</v>
      </c>
      <c r="G74" s="19">
        <v>-2.4341556726156743</v>
      </c>
      <c r="H74" s="19">
        <v>1.7792994030943279</v>
      </c>
      <c r="I74" s="19">
        <v>1.873814727165684</v>
      </c>
      <c r="J74" s="19">
        <v>10.536220136350771</v>
      </c>
      <c r="K74" s="19">
        <v>-5.0616340508038196</v>
      </c>
      <c r="L74" s="19">
        <v>9.2452578878503208E-2</v>
      </c>
      <c r="M74" s="19">
        <v>-0.77931929253834487</v>
      </c>
    </row>
    <row r="75" spans="1:13" x14ac:dyDescent="0.35">
      <c r="A75" s="32">
        <v>8</v>
      </c>
      <c r="B75" s="18">
        <v>2022</v>
      </c>
      <c r="C75" s="19">
        <v>0.27858704703155912</v>
      </c>
      <c r="D75" s="19">
        <v>20.807657518768639</v>
      </c>
      <c r="E75" s="19">
        <v>0.26366083390829892</v>
      </c>
      <c r="F75" s="19">
        <v>0.19640886557277565</v>
      </c>
      <c r="G75" s="19">
        <v>-1.5685007345405322</v>
      </c>
      <c r="H75" s="19">
        <v>-1.9326313941018778</v>
      </c>
      <c r="I75" s="19">
        <v>0.17778908359392825</v>
      </c>
      <c r="J75" s="19">
        <v>-5.6624412370630655</v>
      </c>
      <c r="K75" s="19">
        <v>3.1321360212617773</v>
      </c>
      <c r="L75" s="19">
        <v>-2.7184466019417477</v>
      </c>
      <c r="M75" s="19">
        <v>4.2475946972424667</v>
      </c>
    </row>
    <row r="76" spans="1:13" x14ac:dyDescent="0.35">
      <c r="A76" s="32">
        <v>9</v>
      </c>
      <c r="B76" s="18">
        <v>2022</v>
      </c>
      <c r="C76" s="19">
        <v>0.15793787835334305</v>
      </c>
      <c r="D76" s="19">
        <v>1092.3115187476583</v>
      </c>
      <c r="E76" s="19">
        <v>0.28016380361871396</v>
      </c>
      <c r="F76" s="19">
        <v>0.18290131824353759</v>
      </c>
      <c r="G76" s="19">
        <v>2.0660225708451753E-2</v>
      </c>
      <c r="H76" s="19">
        <v>1.8552849789043823E-2</v>
      </c>
      <c r="I76" s="19">
        <v>0.40405725851370089</v>
      </c>
      <c r="J76" s="19">
        <v>1.2128006631717956</v>
      </c>
      <c r="K76" s="19">
        <v>5.0884619715198811</v>
      </c>
      <c r="L76" s="19">
        <v>18.854415274463005</v>
      </c>
      <c r="M76" s="19">
        <v>0.61830143139594484</v>
      </c>
    </row>
    <row r="77" spans="1:13" x14ac:dyDescent="0.35">
      <c r="A77" s="32">
        <v>10</v>
      </c>
      <c r="B77" s="18">
        <v>2022</v>
      </c>
      <c r="C77" s="19">
        <v>0.68011475924343412</v>
      </c>
      <c r="D77" s="19">
        <v>89.536189112755721</v>
      </c>
      <c r="E77" s="19">
        <v>0.99788592712607771</v>
      </c>
      <c r="F77" s="19">
        <v>0.60226510411726952</v>
      </c>
      <c r="G77" s="19">
        <v>3.6936300453169785E-2</v>
      </c>
      <c r="H77" s="19">
        <v>5.4738855398684415E-2</v>
      </c>
      <c r="I77" s="19">
        <v>0.28640121104629601</v>
      </c>
      <c r="J77" s="19">
        <v>8.7687699155308483</v>
      </c>
      <c r="K77" s="19">
        <v>0.12039195544519551</v>
      </c>
      <c r="L77" s="19">
        <v>19.569120287253142</v>
      </c>
      <c r="M77" s="19">
        <v>0.73852833565701081</v>
      </c>
    </row>
    <row r="78" spans="1:13" x14ac:dyDescent="0.35">
      <c r="A78" s="32">
        <v>11</v>
      </c>
      <c r="B78" s="18">
        <v>2022</v>
      </c>
      <c r="C78" s="19">
        <v>3.0003963134425056E-2</v>
      </c>
      <c r="D78" s="19">
        <v>178.13765518979338</v>
      </c>
      <c r="E78" s="19">
        <v>0.14035464155709959</v>
      </c>
      <c r="F78" s="19">
        <v>0.12389994446965558</v>
      </c>
      <c r="G78" s="19">
        <v>-1.5116187842477489E-3</v>
      </c>
      <c r="H78" s="19">
        <v>-1.1159607644646534E-2</v>
      </c>
      <c r="I78" s="19">
        <v>0.59928854827775091</v>
      </c>
      <c r="J78" s="19">
        <v>0.75904804272972914</v>
      </c>
      <c r="K78" s="19">
        <v>9.3256939235527803E-2</v>
      </c>
      <c r="L78" s="19">
        <v>-952.63157894736844</v>
      </c>
      <c r="M78" s="19">
        <v>1.4537494675426923</v>
      </c>
    </row>
    <row r="79" spans="1:13" x14ac:dyDescent="0.35">
      <c r="A79" s="32">
        <v>12</v>
      </c>
      <c r="B79" s="18">
        <v>2022</v>
      </c>
      <c r="C79" s="19">
        <v>5.0211711198618482E-2</v>
      </c>
      <c r="D79" s="19">
        <v>168.80215136755311</v>
      </c>
      <c r="E79" s="19">
        <v>0.44971344038482347</v>
      </c>
      <c r="F79" s="19">
        <v>0.41433537185507491</v>
      </c>
      <c r="G79" s="19">
        <v>-0.12484445129333648</v>
      </c>
      <c r="H79" s="19">
        <v>-0.22890715578784104</v>
      </c>
      <c r="I79" s="19">
        <v>7.4029287681939365E-2</v>
      </c>
      <c r="J79" s="19">
        <v>15.786750739602191</v>
      </c>
      <c r="K79" s="19">
        <v>0.31630904347065264</v>
      </c>
      <c r="L79" s="19">
        <v>-3.0860144451739986</v>
      </c>
      <c r="M79" s="19">
        <v>0.3854539408402442</v>
      </c>
    </row>
    <row r="80" spans="1:13" x14ac:dyDescent="0.35">
      <c r="A80" s="32">
        <v>13</v>
      </c>
      <c r="B80" s="18">
        <v>2022</v>
      </c>
      <c r="C80" s="19">
        <v>1.489915994089369E-2</v>
      </c>
      <c r="D80" s="19">
        <v>71.087867750620063</v>
      </c>
      <c r="E80" s="19">
        <v>0.36108859152133382</v>
      </c>
      <c r="F80" s="19">
        <v>0.31501356615782861</v>
      </c>
      <c r="G80" s="19">
        <v>-0.18149263179040623</v>
      </c>
      <c r="H80" s="19">
        <v>-0.37149946648458126</v>
      </c>
      <c r="I80" s="19">
        <v>4.5431696486166861E-4</v>
      </c>
      <c r="J80" s="19">
        <v>-0.14029213788316836</v>
      </c>
      <c r="K80" s="19">
        <v>0.55085625743949185</v>
      </c>
      <c r="L80" s="19">
        <v>-6.2656641604010019</v>
      </c>
      <c r="M80" s="19">
        <v>1.1466077202517102</v>
      </c>
    </row>
    <row r="81" spans="1:13" x14ac:dyDescent="0.35">
      <c r="A81" s="32">
        <v>14</v>
      </c>
      <c r="B81" s="18">
        <v>2022</v>
      </c>
      <c r="C81" s="19">
        <v>0.68667191680695683</v>
      </c>
      <c r="D81" s="19">
        <v>20.307169560890824</v>
      </c>
      <c r="E81" s="19">
        <v>0.60966480915281773</v>
      </c>
      <c r="F81" s="19">
        <v>0.47381547059257756</v>
      </c>
      <c r="G81" s="19">
        <v>0.21650147842589662</v>
      </c>
      <c r="H81" s="19">
        <v>0.40823822313477859</v>
      </c>
      <c r="I81" s="19">
        <v>0.49472962526614334</v>
      </c>
      <c r="J81" s="19">
        <v>68.051108094180492</v>
      </c>
      <c r="K81" s="19">
        <v>0.11927799214882054</v>
      </c>
      <c r="L81" s="19">
        <v>5.7663690476190474</v>
      </c>
      <c r="M81" s="19">
        <v>1.2478754158637577</v>
      </c>
    </row>
    <row r="82" spans="1:13" x14ac:dyDescent="0.35">
      <c r="A82" s="32">
        <v>15</v>
      </c>
      <c r="B82" s="18">
        <v>2022</v>
      </c>
      <c r="C82" s="19">
        <v>4.0661118017869952E-2</v>
      </c>
      <c r="D82" s="19">
        <v>27.545566282495511</v>
      </c>
      <c r="E82" s="19">
        <v>1.0477651242957036</v>
      </c>
      <c r="F82" s="19">
        <v>0.9350417093176614</v>
      </c>
      <c r="G82" s="19">
        <v>-0.17738784485513842</v>
      </c>
      <c r="H82" s="19">
        <v>4.0480793441846401E-2</v>
      </c>
      <c r="I82" s="19">
        <v>0.25915105333186217</v>
      </c>
      <c r="J82" s="19">
        <v>1.5806441915669063</v>
      </c>
      <c r="K82" s="19">
        <v>-5.6864485903219393</v>
      </c>
      <c r="L82" s="19">
        <v>13.074204946996467</v>
      </c>
      <c r="M82" s="19">
        <v>-2.3629702050505599</v>
      </c>
    </row>
    <row r="83" spans="1:13" x14ac:dyDescent="0.35">
      <c r="A83" s="32">
        <v>16</v>
      </c>
      <c r="B83" s="18">
        <v>2022</v>
      </c>
      <c r="C83" s="19">
        <v>0.62266840479244423</v>
      </c>
      <c r="D83" s="19">
        <v>71.618493453967176</v>
      </c>
      <c r="E83" s="19">
        <v>8.1968789562097299</v>
      </c>
      <c r="F83" s="19">
        <v>2.3693804649877896</v>
      </c>
      <c r="G83" s="19">
        <v>4.9080863765938315E-3</v>
      </c>
      <c r="H83" s="19">
        <v>1.4041395100411441E-3</v>
      </c>
      <c r="I83" s="19">
        <v>0.29212089169924488</v>
      </c>
      <c r="J83" s="19">
        <v>0.51444733041614732</v>
      </c>
      <c r="K83" s="19">
        <v>0.47525513135960207</v>
      </c>
      <c r="L83" s="19">
        <v>740</v>
      </c>
      <c r="M83" s="19">
        <v>3.641681810956984</v>
      </c>
    </row>
    <row r="84" spans="1:13" x14ac:dyDescent="0.35">
      <c r="A84" s="32">
        <v>17</v>
      </c>
      <c r="B84" s="18">
        <v>2022</v>
      </c>
      <c r="C84" s="19">
        <v>6.8028544775828176E-2</v>
      </c>
      <c r="D84" s="19">
        <v>110.3614193350995</v>
      </c>
      <c r="E84" s="19">
        <v>0.75598122801531553</v>
      </c>
      <c r="F84" s="19">
        <v>0.56707339832833437</v>
      </c>
      <c r="G84" s="19">
        <v>0.79797646710638459</v>
      </c>
      <c r="H84" s="19">
        <v>3.2995605081835161E-2</v>
      </c>
      <c r="I84" s="19">
        <v>0.29084784686874565</v>
      </c>
      <c r="J84" s="19">
        <v>8.56675649206435</v>
      </c>
      <c r="K84" s="19">
        <v>41.647611380900322</v>
      </c>
      <c r="L84" s="19">
        <v>25.925925925925924</v>
      </c>
      <c r="M84" s="19">
        <v>22.250460466714394</v>
      </c>
    </row>
    <row r="85" spans="1:13" x14ac:dyDescent="0.35">
      <c r="A85" s="32">
        <v>18</v>
      </c>
      <c r="B85" s="18">
        <v>2022</v>
      </c>
      <c r="C85" s="19">
        <v>1.307376691069958</v>
      </c>
      <c r="D85" s="19">
        <v>61.667901094125831</v>
      </c>
      <c r="E85" s="19">
        <v>2.2956662859564512</v>
      </c>
      <c r="F85" s="19">
        <v>0.9978706884833235</v>
      </c>
      <c r="G85" s="19">
        <v>0.50581031606811344</v>
      </c>
      <c r="H85" s="19">
        <v>0.28410855476526969</v>
      </c>
      <c r="I85" s="19">
        <v>0.34241209197993427</v>
      </c>
      <c r="J85" s="19">
        <v>26.007656372517456</v>
      </c>
      <c r="K85" s="19">
        <v>0.78414072198334106</v>
      </c>
      <c r="L85" s="19">
        <v>0.38152660060787269</v>
      </c>
      <c r="M85" s="19">
        <v>0.12563438731117932</v>
      </c>
    </row>
    <row r="86" spans="1:13" x14ac:dyDescent="0.35">
      <c r="A86" s="32">
        <v>19</v>
      </c>
      <c r="B86" s="18">
        <v>2022</v>
      </c>
      <c r="C86" s="19">
        <v>1.0903370786005762</v>
      </c>
      <c r="D86" s="19">
        <v>6866.3974239139579</v>
      </c>
      <c r="E86" s="19">
        <v>0.53431082695111987</v>
      </c>
      <c r="F86" s="19">
        <v>4.0339870713933884E-2</v>
      </c>
      <c r="G86" s="19">
        <v>-0.24262446806628107</v>
      </c>
      <c r="H86" s="19">
        <v>-5.0546677230215726</v>
      </c>
      <c r="I86" s="19">
        <v>-1.929958039738118</v>
      </c>
      <c r="J86" s="19">
        <v>-611.67951797075807</v>
      </c>
      <c r="K86" s="19">
        <v>0.18989182959607981</v>
      </c>
      <c r="L86" s="19">
        <v>-34.246575342465754</v>
      </c>
      <c r="M86" s="19">
        <v>8.3217778854827529</v>
      </c>
    </row>
    <row r="87" spans="1:13" x14ac:dyDescent="0.35">
      <c r="A87" s="32">
        <v>20</v>
      </c>
      <c r="B87" s="18">
        <v>2022</v>
      </c>
      <c r="C87" s="19">
        <v>1.2776802885329541</v>
      </c>
      <c r="D87" s="19">
        <v>24.181205290937172</v>
      </c>
      <c r="E87" s="19">
        <v>1.8586002142871294</v>
      </c>
      <c r="F87" s="19">
        <v>1.1076473331816483</v>
      </c>
      <c r="G87" s="19">
        <v>0.63526792975746171</v>
      </c>
      <c r="H87" s="19">
        <v>0.28983998527242932</v>
      </c>
      <c r="I87" s="19">
        <v>0.36184599766376119</v>
      </c>
      <c r="J87" s="19">
        <v>13.835567604679207</v>
      </c>
      <c r="K87" s="19">
        <v>0.97877824138436142</v>
      </c>
      <c r="L87" s="19">
        <v>0.81380753138075312</v>
      </c>
      <c r="M87" s="19">
        <v>0.49859750146705573</v>
      </c>
    </row>
    <row r="88" spans="1:13" x14ac:dyDescent="0.35">
      <c r="A88" s="32">
        <v>21</v>
      </c>
      <c r="B88" s="18">
        <v>2022</v>
      </c>
      <c r="C88" s="19">
        <v>8.4037935204500994E-2</v>
      </c>
      <c r="D88" s="19">
        <v>68.188269172201984</v>
      </c>
      <c r="E88" s="19">
        <v>0.62264727942275189</v>
      </c>
      <c r="F88" s="19">
        <v>0.54786305989319117</v>
      </c>
      <c r="G88" s="19">
        <v>-7.8376182632271751E-2</v>
      </c>
      <c r="H88" s="19">
        <v>-0.10991076543940907</v>
      </c>
      <c r="I88" s="19">
        <v>0.15643880362694818</v>
      </c>
      <c r="J88" s="19">
        <v>-4.4290035598117479</v>
      </c>
      <c r="K88" s="19">
        <v>0.30158296476642737</v>
      </c>
      <c r="L88" s="19">
        <v>-10.19367991845056</v>
      </c>
      <c r="M88" s="19">
        <v>0.79914261898268357</v>
      </c>
    </row>
    <row r="89" spans="1:13" x14ac:dyDescent="0.35">
      <c r="A89" s="32">
        <v>22</v>
      </c>
      <c r="B89" s="18">
        <v>2022</v>
      </c>
      <c r="C89" s="19">
        <v>1.0694914427572566</v>
      </c>
      <c r="D89" s="19">
        <v>56.19259634812235</v>
      </c>
      <c r="E89" s="19">
        <v>0.7466401315011385</v>
      </c>
      <c r="F89" s="19">
        <v>0.62903868501459148</v>
      </c>
      <c r="G89" s="19">
        <v>0.10134973089352103</v>
      </c>
      <c r="H89" s="19">
        <v>0.10869476222101943</v>
      </c>
      <c r="I89" s="19">
        <v>0.42581375090846346</v>
      </c>
      <c r="J89" s="19">
        <v>6.779264051850423</v>
      </c>
      <c r="K89" s="19">
        <v>0.48230177368482385</v>
      </c>
      <c r="L89" s="19">
        <v>6.1111111111111107</v>
      </c>
      <c r="M89" s="19">
        <v>0.81665808919026306</v>
      </c>
    </row>
    <row r="90" spans="1:13" x14ac:dyDescent="0.35">
      <c r="A90" s="32">
        <v>1</v>
      </c>
      <c r="B90" s="18">
        <v>2023</v>
      </c>
      <c r="C90" s="19">
        <v>0.76706863575386641</v>
      </c>
      <c r="D90" s="19">
        <v>75.811490038839381</v>
      </c>
      <c r="E90" s="19">
        <v>2.2869421335202471</v>
      </c>
      <c r="F90" s="19">
        <v>1.3427225937529546</v>
      </c>
      <c r="G90" s="19">
        <v>6.2448165624313622E-2</v>
      </c>
      <c r="H90" s="19">
        <v>2.727685218699764E-2</v>
      </c>
      <c r="I90" s="19">
        <v>0.13511129658435078</v>
      </c>
      <c r="J90" s="19">
        <v>0.12627576727534059</v>
      </c>
      <c r="K90" s="19">
        <v>0.70505792931028588</v>
      </c>
      <c r="L90" s="19">
        <v>8.6503067484662566</v>
      </c>
      <c r="M90" s="19">
        <v>0.53865017746696808</v>
      </c>
    </row>
    <row r="91" spans="1:13" x14ac:dyDescent="0.35">
      <c r="A91" s="32">
        <v>2</v>
      </c>
      <c r="B91" s="18">
        <v>2023</v>
      </c>
      <c r="C91" s="19">
        <v>0.45702863225971907</v>
      </c>
      <c r="D91" s="19">
        <v>37.930748076113694</v>
      </c>
      <c r="E91" s="19">
        <v>0.75617321030636553</v>
      </c>
      <c r="F91" s="19">
        <v>0.60504972011068658</v>
      </c>
      <c r="G91" s="19">
        <v>7.4660330686430604E-3</v>
      </c>
      <c r="H91" s="19">
        <v>4.3776222432343574E-3</v>
      </c>
      <c r="I91" s="19">
        <v>0.25056715323291651</v>
      </c>
      <c r="J91" s="19">
        <v>1.1969320660075267</v>
      </c>
      <c r="K91" s="19">
        <v>1.8187759823168732</v>
      </c>
      <c r="L91" s="19">
        <v>27.545327754532774</v>
      </c>
      <c r="M91" s="19">
        <v>1.1204707837164927</v>
      </c>
    </row>
    <row r="92" spans="1:13" x14ac:dyDescent="0.35">
      <c r="A92" s="32">
        <v>3</v>
      </c>
      <c r="B92" s="18">
        <v>2023</v>
      </c>
      <c r="C92" s="19">
        <v>1.1230248680771175</v>
      </c>
      <c r="D92" s="19">
        <v>27.795142626114984</v>
      </c>
      <c r="E92" s="19">
        <v>0.72699918644618355</v>
      </c>
      <c r="F92" s="19">
        <v>0.58342233685970235</v>
      </c>
      <c r="G92" s="19">
        <v>8.2229086070023327E-2</v>
      </c>
      <c r="H92" s="19">
        <v>0.10470795518886269</v>
      </c>
      <c r="I92" s="19">
        <v>0.31749980553862184</v>
      </c>
      <c r="J92" s="19">
        <v>9.5573576438578822</v>
      </c>
      <c r="K92" s="19">
        <v>0.34605477322133354</v>
      </c>
      <c r="L92" s="19">
        <v>9.88950276243094</v>
      </c>
      <c r="M92" s="19">
        <v>0.79531355934310211</v>
      </c>
    </row>
    <row r="93" spans="1:13" x14ac:dyDescent="0.35">
      <c r="A93" s="32">
        <v>4</v>
      </c>
      <c r="B93" s="18">
        <v>2023</v>
      </c>
      <c r="C93" s="19">
        <v>1.3215563992524444</v>
      </c>
      <c r="D93" s="19">
        <v>58.867065205779667</v>
      </c>
      <c r="E93" s="19">
        <v>0.5337540439096462</v>
      </c>
      <c r="F93" s="19">
        <v>0.41963011274273193</v>
      </c>
      <c r="G93" s="19">
        <v>0.27103043772171087</v>
      </c>
      <c r="H93" s="19">
        <v>0.4001690475893358</v>
      </c>
      <c r="I93" s="19">
        <v>0.35757770066220729</v>
      </c>
      <c r="J93" s="19">
        <v>12.328786458097268</v>
      </c>
      <c r="K93" s="19">
        <v>0.61401634008746597</v>
      </c>
      <c r="L93" s="19">
        <v>5.3860824706175734</v>
      </c>
      <c r="M93" s="19">
        <v>1.4621344838671404</v>
      </c>
    </row>
    <row r="94" spans="1:13" x14ac:dyDescent="0.35">
      <c r="A94" s="32">
        <v>5</v>
      </c>
      <c r="B94" s="18">
        <v>2023</v>
      </c>
      <c r="C94" s="19">
        <v>0.45188790803118783</v>
      </c>
      <c r="D94" s="19">
        <v>38.270875326534821</v>
      </c>
      <c r="E94" s="19">
        <v>0.33524815217376863</v>
      </c>
      <c r="F94" s="19">
        <v>0.28881252741539359</v>
      </c>
      <c r="G94" s="19">
        <v>5.4271238087750424E-2</v>
      </c>
      <c r="H94" s="19">
        <v>6.1582091628585897E-2</v>
      </c>
      <c r="I94" s="19">
        <v>0.3465950734158697</v>
      </c>
      <c r="J94" s="19">
        <v>1.6702400683069398</v>
      </c>
      <c r="K94" s="19">
        <v>2.0514008759709892</v>
      </c>
      <c r="L94" s="19">
        <v>11.267605633802818</v>
      </c>
      <c r="M94" s="19">
        <v>0.62082867690723254</v>
      </c>
    </row>
    <row r="95" spans="1:13" x14ac:dyDescent="0.35">
      <c r="A95" s="32">
        <v>6</v>
      </c>
      <c r="B95" s="18">
        <v>2023</v>
      </c>
      <c r="C95" s="19">
        <v>6.5578007805396589E-3</v>
      </c>
      <c r="D95" s="19">
        <v>6.9774151888769387</v>
      </c>
      <c r="E95" s="19">
        <v>1.1453983353018069</v>
      </c>
      <c r="F95" s="19">
        <v>1.0832246140032729</v>
      </c>
      <c r="G95" s="19">
        <v>0.13676282659218139</v>
      </c>
      <c r="H95" s="19">
        <v>-0.16311899933694055</v>
      </c>
      <c r="I95" s="19">
        <v>-0.10605062947931253</v>
      </c>
      <c r="J95" s="19">
        <v>1.9383047073491391</v>
      </c>
      <c r="K95" s="19">
        <v>-1.7740071983554326</v>
      </c>
      <c r="L95" s="19">
        <v>-1.2351778656126482</v>
      </c>
      <c r="M95" s="19">
        <v>-0.16902315479122612</v>
      </c>
    </row>
    <row r="96" spans="1:13" x14ac:dyDescent="0.35">
      <c r="A96" s="32">
        <v>7</v>
      </c>
      <c r="B96" s="18">
        <v>2023</v>
      </c>
      <c r="C96" s="19">
        <v>0.24876195157159584</v>
      </c>
      <c r="D96" s="19">
        <v>20.288917966827192</v>
      </c>
      <c r="E96" s="19">
        <v>0.48348582592951489</v>
      </c>
      <c r="F96" s="19">
        <v>0.43650208518216843</v>
      </c>
      <c r="G96" s="19">
        <v>-0.19645376281706495</v>
      </c>
      <c r="H96" s="19">
        <v>8.5811452625039863E-2</v>
      </c>
      <c r="I96" s="19">
        <v>7.9883763908685221E-2</v>
      </c>
      <c r="J96" s="19">
        <v>1.5135684337741031</v>
      </c>
      <c r="K96" s="19">
        <v>-0.90834245630474186</v>
      </c>
      <c r="L96" s="19">
        <v>1.6417489623075854</v>
      </c>
      <c r="M96" s="19">
        <v>-0.3196428390967091</v>
      </c>
    </row>
    <row r="97" spans="1:13" x14ac:dyDescent="0.35">
      <c r="A97" s="32">
        <v>8</v>
      </c>
      <c r="B97" s="18">
        <v>2023</v>
      </c>
      <c r="C97" s="19">
        <v>0.11181586258068019</v>
      </c>
      <c r="D97" s="19">
        <v>148.41319863329343</v>
      </c>
      <c r="E97" s="19">
        <v>0.43319144746356941</v>
      </c>
      <c r="F97" s="19">
        <v>0.33764761606734467</v>
      </c>
      <c r="G97" s="19">
        <v>1.1943746672506375E-2</v>
      </c>
      <c r="H97" s="19">
        <v>9.6078920788335055E-3</v>
      </c>
      <c r="I97" s="19">
        <v>7.1321979543389494E-2</v>
      </c>
      <c r="J97" s="19">
        <v>0.92490623120483206</v>
      </c>
      <c r="K97" s="19">
        <v>2.6817032378411563</v>
      </c>
      <c r="L97" s="19">
        <v>511.39240506329111</v>
      </c>
      <c r="M97" s="19">
        <v>6.0548446846754214</v>
      </c>
    </row>
    <row r="98" spans="1:13" x14ac:dyDescent="0.35">
      <c r="A98" s="32">
        <v>9</v>
      </c>
      <c r="B98" s="18">
        <v>2023</v>
      </c>
      <c r="C98" s="19">
        <v>0.1562566126278159</v>
      </c>
      <c r="D98" s="19">
        <v>1078.516335378976</v>
      </c>
      <c r="E98" s="19">
        <v>0.2723549779281072</v>
      </c>
      <c r="F98" s="19">
        <v>0.1795224275425269</v>
      </c>
      <c r="G98" s="19">
        <v>5.6904545493198386E-2</v>
      </c>
      <c r="H98" s="19">
        <v>5.230545989303894E-2</v>
      </c>
      <c r="I98" s="19">
        <v>0.40930917158131119</v>
      </c>
      <c r="J98" s="19">
        <v>1.3393776006235689</v>
      </c>
      <c r="K98" s="19">
        <v>5.0601199683108691</v>
      </c>
      <c r="L98" s="19">
        <v>7.2614107883817427</v>
      </c>
      <c r="M98" s="19">
        <v>0.51146468008369494</v>
      </c>
    </row>
    <row r="99" spans="1:13" x14ac:dyDescent="0.35">
      <c r="A99" s="32">
        <v>10</v>
      </c>
      <c r="B99" s="18">
        <v>2023</v>
      </c>
      <c r="C99" s="19">
        <v>0.25195594188109632</v>
      </c>
      <c r="D99" s="19">
        <v>81.989667742468043</v>
      </c>
      <c r="E99" s="19">
        <v>0.74588892792712724</v>
      </c>
      <c r="F99" s="19">
        <v>0.50859960546913352</v>
      </c>
      <c r="G99" s="19">
        <v>8.4122532306344922E-2</v>
      </c>
      <c r="H99" s="19">
        <v>0.12065394683366357</v>
      </c>
      <c r="I99" s="19">
        <v>0.32509429426598635</v>
      </c>
      <c r="J99" s="19">
        <v>7.515682480827671</v>
      </c>
      <c r="K99" s="19">
        <v>0.37086530640635545</v>
      </c>
      <c r="L99" s="19">
        <v>8.8715953307393001</v>
      </c>
      <c r="M99" s="19">
        <v>0.74838402308356999</v>
      </c>
    </row>
    <row r="100" spans="1:13" x14ac:dyDescent="0.35">
      <c r="A100" s="32">
        <v>11</v>
      </c>
      <c r="B100" s="18">
        <v>2023</v>
      </c>
      <c r="C100" s="19">
        <v>0.1754164735337421</v>
      </c>
      <c r="D100" s="19">
        <v>190.87464915288783</v>
      </c>
      <c r="E100" s="19">
        <v>0.13275645311622425</v>
      </c>
      <c r="F100" s="19">
        <v>0.11705738162022121</v>
      </c>
      <c r="G100" s="19">
        <v>3.6698994451626811E-4</v>
      </c>
      <c r="H100" s="19">
        <v>2.9355676321504752E-3</v>
      </c>
      <c r="I100" s="19">
        <v>0.60396559726403642</v>
      </c>
      <c r="J100" s="19">
        <v>1.616434926334793</v>
      </c>
      <c r="K100" s="19">
        <v>6.7980366687711721E-2</v>
      </c>
      <c r="L100" s="19">
        <v>1780</v>
      </c>
      <c r="M100" s="19">
        <v>0.71462132722199789</v>
      </c>
    </row>
    <row r="101" spans="1:13" x14ac:dyDescent="0.35">
      <c r="A101" s="32">
        <v>12</v>
      </c>
      <c r="B101" s="18">
        <v>2023</v>
      </c>
      <c r="C101" s="19">
        <v>4.6233786755915753E-2</v>
      </c>
      <c r="D101" s="19">
        <v>182.28857373655887</v>
      </c>
      <c r="E101" s="19">
        <v>0.27283806647583292</v>
      </c>
      <c r="F101" s="19">
        <v>0.25910856079556643</v>
      </c>
      <c r="G101" s="19">
        <v>-2.5350773599975666E-3</v>
      </c>
      <c r="H101" s="19">
        <v>-8.3607369489835416E-3</v>
      </c>
      <c r="I101" s="19">
        <v>0.27493078698492851</v>
      </c>
      <c r="J101" s="19">
        <v>0.58846368100337232</v>
      </c>
      <c r="K101" s="19">
        <v>0.17021293712189475</v>
      </c>
      <c r="L101" s="19">
        <v>0.46367851622874806</v>
      </c>
      <c r="M101" s="19">
        <v>0.20549328894051419</v>
      </c>
    </row>
    <row r="102" spans="1:13" x14ac:dyDescent="0.35">
      <c r="A102" s="32">
        <v>13</v>
      </c>
      <c r="B102" s="18">
        <v>2023</v>
      </c>
      <c r="C102" s="19">
        <v>8.8057623298861236E-3</v>
      </c>
      <c r="D102" s="19">
        <v>78.035759401661579</v>
      </c>
      <c r="E102" s="19">
        <v>0.36867446233383244</v>
      </c>
      <c r="F102" s="19">
        <v>0.31746085189668422</v>
      </c>
      <c r="G102" s="19">
        <v>-6.2933312481270806E-2</v>
      </c>
      <c r="H102" s="19">
        <v>-0.13182739366929636</v>
      </c>
      <c r="I102" s="19">
        <v>2.9406864563506045E-2</v>
      </c>
      <c r="J102" s="19">
        <v>-0.42263140048878245</v>
      </c>
      <c r="K102" s="19">
        <v>0.50378153634733647</v>
      </c>
      <c r="L102" s="19">
        <v>-2.6515151515151514</v>
      </c>
      <c r="M102" s="19">
        <v>0.17144486003716455</v>
      </c>
    </row>
    <row r="103" spans="1:13" x14ac:dyDescent="0.35">
      <c r="A103" s="32">
        <v>14</v>
      </c>
      <c r="B103" s="18">
        <v>2023</v>
      </c>
      <c r="C103" s="19">
        <v>0.87599576301654813</v>
      </c>
      <c r="D103" s="19">
        <v>29.57045095910912</v>
      </c>
      <c r="E103" s="19">
        <v>0.78222250355736256</v>
      </c>
      <c r="F103" s="19">
        <v>0.62990485948502239</v>
      </c>
      <c r="G103" s="19">
        <v>0.31356785023095735</v>
      </c>
      <c r="H103" s="19">
        <v>0.43837426331464291</v>
      </c>
      <c r="I103" s="19">
        <v>0.54256668714138145</v>
      </c>
      <c r="J103" s="19">
        <v>62.428549804638848</v>
      </c>
      <c r="K103" s="19">
        <v>0.13556375101319251</v>
      </c>
      <c r="L103" s="19">
        <v>4.9897330595482545</v>
      </c>
      <c r="M103" s="19">
        <v>1.5639689079042443</v>
      </c>
    </row>
    <row r="104" spans="1:13" x14ac:dyDescent="0.35">
      <c r="A104" s="32">
        <v>15</v>
      </c>
      <c r="B104" s="18">
        <v>2023</v>
      </c>
      <c r="C104" s="19">
        <v>2.8384197304844087E-2</v>
      </c>
      <c r="D104" s="19">
        <v>23.922004611041238</v>
      </c>
      <c r="E104" s="19">
        <v>1.1420902344844812</v>
      </c>
      <c r="F104" s="19">
        <v>1.0231587650214538</v>
      </c>
      <c r="G104" s="19">
        <v>-0.51432008531682849</v>
      </c>
      <c r="H104" s="19">
        <v>8.1008969866734587E-2</v>
      </c>
      <c r="I104" s="19">
        <v>0.26736342681519809</v>
      </c>
      <c r="J104" s="19">
        <v>2.1553876060496475</v>
      </c>
      <c r="K104" s="19">
        <v>-7.2052223227448025</v>
      </c>
      <c r="L104" s="19">
        <v>11.013215859030836</v>
      </c>
      <c r="M104" s="19">
        <v>-5.6300266214515373</v>
      </c>
    </row>
    <row r="105" spans="1:13" x14ac:dyDescent="0.35">
      <c r="A105" s="32">
        <v>16</v>
      </c>
      <c r="B105" s="18">
        <v>2023</v>
      </c>
      <c r="C105" s="19">
        <v>0.45390400409486081</v>
      </c>
      <c r="D105" s="19">
        <v>87.925650485384907</v>
      </c>
      <c r="E105" s="19">
        <v>8.0601974165611754</v>
      </c>
      <c r="F105" s="19">
        <v>1.9193585054424174</v>
      </c>
      <c r="G105" s="19">
        <v>6.5257548309185171E-3</v>
      </c>
      <c r="H105" s="19">
        <v>1.8571529665228057E-3</v>
      </c>
      <c r="I105" s="19">
        <v>0.24350254592630705</v>
      </c>
      <c r="J105" s="19">
        <v>0.94729727173902123</v>
      </c>
      <c r="K105" s="19">
        <v>0.83074128581822204</v>
      </c>
      <c r="L105" s="19">
        <v>856.11510791366914</v>
      </c>
      <c r="M105" s="19">
        <v>5.6005622008388416</v>
      </c>
    </row>
    <row r="106" spans="1:13" x14ac:dyDescent="0.35">
      <c r="A106" s="32">
        <v>17</v>
      </c>
      <c r="B106" s="18">
        <v>2023</v>
      </c>
      <c r="C106" s="19">
        <v>2.6959808427535391E-2</v>
      </c>
      <c r="D106" s="19">
        <v>117.47794385755402</v>
      </c>
      <c r="E106" s="19">
        <v>0.79063794531625697</v>
      </c>
      <c r="F106" s="19">
        <v>0.61697963184487747</v>
      </c>
      <c r="G106" s="19">
        <v>0.29045271143043788</v>
      </c>
      <c r="H106" s="19">
        <v>0.3474922062278224</v>
      </c>
      <c r="I106" s="19">
        <v>0.37431584586133709</v>
      </c>
      <c r="J106" s="19">
        <v>4.7597844381882419</v>
      </c>
      <c r="K106" s="19">
        <v>1.0220733859218452</v>
      </c>
      <c r="L106" s="19">
        <v>1.7537706068046299</v>
      </c>
      <c r="M106" s="19">
        <v>0.51666556281958742</v>
      </c>
    </row>
    <row r="107" spans="1:13" x14ac:dyDescent="0.35">
      <c r="A107" s="32">
        <v>18</v>
      </c>
      <c r="B107" s="18">
        <v>2023</v>
      </c>
      <c r="C107" s="19">
        <v>1.5789580036356801</v>
      </c>
      <c r="D107" s="19">
        <v>61.326613593670523</v>
      </c>
      <c r="E107" s="19">
        <v>1.15749365237568</v>
      </c>
      <c r="F107" s="19">
        <v>0.61450018700823328</v>
      </c>
      <c r="G107" s="19">
        <v>0.16045853794039011</v>
      </c>
      <c r="H107" s="19">
        <v>0.14240799813124794</v>
      </c>
      <c r="I107" s="19">
        <v>0.19907395147107618</v>
      </c>
      <c r="J107" s="19">
        <v>6.2918739793573515</v>
      </c>
      <c r="K107" s="19">
        <v>0.83360772436222352</v>
      </c>
      <c r="L107" s="19">
        <v>4.1571938941214679</v>
      </c>
      <c r="M107" s="19">
        <v>0.4965366534092443</v>
      </c>
    </row>
    <row r="108" spans="1:13" x14ac:dyDescent="0.35">
      <c r="A108" s="32">
        <v>19</v>
      </c>
      <c r="B108" s="18">
        <v>2023</v>
      </c>
      <c r="C108" s="19">
        <v>0.79776184470641609</v>
      </c>
      <c r="D108" s="19">
        <v>4176.2607182917609</v>
      </c>
      <c r="E108" s="19">
        <v>1.142081682558137</v>
      </c>
      <c r="F108" s="19">
        <v>7.0469044587830501E-2</v>
      </c>
      <c r="G108" s="19">
        <v>-7.0683005570810878E-2</v>
      </c>
      <c r="H108" s="19">
        <v>-0.83483445595411632</v>
      </c>
      <c r="I108" s="19">
        <v>-0.63051190724313566</v>
      </c>
      <c r="J108" s="19">
        <v>-379.65618037608056</v>
      </c>
      <c r="K108" s="19">
        <v>0.20147920772861863</v>
      </c>
      <c r="L108" s="19">
        <v>-125</v>
      </c>
      <c r="M108" s="19">
        <v>8.9224847708594712</v>
      </c>
    </row>
    <row r="109" spans="1:13" x14ac:dyDescent="0.35">
      <c r="A109" s="32">
        <v>20</v>
      </c>
      <c r="B109" s="18">
        <v>2023</v>
      </c>
      <c r="C109" s="19">
        <v>1.3897075831986618</v>
      </c>
      <c r="D109" s="19">
        <v>29.071764207498738</v>
      </c>
      <c r="E109" s="19">
        <v>1.6186337743362682</v>
      </c>
      <c r="F109" s="19">
        <v>1.0582440707192902</v>
      </c>
      <c r="G109" s="19">
        <v>0.31542706976729779</v>
      </c>
      <c r="H109" s="19">
        <v>0.1892294000209955</v>
      </c>
      <c r="I109" s="19">
        <v>0.25871174010912085</v>
      </c>
      <c r="J109" s="19">
        <v>10.722187087396954</v>
      </c>
      <c r="K109" s="19">
        <v>0.57515938559312196</v>
      </c>
      <c r="L109" s="19">
        <v>11.142857142857142</v>
      </c>
      <c r="M109" s="19">
        <v>3.445560354372593</v>
      </c>
    </row>
    <row r="110" spans="1:13" x14ac:dyDescent="0.35">
      <c r="A110" s="32">
        <v>21</v>
      </c>
      <c r="B110" s="18">
        <v>2023</v>
      </c>
      <c r="C110" s="19">
        <v>0.10632876730046315</v>
      </c>
      <c r="D110" s="19">
        <v>64.212213107354884</v>
      </c>
      <c r="E110" s="19">
        <v>0.77873481158563684</v>
      </c>
      <c r="F110" s="19">
        <v>0.66317927091716466</v>
      </c>
      <c r="G110" s="19">
        <v>-6.7771384097974618E-2</v>
      </c>
      <c r="H110" s="19">
        <v>-7.9879497555795154E-2</v>
      </c>
      <c r="I110" s="19">
        <v>0.17738760007251017</v>
      </c>
      <c r="J110" s="19">
        <v>-4.2052308762156123</v>
      </c>
      <c r="K110" s="19">
        <v>0.27932264678540863</v>
      </c>
      <c r="L110" s="19">
        <v>-10.804020100502512</v>
      </c>
      <c r="M110" s="19">
        <v>0.73176031501471983</v>
      </c>
    </row>
    <row r="111" spans="1:13" x14ac:dyDescent="0.35">
      <c r="A111" s="32">
        <v>22</v>
      </c>
      <c r="B111" s="18">
        <v>2023</v>
      </c>
      <c r="C111" s="19">
        <v>0.87552742629275437</v>
      </c>
      <c r="D111" s="19">
        <v>18.088638768201285</v>
      </c>
      <c r="E111" s="19">
        <v>1.0761231789008818</v>
      </c>
      <c r="F111" s="19">
        <v>0.75939214652426301</v>
      </c>
      <c r="G111" s="19">
        <v>0.13911431465157931</v>
      </c>
      <c r="H111" s="19">
        <v>0.11879253683450075</v>
      </c>
      <c r="I111" s="19">
        <v>0.40320635959293216</v>
      </c>
      <c r="J111" s="19">
        <v>5.6752898648002477</v>
      </c>
      <c r="K111" s="19">
        <v>0.54211429232466146</v>
      </c>
      <c r="L111" s="19">
        <v>7.5909090909090908</v>
      </c>
      <c r="M111" s="19">
        <v>1.0691329279438122</v>
      </c>
    </row>
  </sheetData>
  <sortState xmlns:xlrd2="http://schemas.microsoft.com/office/spreadsheetml/2017/richdata2" ref="A2:M111">
    <sortCondition ref="B2:B1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4912-3978-495F-9069-A9475CE27C60}">
  <dimension ref="A1:C23"/>
  <sheetViews>
    <sheetView topLeftCell="A12" workbookViewId="0">
      <selection sqref="A1:C23"/>
    </sheetView>
  </sheetViews>
  <sheetFormatPr defaultRowHeight="14.5" x14ac:dyDescent="0.35"/>
  <cols>
    <col min="3" max="3" width="34.6328125" customWidth="1"/>
  </cols>
  <sheetData>
    <row r="1" spans="1:3" x14ac:dyDescent="0.35">
      <c r="A1" s="31" t="s">
        <v>0</v>
      </c>
      <c r="B1" s="31" t="s">
        <v>1</v>
      </c>
      <c r="C1" s="31" t="s">
        <v>2</v>
      </c>
    </row>
    <row r="2" spans="1:3" x14ac:dyDescent="0.35">
      <c r="A2" s="32">
        <v>1</v>
      </c>
      <c r="B2" s="32" t="s">
        <v>4</v>
      </c>
      <c r="C2" s="32" t="s">
        <v>5</v>
      </c>
    </row>
    <row r="3" spans="1:3" x14ac:dyDescent="0.35">
      <c r="A3" s="32">
        <v>2</v>
      </c>
      <c r="B3" s="32" t="s">
        <v>6</v>
      </c>
      <c r="C3" s="32" t="s">
        <v>7</v>
      </c>
    </row>
    <row r="4" spans="1:3" x14ac:dyDescent="0.35">
      <c r="A4" s="32">
        <v>3</v>
      </c>
      <c r="B4" s="32" t="s">
        <v>8</v>
      </c>
      <c r="C4" s="32" t="s">
        <v>9</v>
      </c>
    </row>
    <row r="5" spans="1:3" x14ac:dyDescent="0.35">
      <c r="A5" s="32">
        <v>4</v>
      </c>
      <c r="B5" s="32" t="s">
        <v>96</v>
      </c>
      <c r="C5" s="32" t="s">
        <v>10</v>
      </c>
    </row>
    <row r="6" spans="1:3" x14ac:dyDescent="0.35">
      <c r="A6" s="32">
        <v>5</v>
      </c>
      <c r="B6" s="32" t="s">
        <v>11</v>
      </c>
      <c r="C6" s="32" t="s">
        <v>12</v>
      </c>
    </row>
    <row r="7" spans="1:3" x14ac:dyDescent="0.35">
      <c r="A7" s="32">
        <v>6</v>
      </c>
      <c r="B7" s="32" t="s">
        <v>13</v>
      </c>
      <c r="C7" s="32" t="s">
        <v>14</v>
      </c>
    </row>
    <row r="8" spans="1:3" x14ac:dyDescent="0.35">
      <c r="A8" s="32">
        <v>7</v>
      </c>
      <c r="B8" s="32" t="s">
        <v>15</v>
      </c>
      <c r="C8" s="32" t="s">
        <v>16</v>
      </c>
    </row>
    <row r="9" spans="1:3" x14ac:dyDescent="0.35">
      <c r="A9" s="32">
        <v>8</v>
      </c>
      <c r="B9" s="32" t="s">
        <v>17</v>
      </c>
      <c r="C9" s="32" t="s">
        <v>18</v>
      </c>
    </row>
    <row r="10" spans="1:3" x14ac:dyDescent="0.35">
      <c r="A10" s="32">
        <v>9</v>
      </c>
      <c r="B10" s="32" t="s">
        <v>19</v>
      </c>
      <c r="C10" s="32" t="s">
        <v>20</v>
      </c>
    </row>
    <row r="11" spans="1:3" x14ac:dyDescent="0.35">
      <c r="A11" s="32">
        <v>10</v>
      </c>
      <c r="B11" s="32" t="s">
        <v>21</v>
      </c>
      <c r="C11" s="32" t="s">
        <v>22</v>
      </c>
    </row>
    <row r="12" spans="1:3" x14ac:dyDescent="0.35">
      <c r="A12" s="32">
        <v>11</v>
      </c>
      <c r="B12" s="32" t="s">
        <v>23</v>
      </c>
      <c r="C12" s="32" t="s">
        <v>24</v>
      </c>
    </row>
    <row r="13" spans="1:3" x14ac:dyDescent="0.35">
      <c r="A13" s="32">
        <v>12</v>
      </c>
      <c r="B13" s="32" t="s">
        <v>25</v>
      </c>
      <c r="C13" s="32" t="s">
        <v>26</v>
      </c>
    </row>
    <row r="14" spans="1:3" x14ac:dyDescent="0.35">
      <c r="A14" s="32">
        <v>13</v>
      </c>
      <c r="B14" s="32" t="s">
        <v>27</v>
      </c>
      <c r="C14" s="32" t="s">
        <v>28</v>
      </c>
    </row>
    <row r="15" spans="1:3" x14ac:dyDescent="0.35">
      <c r="A15" s="32">
        <v>14</v>
      </c>
      <c r="B15" s="32" t="s">
        <v>29</v>
      </c>
      <c r="C15" s="32" t="s">
        <v>30</v>
      </c>
    </row>
    <row r="16" spans="1:3" x14ac:dyDescent="0.35">
      <c r="A16" s="32">
        <v>15</v>
      </c>
      <c r="B16" s="32" t="s">
        <v>31</v>
      </c>
      <c r="C16" s="32" t="s">
        <v>32</v>
      </c>
    </row>
    <row r="17" spans="1:3" x14ac:dyDescent="0.35">
      <c r="A17" s="32">
        <v>16</v>
      </c>
      <c r="B17" s="32" t="s">
        <v>33</v>
      </c>
      <c r="C17" s="32" t="s">
        <v>34</v>
      </c>
    </row>
    <row r="18" spans="1:3" x14ac:dyDescent="0.35">
      <c r="A18" s="32">
        <v>17</v>
      </c>
      <c r="B18" s="32" t="s">
        <v>35</v>
      </c>
      <c r="C18" s="32" t="s">
        <v>36</v>
      </c>
    </row>
    <row r="19" spans="1:3" x14ac:dyDescent="0.35">
      <c r="A19" s="32">
        <v>18</v>
      </c>
      <c r="B19" s="32" t="s">
        <v>97</v>
      </c>
      <c r="C19" s="32" t="s">
        <v>37</v>
      </c>
    </row>
    <row r="20" spans="1:3" x14ac:dyDescent="0.35">
      <c r="A20" s="32">
        <v>19</v>
      </c>
      <c r="B20" s="32" t="s">
        <v>45</v>
      </c>
      <c r="C20" s="32" t="s">
        <v>38</v>
      </c>
    </row>
    <row r="21" spans="1:3" x14ac:dyDescent="0.35">
      <c r="A21" s="32">
        <v>20</v>
      </c>
      <c r="B21" s="32" t="s">
        <v>39</v>
      </c>
      <c r="C21" s="32" t="s">
        <v>40</v>
      </c>
    </row>
    <row r="22" spans="1:3" x14ac:dyDescent="0.35">
      <c r="A22" s="32">
        <v>21</v>
      </c>
      <c r="B22" s="32" t="s">
        <v>41</v>
      </c>
      <c r="C22" s="32" t="s">
        <v>42</v>
      </c>
    </row>
    <row r="23" spans="1:3" x14ac:dyDescent="0.35">
      <c r="A23" s="32">
        <v>22</v>
      </c>
      <c r="B23" s="32" t="s">
        <v>43</v>
      </c>
      <c r="C23" s="32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62de60-78d6-411c-a320-15b9aed9dcb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CF23F7373692BF4788C92CD1B86306F1" ma:contentTypeVersion="8" ma:contentTypeDescription="Buat sebuah dokumen baru." ma:contentTypeScope="" ma:versionID="25f753512aca487d14c66566ac7eaf52">
  <xsd:schema xmlns:xsd="http://www.w3.org/2001/XMLSchema" xmlns:xs="http://www.w3.org/2001/XMLSchema" xmlns:p="http://schemas.microsoft.com/office/2006/metadata/properties" xmlns:ns3="dd62de60-78d6-411c-a320-15b9aed9dcb2" targetNamespace="http://schemas.microsoft.com/office/2006/metadata/properties" ma:root="true" ma:fieldsID="7f167c949693f156b37c3f62bb3ffab8" ns3:_="">
    <xsd:import namespace="dd62de60-78d6-411c-a320-15b9aed9dc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62de60-78d6-411c-a320-15b9aed9dc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4C5BAC-50A9-436B-918B-86E3645EE5CB}">
  <ds:schemaRefs>
    <ds:schemaRef ds:uri="http://purl.org/dc/terms/"/>
    <ds:schemaRef ds:uri="http://schemas.microsoft.com/office/2006/metadata/properties"/>
    <ds:schemaRef ds:uri="dd62de60-78d6-411c-a320-15b9aed9dcb2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2D01F1C-2D18-485B-8BB4-654962D341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AE3188-0094-4E00-8A5E-8B04349A82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62de60-78d6-411c-a320-15b9aed9dc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 UTAMA</vt:lpstr>
      <vt:lpstr>Kurs Dollar</vt:lpstr>
      <vt:lpstr>Descriptive</vt:lpstr>
      <vt:lpstr>Lampiran 1</vt:lpstr>
      <vt:lpstr>Lampiran 2</vt:lpstr>
      <vt:lpstr>Lampiran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Ezar Alvah Rayhan</dc:creator>
  <cp:lastModifiedBy>Ezar Alvah Rayhan</cp:lastModifiedBy>
  <dcterms:created xsi:type="dcterms:W3CDTF">2024-07-14T11:33:23Z</dcterms:created>
  <dcterms:modified xsi:type="dcterms:W3CDTF">2024-12-11T06:59:05Z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0x010100CF23F7373692BF4788C92CD1B86306F1</vt:lpwstr>
  </property>
</Properties>
</file>